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progetto fisica tecnica avanzata\"/>
    </mc:Choice>
  </mc:AlternateContent>
  <xr:revisionPtr revIDLastSave="0" documentId="13_ncr:1_{328DBD2E-56C9-4D95-AFE5-D5D1CF6DBF2E}" xr6:coauthVersionLast="41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arte S" sheetId="1" r:id="rId1"/>
    <sheet name="Parte A" sheetId="3" r:id="rId2"/>
    <sheet name="Parte B" sheetId="4" r:id="rId3"/>
    <sheet name="Parte C" sheetId="5" r:id="rId4"/>
  </sheets>
  <definedNames>
    <definedName name="_xlnm._FilterDatabase" localSheetId="0" hidden="1">'Parte S'!$B$1:$B$487</definedName>
    <definedName name="A_aria">'Parte S'!$N$228</definedName>
    <definedName name="beta">'Parte S'!$C$420</definedName>
    <definedName name="epsilon_fumiscar">'Parte S'!$C$423</definedName>
    <definedName name="g">'Parte S'!$C$419</definedName>
    <definedName name="h_2int">'Parte S'!$N$227</definedName>
    <definedName name="L">'Parte S'!$N$225</definedName>
    <definedName name="L_cannaf">'Parte S'!$C$421</definedName>
    <definedName name="ni_Tint">'Parte S'!$C$422</definedName>
    <definedName name="phi_5">'Parte S'!$N$226</definedName>
    <definedName name="sigma_B">'Parte S'!$C$425</definedName>
    <definedName name="solver_adj" localSheetId="1" hidden="1">'Parte A'!$K$96,'Parte A'!$K$100</definedName>
    <definedName name="solver_adj" localSheetId="0" hidden="1">'Parte S'!$N$246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'Parte A'!$K$100</definedName>
    <definedName name="solver_lhs1" localSheetId="0" hidden="1">'Parte S'!$N$246</definedName>
    <definedName name="solver_lhs2" localSheetId="1" hidden="1">'Parte A'!$K$50</definedName>
    <definedName name="solver_lhs2" localSheetId="0" hidden="1">'Parte S'!$N$251</definedName>
    <definedName name="solver_lhs3" localSheetId="0" hidden="1">'Parte S'!$N$251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'Parte A'!$Q$108</definedName>
    <definedName name="solver_opt" localSheetId="0" hidden="1">'Parte S'!$N$248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1</definedName>
    <definedName name="solver_rel3" localSheetId="0" hidden="1">3</definedName>
    <definedName name="solver_rhs1" localSheetId="1" hidden="1">0.1</definedName>
    <definedName name="solver_rhs1" localSheetId="0" hidden="1">'Parte S'!$N$240</definedName>
    <definedName name="solver_rhs2" localSheetId="1" hidden="1">0.1</definedName>
    <definedName name="solver_rhs2" localSheetId="0" hidden="1">'Parte S'!$N$237</definedName>
    <definedName name="solver_rhs3" localSheetId="0" hidden="1">'Parte S'!$N$243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34.87</definedName>
    <definedName name="solver_ver" localSheetId="1" hidden="1">3</definedName>
    <definedName name="solver_ver" localSheetId="0" hidden="1">2</definedName>
    <definedName name="T_int">'Parte S'!$E$11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2" i="3" l="1"/>
  <c r="U125" i="3" s="1"/>
  <c r="C465" i="1"/>
  <c r="V129" i="3"/>
  <c r="M3" i="5"/>
  <c r="H3" i="5"/>
  <c r="H4" i="5"/>
  <c r="I3" i="5"/>
  <c r="B20" i="5"/>
  <c r="G3" i="5"/>
  <c r="B103" i="4"/>
  <c r="B100" i="4"/>
  <c r="B101" i="4"/>
  <c r="C17" i="4"/>
  <c r="B31" i="4" s="1"/>
  <c r="C457" i="1"/>
  <c r="B460" i="1"/>
  <c r="C449" i="1"/>
  <c r="C440" i="1"/>
  <c r="C375" i="1"/>
  <c r="C439" i="1"/>
  <c r="C435" i="1"/>
  <c r="C118" i="1"/>
  <c r="C122" i="1"/>
  <c r="E325" i="1" l="1"/>
  <c r="E6" i="4" l="1"/>
  <c r="B50" i="4" l="1"/>
  <c r="L61" i="4" s="1"/>
  <c r="B85" i="4" l="1"/>
  <c r="B68" i="4" l="1"/>
  <c r="N243" i="1" l="1"/>
  <c r="N225" i="1"/>
  <c r="B10" i="5" l="1"/>
  <c r="C166" i="3" l="1"/>
  <c r="C163" i="3"/>
  <c r="C167" i="3" s="1"/>
  <c r="C183" i="3"/>
  <c r="C168" i="3"/>
  <c r="C148" i="3"/>
  <c r="C152" i="3" s="1"/>
  <c r="D122" i="4" l="1"/>
  <c r="C122" i="4"/>
  <c r="B122" i="4"/>
  <c r="D121" i="4"/>
  <c r="D123" i="4" s="1"/>
  <c r="C121" i="4"/>
  <c r="C124" i="4" s="1"/>
  <c r="B121" i="4"/>
  <c r="B124" i="4" s="1"/>
  <c r="C113" i="4"/>
  <c r="C110" i="4"/>
  <c r="B120" i="4" s="1"/>
  <c r="B61" i="4"/>
  <c r="B52" i="4"/>
  <c r="B53" i="4" s="1"/>
  <c r="B51" i="4"/>
  <c r="E27" i="4"/>
  <c r="D27" i="4"/>
  <c r="C27" i="4"/>
  <c r="B27" i="4"/>
  <c r="C9" i="4"/>
  <c r="C8" i="4"/>
  <c r="B32" i="4" l="1"/>
  <c r="B83" i="4"/>
  <c r="B62" i="4"/>
  <c r="D32" i="4"/>
  <c r="C32" i="4"/>
  <c r="B123" i="4"/>
  <c r="B125" i="4" s="1"/>
  <c r="B126" i="4" s="1"/>
  <c r="C123" i="4"/>
  <c r="C125" i="4" s="1"/>
  <c r="E32" i="4"/>
  <c r="D124" i="4"/>
  <c r="D125" i="4" s="1"/>
  <c r="B11" i="5" l="1"/>
  <c r="H2" i="5"/>
  <c r="M2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B19" i="5"/>
  <c r="B16" i="5"/>
  <c r="B15" i="5"/>
  <c r="B17" i="5" s="1"/>
  <c r="B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B8" i="5"/>
  <c r="B7" i="5"/>
  <c r="B6" i="5"/>
  <c r="B5" i="5"/>
  <c r="B4" i="5"/>
  <c r="B2" i="5"/>
  <c r="B1" i="5"/>
  <c r="B18" i="5" l="1"/>
  <c r="C21" i="3"/>
  <c r="V89" i="3" l="1"/>
  <c r="V121" i="3" l="1"/>
  <c r="C454" i="1"/>
  <c r="AA119" i="3"/>
  <c r="Z119" i="3"/>
  <c r="Y119" i="3"/>
  <c r="X119" i="3"/>
  <c r="W119" i="3"/>
  <c r="V119" i="3"/>
  <c r="G454" i="1" l="1"/>
  <c r="D454" i="1"/>
  <c r="E454" i="1"/>
  <c r="F454" i="1"/>
  <c r="H454" i="1"/>
  <c r="V71" i="3" l="1"/>
  <c r="V94" i="3" s="1"/>
  <c r="V53" i="3"/>
  <c r="V48" i="3"/>
  <c r="V44" i="3"/>
  <c r="V33" i="3"/>
  <c r="K31" i="3"/>
  <c r="C31" i="3"/>
  <c r="V30" i="3"/>
  <c r="K30" i="3"/>
  <c r="V32" i="3" s="1"/>
  <c r="V29" i="3"/>
  <c r="K29" i="3"/>
  <c r="V31" i="3" s="1"/>
  <c r="C29" i="3"/>
  <c r="V28" i="3"/>
  <c r="V27" i="3"/>
  <c r="C27" i="3"/>
  <c r="K11" i="3" s="1"/>
  <c r="K25" i="3"/>
  <c r="V26" i="3" s="1"/>
  <c r="C25" i="3"/>
  <c r="V24" i="3"/>
  <c r="K24" i="3"/>
  <c r="V25" i="3" s="1"/>
  <c r="K23" i="3"/>
  <c r="K22" i="3"/>
  <c r="V22" i="3" s="1"/>
  <c r="C149" i="3" s="1"/>
  <c r="K21" i="3"/>
  <c r="K20" i="3"/>
  <c r="C18" i="3"/>
  <c r="C19" i="3" s="1"/>
  <c r="V17" i="3"/>
  <c r="E14" i="3"/>
  <c r="K13" i="3" s="1"/>
  <c r="E13" i="3"/>
  <c r="E12" i="3"/>
  <c r="C10" i="3"/>
  <c r="E10" i="3" s="1"/>
  <c r="V47" i="3" l="1"/>
  <c r="V72" i="3" s="1"/>
  <c r="Z65" i="3"/>
  <c r="V55" i="3"/>
  <c r="V56" i="3"/>
  <c r="K40" i="3"/>
  <c r="K39" i="3"/>
  <c r="V11" i="3"/>
  <c r="X11" i="3" s="1"/>
  <c r="C34" i="3"/>
  <c r="C22" i="3"/>
  <c r="V20" i="3"/>
  <c r="V23" i="3"/>
  <c r="C124" i="3" s="1"/>
  <c r="C28" i="3"/>
  <c r="C30" i="3" s="1"/>
  <c r="V13" i="3"/>
  <c r="X13" i="3" s="1"/>
  <c r="V34" i="3"/>
  <c r="V21" i="3"/>
  <c r="N167" i="1"/>
  <c r="C33" i="3" l="1"/>
  <c r="C38" i="3" s="1"/>
  <c r="C35" i="3"/>
  <c r="X47" i="3"/>
  <c r="C34" i="1"/>
  <c r="E11" i="1"/>
  <c r="C404" i="1" s="1"/>
  <c r="E12" i="1"/>
  <c r="C113" i="1" s="1"/>
  <c r="E47" i="1"/>
  <c r="C17" i="1"/>
  <c r="C18" i="1" s="1"/>
  <c r="C52" i="1" s="1"/>
  <c r="C9" i="1"/>
  <c r="E9" i="1" s="1"/>
  <c r="C80" i="1"/>
  <c r="C48" i="1"/>
  <c r="C61" i="1" s="1"/>
  <c r="E45" i="1"/>
  <c r="C115" i="1" s="1"/>
  <c r="C43" i="1"/>
  <c r="E43" i="1" s="1"/>
  <c r="C89" i="1"/>
  <c r="AI58" i="1"/>
  <c r="AJ58" i="1"/>
  <c r="Y41" i="1"/>
  <c r="S44" i="1"/>
  <c r="AX41" i="1" s="1"/>
  <c r="AP58" i="1"/>
  <c r="AQ58" i="1"/>
  <c r="AQ60" i="1"/>
  <c r="AX48" i="1"/>
  <c r="AX66" i="1"/>
  <c r="AX65" i="1"/>
  <c r="AX64" i="1"/>
  <c r="C420" i="1"/>
  <c r="C421" i="1"/>
  <c r="B431" i="1"/>
  <c r="C422" i="1"/>
  <c r="O76" i="1"/>
  <c r="C424" i="1"/>
  <c r="C425" i="1"/>
  <c r="B433" i="1"/>
  <c r="C426" i="1"/>
  <c r="C428" i="1"/>
  <c r="C382" i="1"/>
  <c r="C402" i="1"/>
  <c r="E403" i="1"/>
  <c r="E13" i="1"/>
  <c r="C349" i="1"/>
  <c r="C348" i="1" s="1"/>
  <c r="C347" i="1"/>
  <c r="N256" i="1"/>
  <c r="C423" i="1"/>
  <c r="C385" i="1"/>
  <c r="C386" i="1"/>
  <c r="G276" i="1"/>
  <c r="C390" i="1"/>
  <c r="C340" i="1"/>
  <c r="C320" i="1"/>
  <c r="N205" i="1"/>
  <c r="C233" i="1"/>
  <c r="C342" i="1"/>
  <c r="C365" i="1"/>
  <c r="N196" i="1"/>
  <c r="N193" i="1"/>
  <c r="E326" i="1"/>
  <c r="F324" i="1" s="1"/>
  <c r="E327" i="1"/>
  <c r="E330" i="1"/>
  <c r="E331" i="1"/>
  <c r="E334" i="1"/>
  <c r="E335" i="1"/>
  <c r="E336" i="1"/>
  <c r="H14" i="1"/>
  <c r="C227" i="1"/>
  <c r="C225" i="1"/>
  <c r="E225" i="1" s="1"/>
  <c r="AI63" i="1"/>
  <c r="AH66" i="1"/>
  <c r="N261" i="1"/>
  <c r="N218" i="1"/>
  <c r="E261" i="1"/>
  <c r="C144" i="1"/>
  <c r="C199" i="1"/>
  <c r="C202" i="1"/>
  <c r="C263" i="1"/>
  <c r="C266" i="1"/>
  <c r="C278" i="1"/>
  <c r="C285" i="1"/>
  <c r="C174" i="1"/>
  <c r="C159" i="1"/>
  <c r="C160" i="1"/>
  <c r="C164" i="1"/>
  <c r="C165" i="1"/>
  <c r="C170" i="1"/>
  <c r="C24" i="1"/>
  <c r="C226" i="1"/>
  <c r="E226" i="1" s="1"/>
  <c r="C126" i="3" l="1"/>
  <c r="C153" i="3"/>
  <c r="C37" i="1"/>
  <c r="C55" i="1" s="1"/>
  <c r="C111" i="4"/>
  <c r="S40" i="1"/>
  <c r="C11" i="4"/>
  <c r="R261" i="1"/>
  <c r="C18" i="4"/>
  <c r="B30" i="4" s="1"/>
  <c r="V66" i="3"/>
  <c r="C150" i="3" s="1"/>
  <c r="AB23" i="3"/>
  <c r="C267" i="1"/>
  <c r="C128" i="3"/>
  <c r="C155" i="3" s="1"/>
  <c r="C142" i="1"/>
  <c r="AB10" i="3"/>
  <c r="N172" i="1"/>
  <c r="H11" i="1"/>
  <c r="C427" i="1"/>
  <c r="C127" i="1"/>
  <c r="C354" i="1"/>
  <c r="C355" i="1" s="1"/>
  <c r="C405" i="1"/>
  <c r="C406" i="1" s="1"/>
  <c r="C407" i="1" s="1"/>
  <c r="C409" i="1" s="1"/>
  <c r="C391" i="1"/>
  <c r="C433" i="1"/>
  <c r="C39" i="3"/>
  <c r="C40" i="3" s="1"/>
  <c r="V95" i="3"/>
  <c r="H39" i="1"/>
  <c r="R234" i="1"/>
  <c r="AC236" i="1"/>
  <c r="G9" i="1"/>
  <c r="C141" i="1"/>
  <c r="C62" i="1"/>
  <c r="C64" i="1" s="1"/>
  <c r="C66" i="1" s="1"/>
  <c r="B84" i="4" s="1"/>
  <c r="F333" i="1"/>
  <c r="F329" i="1"/>
  <c r="C431" i="1"/>
  <c r="H12" i="1"/>
  <c r="C119" i="1"/>
  <c r="C114" i="1"/>
  <c r="C163" i="1" s="1"/>
  <c r="C181" i="1" s="1"/>
  <c r="C162" i="1"/>
  <c r="C120" i="1"/>
  <c r="C116" i="1"/>
  <c r="C168" i="1" s="1"/>
  <c r="C186" i="1" s="1"/>
  <c r="C359" i="1"/>
  <c r="C369" i="1"/>
  <c r="AG65" i="1"/>
  <c r="AG66" i="1"/>
  <c r="C167" i="1"/>
  <c r="AG64" i="1"/>
  <c r="C25" i="1"/>
  <c r="C27" i="1" s="1"/>
  <c r="B432" i="1"/>
  <c r="N226" i="1"/>
  <c r="D433" i="1"/>
  <c r="D431" i="1"/>
  <c r="C398" i="1"/>
  <c r="S41" i="1" l="1"/>
  <c r="BD48" i="1" s="1"/>
  <c r="BD77" i="1" s="1"/>
  <c r="C38" i="1"/>
  <c r="N229" i="1" s="1"/>
  <c r="E26" i="4"/>
  <c r="I30" i="4" s="1"/>
  <c r="C170" i="3"/>
  <c r="C171" i="3" s="1"/>
  <c r="C156" i="3"/>
  <c r="D30" i="4"/>
  <c r="C30" i="4"/>
  <c r="E30" i="4"/>
  <c r="C120" i="4"/>
  <c r="C126" i="4" s="1"/>
  <c r="C15" i="4"/>
  <c r="V77" i="3"/>
  <c r="V78" i="3" s="1"/>
  <c r="V79" i="3" s="1"/>
  <c r="V81" i="3" s="1"/>
  <c r="C41" i="3"/>
  <c r="C112" i="4"/>
  <c r="D120" i="4" s="1"/>
  <c r="D126" i="4" s="1"/>
  <c r="B129" i="4" s="1"/>
  <c r="K10" i="3"/>
  <c r="Q41" i="3" s="1"/>
  <c r="V39" i="3" s="1"/>
  <c r="C12" i="4"/>
  <c r="B26" i="4" s="1"/>
  <c r="C165" i="3"/>
  <c r="C185" i="3"/>
  <c r="C193" i="3"/>
  <c r="C450" i="1"/>
  <c r="V115" i="3" s="1"/>
  <c r="K14" i="3"/>
  <c r="S56" i="1"/>
  <c r="C31" i="1"/>
  <c r="C357" i="1"/>
  <c r="F433" i="1"/>
  <c r="G433" i="1" s="1"/>
  <c r="H433" i="1" s="1"/>
  <c r="I433" i="1" s="1"/>
  <c r="D452" i="1"/>
  <c r="W117" i="3" s="1"/>
  <c r="H452" i="1"/>
  <c r="AA117" i="3" s="1"/>
  <c r="F452" i="1"/>
  <c r="Y117" i="3" s="1"/>
  <c r="E452" i="1"/>
  <c r="X117" i="3" s="1"/>
  <c r="C452" i="1"/>
  <c r="V117" i="3" s="1"/>
  <c r="C373" i="1"/>
  <c r="G452" i="1"/>
  <c r="Z117" i="3" s="1"/>
  <c r="F450" i="1"/>
  <c r="Y115" i="3" s="1"/>
  <c r="C363" i="1"/>
  <c r="H450" i="1"/>
  <c r="AA115" i="3" s="1"/>
  <c r="E450" i="1"/>
  <c r="X115" i="3" s="1"/>
  <c r="G450" i="1"/>
  <c r="Z115" i="3" s="1"/>
  <c r="D450" i="1"/>
  <c r="W115" i="3" s="1"/>
  <c r="E451" i="1"/>
  <c r="X116" i="3" s="1"/>
  <c r="C451" i="1"/>
  <c r="V116" i="3" s="1"/>
  <c r="G451" i="1"/>
  <c r="Z116" i="3" s="1"/>
  <c r="D451" i="1"/>
  <c r="W116" i="3" s="1"/>
  <c r="F451" i="1"/>
  <c r="Y116" i="3" s="1"/>
  <c r="C367" i="1"/>
  <c r="H451" i="1"/>
  <c r="AA116" i="3" s="1"/>
  <c r="G449" i="1"/>
  <c r="Z114" i="3" s="1"/>
  <c r="F449" i="1"/>
  <c r="D449" i="1"/>
  <c r="H449" i="1"/>
  <c r="E449" i="1"/>
  <c r="X114" i="3" s="1"/>
  <c r="F431" i="1"/>
  <c r="G431" i="1" s="1"/>
  <c r="H431" i="1" s="1"/>
  <c r="I431" i="1" s="1"/>
  <c r="K431" i="1" s="1"/>
  <c r="E433" i="1"/>
  <c r="C39" i="1"/>
  <c r="D39" i="1" s="1"/>
  <c r="C133" i="1"/>
  <c r="C197" i="1"/>
  <c r="C129" i="1"/>
  <c r="C201" i="1" s="1"/>
  <c r="C130" i="1"/>
  <c r="C209" i="1" s="1"/>
  <c r="R216" i="1"/>
  <c r="C146" i="1"/>
  <c r="C180" i="1" s="1"/>
  <c r="F51" i="1"/>
  <c r="R203" i="1"/>
  <c r="C46" i="1"/>
  <c r="C10" i="4" s="1"/>
  <c r="D26" i="4" s="1"/>
  <c r="C432" i="1"/>
  <c r="S37" i="1"/>
  <c r="BD50" i="1" s="1"/>
  <c r="BD79" i="1" s="1"/>
  <c r="F73" i="1"/>
  <c r="D432" i="1"/>
  <c r="C147" i="1"/>
  <c r="C185" i="1" s="1"/>
  <c r="E431" i="1"/>
  <c r="AL65" i="1"/>
  <c r="V10" i="3" l="1"/>
  <c r="V87" i="3"/>
  <c r="AB24" i="3" s="1"/>
  <c r="Q73" i="3"/>
  <c r="Q100" i="3" s="1"/>
  <c r="K18" i="3"/>
  <c r="V131" i="3"/>
  <c r="B128" i="4"/>
  <c r="C195" i="3"/>
  <c r="N235" i="1"/>
  <c r="B71" i="4"/>
  <c r="B72" i="4" s="1"/>
  <c r="C115" i="4"/>
  <c r="D25" i="4"/>
  <c r="AB22" i="3"/>
  <c r="AB25" i="3" s="1"/>
  <c r="AB9" i="3"/>
  <c r="AB12" i="3" s="1"/>
  <c r="C174" i="3"/>
  <c r="C169" i="3"/>
  <c r="K433" i="1"/>
  <c r="K425" i="1" s="1"/>
  <c r="C377" i="1"/>
  <c r="V108" i="3"/>
  <c r="AX46" i="1"/>
  <c r="K47" i="3"/>
  <c r="K97" i="3"/>
  <c r="K70" i="3"/>
  <c r="V18" i="3"/>
  <c r="C73" i="1"/>
  <c r="K12" i="3"/>
  <c r="C453" i="1"/>
  <c r="C455" i="1" s="1"/>
  <c r="V114" i="3"/>
  <c r="V118" i="3" s="1"/>
  <c r="V120" i="3" s="1"/>
  <c r="X10" i="3"/>
  <c r="D453" i="1"/>
  <c r="D455" i="1" s="1"/>
  <c r="D457" i="1" s="1"/>
  <c r="D458" i="1" s="1"/>
  <c r="W114" i="3"/>
  <c r="W118" i="3" s="1"/>
  <c r="W120" i="3" s="1"/>
  <c r="W122" i="3" s="1"/>
  <c r="W123" i="3" s="1"/>
  <c r="F453" i="1"/>
  <c r="Y114" i="3"/>
  <c r="Y118" i="3" s="1"/>
  <c r="Y120" i="3" s="1"/>
  <c r="Y122" i="3" s="1"/>
  <c r="Y123" i="3" s="1"/>
  <c r="H453" i="1"/>
  <c r="H455" i="1" s="1"/>
  <c r="H457" i="1" s="1"/>
  <c r="H458" i="1" s="1"/>
  <c r="AA114" i="3"/>
  <c r="AA118" i="3" s="1"/>
  <c r="AA120" i="3" s="1"/>
  <c r="AA122" i="3" s="1"/>
  <c r="AA123" i="3" s="1"/>
  <c r="Z118" i="3"/>
  <c r="Z120" i="3" s="1"/>
  <c r="Z122" i="3" s="1"/>
  <c r="Z123" i="3" s="1"/>
  <c r="X118" i="3"/>
  <c r="X120" i="3" s="1"/>
  <c r="X122" i="3" s="1"/>
  <c r="X123" i="3" s="1"/>
  <c r="V14" i="3"/>
  <c r="E453" i="1"/>
  <c r="E455" i="1" s="1"/>
  <c r="E457" i="1" s="1"/>
  <c r="E458" i="1" s="1"/>
  <c r="G453" i="1"/>
  <c r="G455" i="1" s="1"/>
  <c r="G457" i="1" s="1"/>
  <c r="G458" i="1" s="1"/>
  <c r="C183" i="1"/>
  <c r="C49" i="1"/>
  <c r="C138" i="1"/>
  <c r="C32" i="1"/>
  <c r="C33" i="1" s="1"/>
  <c r="B80" i="4" s="1"/>
  <c r="C212" i="1"/>
  <c r="C149" i="1"/>
  <c r="G349" i="1"/>
  <c r="C210" i="1"/>
  <c r="C204" i="1"/>
  <c r="C148" i="1"/>
  <c r="C203" i="1"/>
  <c r="C90" i="1"/>
  <c r="S39" i="1"/>
  <c r="F432" i="1"/>
  <c r="G432" i="1" s="1"/>
  <c r="H432" i="1" s="1"/>
  <c r="I432" i="1" s="1"/>
  <c r="K432" i="1" s="1"/>
  <c r="E432" i="1"/>
  <c r="C188" i="1"/>
  <c r="C442" i="1"/>
  <c r="B89" i="4" l="1"/>
  <c r="B91" i="4" s="1"/>
  <c r="B81" i="4"/>
  <c r="B92" i="4" s="1"/>
  <c r="B93" i="4" s="1"/>
  <c r="B94" i="4" s="1"/>
  <c r="E25" i="4"/>
  <c r="E33" i="4" s="1"/>
  <c r="D33" i="4"/>
  <c r="Y37" i="1"/>
  <c r="Y38" i="1" s="1"/>
  <c r="BD49" i="1"/>
  <c r="BD78" i="1" s="1"/>
  <c r="V136" i="3"/>
  <c r="V145" i="3" s="1"/>
  <c r="C458" i="1"/>
  <c r="V123" i="3" s="1"/>
  <c r="V12" i="3"/>
  <c r="AB11" i="3" s="1"/>
  <c r="K15" i="3"/>
  <c r="K19" i="3"/>
  <c r="V19" i="3" s="1"/>
  <c r="Q42" i="3"/>
  <c r="F455" i="1"/>
  <c r="F457" i="1" s="1"/>
  <c r="E440" i="1"/>
  <c r="C207" i="1"/>
  <c r="C205" i="1"/>
  <c r="S42" i="1"/>
  <c r="C35" i="1"/>
  <c r="C143" i="1" s="1"/>
  <c r="C215" i="1"/>
  <c r="C217" i="1" s="1"/>
  <c r="C115" i="3" s="1"/>
  <c r="C213" i="1"/>
  <c r="C50" i="1"/>
  <c r="C68" i="1" s="1"/>
  <c r="C13" i="4" s="1"/>
  <c r="C26" i="4" s="1"/>
  <c r="C112" i="1"/>
  <c r="C158" i="1" s="1"/>
  <c r="C176" i="1" s="1"/>
  <c r="C157" i="1"/>
  <c r="AK55" i="1" l="1"/>
  <c r="D34" i="4"/>
  <c r="AX38" i="1"/>
  <c r="AY104" i="1"/>
  <c r="F458" i="1"/>
  <c r="C468" i="1"/>
  <c r="X12" i="3"/>
  <c r="V59" i="3"/>
  <c r="V58" i="3"/>
  <c r="V98" i="3"/>
  <c r="V101" i="3" s="1"/>
  <c r="Q74" i="3"/>
  <c r="Q101" i="3" s="1"/>
  <c r="X17" i="3" s="1"/>
  <c r="V88" i="3"/>
  <c r="V15" i="3"/>
  <c r="K16" i="3"/>
  <c r="C139" i="1"/>
  <c r="E143" i="1" s="1"/>
  <c r="C51" i="1"/>
  <c r="R191" i="1"/>
  <c r="N217" i="1"/>
  <c r="C259" i="1"/>
  <c r="E259" i="1" s="1"/>
  <c r="C262" i="1" s="1"/>
  <c r="C81" i="1"/>
  <c r="AC63" i="1"/>
  <c r="AL67" i="1" s="1"/>
  <c r="C275" i="1"/>
  <c r="S38" i="1"/>
  <c r="AC37" i="1" s="1"/>
  <c r="E68" i="1"/>
  <c r="F74" i="1"/>
  <c r="F76" i="1" s="1"/>
  <c r="Z47" i="1" s="1"/>
  <c r="C74" i="1"/>
  <c r="C76" i="1" s="1"/>
  <c r="W47" i="1" s="1"/>
  <c r="C145" i="1"/>
  <c r="AK57" i="1"/>
  <c r="Y39" i="1" s="1"/>
  <c r="AK60" i="1"/>
  <c r="Y42" i="1" s="1"/>
  <c r="N203" i="1" s="1"/>
  <c r="AK58" i="1"/>
  <c r="Y40" i="1" s="1"/>
  <c r="C136" i="1" l="1"/>
  <c r="C239" i="1" s="1"/>
  <c r="V57" i="3"/>
  <c r="V61" i="3" s="1"/>
  <c r="V62" i="3" s="1"/>
  <c r="V64" i="3" s="1"/>
  <c r="V16" i="3"/>
  <c r="AV104" i="1"/>
  <c r="AX37" i="1"/>
  <c r="AC38" i="1"/>
  <c r="AR55" i="1"/>
  <c r="C83" i="1"/>
  <c r="C140" i="1"/>
  <c r="C14" i="4" s="1"/>
  <c r="J431" i="1"/>
  <c r="L431" i="1" s="1"/>
  <c r="J433" i="1"/>
  <c r="J432" i="1"/>
  <c r="L432" i="1" s="1"/>
  <c r="Y52" i="1"/>
  <c r="C178" i="1"/>
  <c r="C190" i="1" s="1"/>
  <c r="C114" i="3" s="1"/>
  <c r="C175" i="1"/>
  <c r="B25" i="4" l="1"/>
  <c r="B33" i="4" s="1"/>
  <c r="BD56" i="1"/>
  <c r="BD85" i="1"/>
  <c r="V70" i="3"/>
  <c r="Z66" i="3"/>
  <c r="Z68" i="3" s="1"/>
  <c r="Y68" i="3" s="1"/>
  <c r="Y64" i="3"/>
  <c r="C119" i="3"/>
  <c r="C123" i="3" s="1"/>
  <c r="V63" i="3"/>
  <c r="L433" i="1"/>
  <c r="C436" i="1"/>
  <c r="AR59" i="1"/>
  <c r="AC41" i="1" s="1"/>
  <c r="BD47" i="1" s="1"/>
  <c r="AR57" i="1"/>
  <c r="AC39" i="1" s="1"/>
  <c r="AR60" i="1"/>
  <c r="AC42" i="1" s="1"/>
  <c r="N191" i="1" s="1"/>
  <c r="AR58" i="1"/>
  <c r="AC40" i="1" s="1"/>
  <c r="BD69" i="1"/>
  <c r="BD42" i="1"/>
  <c r="C84" i="1"/>
  <c r="E83" i="1"/>
  <c r="C25" i="4" l="1"/>
  <c r="C33" i="4" s="1"/>
  <c r="B34" i="4" s="1"/>
  <c r="BD54" i="1"/>
  <c r="BD76" i="1"/>
  <c r="BD52" i="1"/>
  <c r="C129" i="3"/>
  <c r="V73" i="3"/>
  <c r="AC52" i="1"/>
  <c r="N195" i="1" s="1"/>
  <c r="E436" i="1"/>
  <c r="C274" i="1"/>
  <c r="C276" i="1" s="1"/>
  <c r="C85" i="1"/>
  <c r="E84" i="1"/>
  <c r="C92" i="1" s="1"/>
  <c r="S47" i="1"/>
  <c r="AO71" i="1" s="1"/>
  <c r="N190" i="1"/>
  <c r="BD81" i="1" l="1"/>
  <c r="BD83" i="1"/>
  <c r="V96" i="3"/>
  <c r="C121" i="3" s="1"/>
  <c r="V93" i="3"/>
  <c r="C277" i="1"/>
  <c r="E276" i="1"/>
  <c r="AO73" i="1"/>
  <c r="O74" i="1"/>
  <c r="AX69" i="1" s="1"/>
  <c r="S52" i="1"/>
  <c r="AO77" i="1"/>
  <c r="AK71" i="1"/>
  <c r="AX42" i="1"/>
  <c r="AX44" i="1" s="1"/>
  <c r="S54" i="1"/>
  <c r="AO78" i="1"/>
  <c r="C264" i="1"/>
  <c r="C93" i="1"/>
  <c r="C94" i="1" s="1"/>
  <c r="C222" i="1"/>
  <c r="E222" i="1" s="1"/>
  <c r="N220" i="1" s="1"/>
  <c r="AC235" i="1" s="1"/>
  <c r="E92" i="1"/>
  <c r="S48" i="1"/>
  <c r="C100" i="1"/>
  <c r="S50" i="1"/>
  <c r="AK73" i="1" s="1"/>
  <c r="C36" i="3" l="1"/>
  <c r="C44" i="3" s="1"/>
  <c r="Q10" i="3" s="1"/>
  <c r="C125" i="3"/>
  <c r="F124" i="3"/>
  <c r="AO74" i="1"/>
  <c r="O72" i="1"/>
  <c r="O71" i="1" s="1"/>
  <c r="AK72" i="1"/>
  <c r="AK78" i="1" s="1"/>
  <c r="V74" i="3"/>
  <c r="C279" i="1"/>
  <c r="C280" i="1" s="1"/>
  <c r="E280" i="1" s="1"/>
  <c r="S45" i="1"/>
  <c r="O77" i="1"/>
  <c r="AX70" i="1" s="1"/>
  <c r="Q221" i="1"/>
  <c r="AX104" i="1"/>
  <c r="BA104" i="1" s="1"/>
  <c r="O75" i="1"/>
  <c r="AX71" i="1" s="1"/>
  <c r="AX43" i="1"/>
  <c r="AW110" i="1"/>
  <c r="AY110" i="1" s="1"/>
  <c r="E94" i="1"/>
  <c r="C95" i="1"/>
  <c r="C223" i="1"/>
  <c r="E223" i="1" s="1"/>
  <c r="S49" i="1"/>
  <c r="N202" i="1"/>
  <c r="N228" i="1" s="1"/>
  <c r="C384" i="1"/>
  <c r="C383" i="1"/>
  <c r="C282" i="1"/>
  <c r="C283" i="1" s="1"/>
  <c r="C389" i="1" s="1"/>
  <c r="C392" i="1" s="1"/>
  <c r="C393" i="1" s="1"/>
  <c r="C45" i="3" l="1"/>
  <c r="Q11" i="3" s="1"/>
  <c r="K87" i="3"/>
  <c r="K88" i="3" s="1"/>
  <c r="Q86" i="3" s="1"/>
  <c r="Q14" i="3"/>
  <c r="Q16" i="3"/>
  <c r="Q18" i="3"/>
  <c r="Q87" i="3"/>
  <c r="BD90" i="1"/>
  <c r="BD86" i="1" s="1"/>
  <c r="BD61" i="1"/>
  <c r="K71" i="3"/>
  <c r="K60" i="3"/>
  <c r="K61" i="3" s="1"/>
  <c r="Q40" i="3"/>
  <c r="K98" i="3"/>
  <c r="K48" i="3"/>
  <c r="Q15" i="3"/>
  <c r="AE76" i="1"/>
  <c r="AE77" i="1" s="1"/>
  <c r="AE78" i="1" s="1"/>
  <c r="AE79" i="1" s="1"/>
  <c r="AD82" i="1" s="1"/>
  <c r="C258" i="1" s="1"/>
  <c r="N197" i="1"/>
  <c r="N216" i="1" s="1"/>
  <c r="P215" i="1" s="1"/>
  <c r="V75" i="3"/>
  <c r="V76" i="3"/>
  <c r="V80" i="3" s="1"/>
  <c r="V97" i="3"/>
  <c r="M431" i="1"/>
  <c r="N431" i="1" s="1"/>
  <c r="C394" i="1"/>
  <c r="C413" i="1" s="1"/>
  <c r="M433" i="1"/>
  <c r="N433" i="1" s="1"/>
  <c r="N425" i="1" s="1"/>
  <c r="M432" i="1"/>
  <c r="N432" i="1" s="1"/>
  <c r="BD68" i="1"/>
  <c r="AX45" i="1"/>
  <c r="BD41" i="1"/>
  <c r="C229" i="1"/>
  <c r="C228" i="1"/>
  <c r="C232" i="1" s="1"/>
  <c r="S51" i="1"/>
  <c r="Y73" i="1" s="1"/>
  <c r="C99" i="1"/>
  <c r="AC51" i="1"/>
  <c r="AK74" i="1"/>
  <c r="S55" i="1"/>
  <c r="Y71" i="1"/>
  <c r="Y72" i="1"/>
  <c r="S53" i="1"/>
  <c r="O70" i="1"/>
  <c r="C297" i="1"/>
  <c r="C287" i="1"/>
  <c r="N230" i="1"/>
  <c r="N240" i="1"/>
  <c r="N268" i="1" l="1"/>
  <c r="N247" i="1"/>
  <c r="N248" i="1" s="1"/>
  <c r="BD57" i="1"/>
  <c r="B14" i="5"/>
  <c r="Q106" i="3"/>
  <c r="K99" i="3"/>
  <c r="K53" i="3"/>
  <c r="Q72" i="3"/>
  <c r="S46" i="1"/>
  <c r="Y51" i="1" s="1"/>
  <c r="C42" i="3"/>
  <c r="C46" i="3" s="1"/>
  <c r="Q85" i="3"/>
  <c r="K32" i="3"/>
  <c r="K38" i="3" s="1"/>
  <c r="K42" i="3" s="1"/>
  <c r="Q37" i="3" s="1"/>
  <c r="Q88" i="3"/>
  <c r="Q89" i="3" s="1"/>
  <c r="Q90" i="3" s="1"/>
  <c r="K49" i="3"/>
  <c r="Q47" i="3"/>
  <c r="Q79" i="3"/>
  <c r="K72" i="3"/>
  <c r="V100" i="3"/>
  <c r="V102" i="3" s="1"/>
  <c r="V103" i="3" s="1"/>
  <c r="AB26" i="3" s="1"/>
  <c r="AB28" i="3" s="1"/>
  <c r="AB29" i="3" s="1"/>
  <c r="V82" i="3"/>
  <c r="AC53" i="1"/>
  <c r="AC54" i="1"/>
  <c r="AC55" i="1" s="1"/>
  <c r="C230" i="1"/>
  <c r="Y74" i="1"/>
  <c r="AX52" i="1"/>
  <c r="BD43" i="1"/>
  <c r="N237" i="1"/>
  <c r="N192" i="1"/>
  <c r="C260" i="1"/>
  <c r="AK75" i="1"/>
  <c r="BD70" i="1"/>
  <c r="AX76" i="1"/>
  <c r="P237" i="1" l="1"/>
  <c r="N251" i="1"/>
  <c r="N102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2" i="5"/>
  <c r="N3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7" i="5"/>
  <c r="N45" i="5"/>
  <c r="N53" i="5"/>
  <c r="N61" i="5"/>
  <c r="N69" i="5"/>
  <c r="N77" i="5"/>
  <c r="N85" i="5"/>
  <c r="N93" i="5"/>
  <c r="N101" i="5"/>
  <c r="N4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5" i="5"/>
  <c r="N9" i="5"/>
  <c r="N13" i="5"/>
  <c r="N21" i="5"/>
  <c r="N25" i="5"/>
  <c r="N29" i="5"/>
  <c r="N33" i="5"/>
  <c r="N37" i="5"/>
  <c r="N41" i="5"/>
  <c r="N49" i="5"/>
  <c r="N57" i="5"/>
  <c r="N65" i="5"/>
  <c r="N73" i="5"/>
  <c r="N81" i="5"/>
  <c r="N89" i="5"/>
  <c r="N97" i="5"/>
  <c r="J3" i="5"/>
  <c r="K3" i="5" s="1"/>
  <c r="L3" i="5" s="1"/>
  <c r="K33" i="3"/>
  <c r="Q13" i="3"/>
  <c r="Q91" i="3"/>
  <c r="K89" i="3" s="1"/>
  <c r="K90" i="3" s="1"/>
  <c r="K91" i="3" s="1"/>
  <c r="Q96" i="3" s="1"/>
  <c r="K101" i="3" s="1"/>
  <c r="Q69" i="3"/>
  <c r="K74" i="3" s="1"/>
  <c r="K51" i="3"/>
  <c r="K76" i="3"/>
  <c r="Q99" i="3"/>
  <c r="K103" i="3" s="1"/>
  <c r="C265" i="1"/>
  <c r="C268" i="1" s="1"/>
  <c r="C269" i="1" s="1"/>
  <c r="C289" i="1" s="1"/>
  <c r="V83" i="3"/>
  <c r="V105" i="3" s="1"/>
  <c r="C122" i="3" s="1"/>
  <c r="Y53" i="1"/>
  <c r="Y54" i="1"/>
  <c r="Y55" i="1" s="1"/>
  <c r="AX110" i="1"/>
  <c r="AZ104" i="1"/>
  <c r="AX39" i="1"/>
  <c r="N194" i="1"/>
  <c r="AK76" i="1"/>
  <c r="Y75" i="1"/>
  <c r="N204" i="1"/>
  <c r="N206" i="1" s="1"/>
  <c r="N208" i="1" s="1"/>
  <c r="N209" i="1" s="1"/>
  <c r="C132" i="3" l="1"/>
  <c r="C134" i="3" s="1"/>
  <c r="C140" i="3" s="1"/>
  <c r="Q105" i="3"/>
  <c r="Q60" i="3"/>
  <c r="Q61" i="3" s="1"/>
  <c r="Q59" i="3"/>
  <c r="Q17" i="3"/>
  <c r="K37" i="3" s="1"/>
  <c r="K41" i="3" s="1"/>
  <c r="Q19" i="3"/>
  <c r="Q58" i="3"/>
  <c r="Q78" i="3"/>
  <c r="Q46" i="3"/>
  <c r="AB13" i="3"/>
  <c r="AB15" i="3" s="1"/>
  <c r="AB16" i="3" s="1"/>
  <c r="C299" i="1"/>
  <c r="C305" i="1" s="1"/>
  <c r="C120" i="3"/>
  <c r="N227" i="1"/>
  <c r="Q220" i="1"/>
  <c r="AX51" i="1"/>
  <c r="AX75" i="1"/>
  <c r="R256" i="1"/>
  <c r="N255" i="1"/>
  <c r="N253" i="1" s="1"/>
  <c r="N259" i="1" s="1"/>
  <c r="N260" i="1" s="1"/>
  <c r="N262" i="1" s="1"/>
  <c r="O263" i="1" s="1"/>
  <c r="Y76" i="1"/>
  <c r="Y77" i="1"/>
  <c r="Y78" i="1" s="1"/>
  <c r="Y56" i="1"/>
  <c r="AX40" i="1"/>
  <c r="AX53" i="1" s="1"/>
  <c r="N234" i="1" l="1"/>
  <c r="C127" i="3"/>
  <c r="C151" i="3"/>
  <c r="I4" i="5"/>
  <c r="J4" i="5" s="1"/>
  <c r="K4" i="5" s="1"/>
  <c r="L4" i="5" s="1"/>
  <c r="BD51" i="1"/>
  <c r="BD53" i="1" s="1"/>
  <c r="BD55" i="1" s="1"/>
  <c r="BD58" i="1" s="1"/>
  <c r="Q62" i="3"/>
  <c r="Q63" i="3" s="1"/>
  <c r="Q64" i="3" s="1"/>
  <c r="K62" i="3" s="1"/>
  <c r="K63" i="3" s="1"/>
  <c r="K64" i="3" s="1"/>
  <c r="Q70" i="3" s="1"/>
  <c r="Q38" i="3"/>
  <c r="K52" i="3" s="1"/>
  <c r="AX54" i="1"/>
  <c r="AX68" i="1"/>
  <c r="N211" i="1"/>
  <c r="S76" i="1"/>
  <c r="S77" i="1" s="1"/>
  <c r="S78" i="1" s="1"/>
  <c r="AX67" i="1" s="1"/>
  <c r="R59" i="1"/>
  <c r="T59" i="1"/>
  <c r="Q248" i="1"/>
  <c r="O248" i="1" s="1"/>
  <c r="P233" i="1"/>
  <c r="P236" i="1" l="1"/>
  <c r="B36" i="4"/>
  <c r="B37" i="4" s="1"/>
  <c r="BD80" i="1"/>
  <c r="BD82" i="1" s="1"/>
  <c r="BD84" i="1" s="1"/>
  <c r="BD87" i="1" s="1"/>
  <c r="H5" i="5"/>
  <c r="M4" i="5"/>
  <c r="C154" i="3"/>
  <c r="C159" i="3"/>
  <c r="C176" i="3" s="1"/>
  <c r="C197" i="3" s="1"/>
  <c r="C203" i="3" s="1"/>
  <c r="V140" i="3" s="1"/>
  <c r="V143" i="3" s="1"/>
  <c r="Q48" i="3"/>
  <c r="Q49" i="3" s="1"/>
  <c r="K54" i="3"/>
  <c r="Q97" i="3"/>
  <c r="K102" i="3" s="1"/>
  <c r="K75" i="3"/>
  <c r="Y79" i="1"/>
  <c r="S79" i="1"/>
  <c r="T83" i="1" s="1"/>
  <c r="AZ110" i="1"/>
  <c r="BA110" i="1" s="1"/>
  <c r="BB104" i="1"/>
  <c r="BC104" i="1" s="1"/>
  <c r="AC237" i="1"/>
  <c r="AC238" i="1"/>
  <c r="O66" i="1"/>
  <c r="O67" i="1" s="1"/>
  <c r="AX77" i="1"/>
  <c r="AX78" i="1" s="1"/>
  <c r="I5" i="5" l="1"/>
  <c r="J5" i="5" s="1"/>
  <c r="K5" i="5" s="1"/>
  <c r="L5" i="5" s="1"/>
  <c r="Q80" i="3"/>
  <c r="Q81" i="3" s="1"/>
  <c r="K77" i="3"/>
  <c r="Q107" i="3"/>
  <c r="Q108" i="3" s="1"/>
  <c r="K104" i="3"/>
  <c r="AC240" i="1"/>
  <c r="R82" i="1"/>
  <c r="C224" i="1" s="1"/>
  <c r="U81" i="1"/>
  <c r="R83" i="1"/>
  <c r="W81" i="1"/>
  <c r="H6" i="5" l="1"/>
  <c r="M5" i="5"/>
  <c r="C234" i="1"/>
  <c r="C237" i="1" s="1"/>
  <c r="C241" i="1" s="1"/>
  <c r="C247" i="1" s="1"/>
  <c r="B104" i="4" l="1"/>
  <c r="C472" i="1"/>
  <c r="C475" i="1" s="1"/>
  <c r="C477" i="1" s="1"/>
  <c r="I6" i="5"/>
  <c r="J6" i="5" s="1"/>
  <c r="K6" i="5" s="1"/>
  <c r="L6" i="5" s="1"/>
  <c r="E104" i="4" l="1"/>
  <c r="B132" i="4"/>
  <c r="B133" i="4" s="1"/>
  <c r="H7" i="5"/>
  <c r="M6" i="5"/>
  <c r="I7" i="5" l="1"/>
  <c r="J7" i="5" s="1"/>
  <c r="K7" i="5" s="1"/>
  <c r="L7" i="5" s="1"/>
  <c r="H8" i="5" l="1"/>
  <c r="M7" i="5"/>
  <c r="I8" i="5" l="1"/>
  <c r="J8" i="5" s="1"/>
  <c r="K8" i="5" s="1"/>
  <c r="L8" i="5" s="1"/>
  <c r="H9" i="5" s="1"/>
  <c r="M8" i="5" l="1"/>
  <c r="I9" i="5"/>
  <c r="J9" i="5" s="1"/>
  <c r="K9" i="5" s="1"/>
  <c r="L9" i="5" s="1"/>
  <c r="H10" i="5" s="1"/>
  <c r="I10" i="5" l="1"/>
  <c r="J10" i="5" s="1"/>
  <c r="K10" i="5" s="1"/>
  <c r="L10" i="5" s="1"/>
  <c r="H11" i="5" s="1"/>
  <c r="M9" i="5"/>
  <c r="M10" i="5" l="1"/>
  <c r="I11" i="5"/>
  <c r="J11" i="5" s="1"/>
  <c r="K11" i="5" s="1"/>
  <c r="L11" i="5" s="1"/>
  <c r="H12" i="5" s="1"/>
  <c r="M11" i="5" l="1"/>
  <c r="I12" i="5"/>
  <c r="J12" i="5" s="1"/>
  <c r="K12" i="5" s="1"/>
  <c r="L12" i="5" s="1"/>
  <c r="H13" i="5" s="1"/>
  <c r="I13" i="5" l="1"/>
  <c r="J13" i="5" s="1"/>
  <c r="K13" i="5" s="1"/>
  <c r="L13" i="5" s="1"/>
  <c r="H14" i="5" s="1"/>
  <c r="M12" i="5"/>
  <c r="M13" i="5" l="1"/>
  <c r="I14" i="5"/>
  <c r="J14" i="5" s="1"/>
  <c r="K14" i="5" s="1"/>
  <c r="L14" i="5" s="1"/>
  <c r="H15" i="5" s="1"/>
  <c r="I15" i="5" l="1"/>
  <c r="J15" i="5" s="1"/>
  <c r="K15" i="5" s="1"/>
  <c r="L15" i="5" s="1"/>
  <c r="H16" i="5" s="1"/>
  <c r="M14" i="5"/>
  <c r="M15" i="5" l="1"/>
  <c r="I16" i="5"/>
  <c r="J16" i="5" s="1"/>
  <c r="K16" i="5" s="1"/>
  <c r="L16" i="5" s="1"/>
  <c r="H17" i="5" s="1"/>
  <c r="I17" i="5" l="1"/>
  <c r="J17" i="5" s="1"/>
  <c r="K17" i="5" s="1"/>
  <c r="L17" i="5" s="1"/>
  <c r="H18" i="5" s="1"/>
  <c r="M16" i="5"/>
  <c r="I18" i="5" l="1"/>
  <c r="J18" i="5" s="1"/>
  <c r="K18" i="5" s="1"/>
  <c r="L18" i="5" s="1"/>
  <c r="H19" i="5" s="1"/>
  <c r="M17" i="5"/>
  <c r="I19" i="5" l="1"/>
  <c r="J19" i="5" s="1"/>
  <c r="K19" i="5" s="1"/>
  <c r="L19" i="5" s="1"/>
  <c r="H20" i="5" s="1"/>
  <c r="M18" i="5"/>
  <c r="M19" i="5" l="1"/>
  <c r="I20" i="5"/>
  <c r="J20" i="5" s="1"/>
  <c r="K20" i="5" s="1"/>
  <c r="L20" i="5" s="1"/>
  <c r="H21" i="5" s="1"/>
  <c r="M20" i="5" l="1"/>
  <c r="I21" i="5"/>
  <c r="J21" i="5" s="1"/>
  <c r="K21" i="5" s="1"/>
  <c r="L21" i="5" s="1"/>
  <c r="H22" i="5" s="1"/>
  <c r="I22" i="5" l="1"/>
  <c r="J22" i="5" s="1"/>
  <c r="K22" i="5" s="1"/>
  <c r="L22" i="5" s="1"/>
  <c r="H23" i="5" s="1"/>
  <c r="M21" i="5"/>
  <c r="I23" i="5" l="1"/>
  <c r="J23" i="5" s="1"/>
  <c r="K23" i="5" s="1"/>
  <c r="L23" i="5" s="1"/>
  <c r="H24" i="5" s="1"/>
  <c r="M22" i="5"/>
  <c r="M23" i="5" l="1"/>
  <c r="I24" i="5"/>
  <c r="J24" i="5" s="1"/>
  <c r="K24" i="5" s="1"/>
  <c r="L24" i="5" s="1"/>
  <c r="H25" i="5" s="1"/>
  <c r="I25" i="5" l="1"/>
  <c r="J25" i="5" s="1"/>
  <c r="K25" i="5" s="1"/>
  <c r="L25" i="5" s="1"/>
  <c r="H26" i="5" s="1"/>
  <c r="M24" i="5"/>
  <c r="M25" i="5" l="1"/>
  <c r="I26" i="5"/>
  <c r="J26" i="5" s="1"/>
  <c r="K26" i="5" s="1"/>
  <c r="L26" i="5" s="1"/>
  <c r="H27" i="5" s="1"/>
  <c r="M26" i="5" l="1"/>
  <c r="I27" i="5"/>
  <c r="J27" i="5" s="1"/>
  <c r="K27" i="5" s="1"/>
  <c r="L27" i="5" s="1"/>
  <c r="H28" i="5" s="1"/>
  <c r="I28" i="5" l="1"/>
  <c r="J28" i="5" s="1"/>
  <c r="K28" i="5" s="1"/>
  <c r="L28" i="5" s="1"/>
  <c r="H29" i="5" s="1"/>
  <c r="M27" i="5"/>
  <c r="M28" i="5" l="1"/>
  <c r="I29" i="5"/>
  <c r="J29" i="5" s="1"/>
  <c r="K29" i="5" s="1"/>
  <c r="L29" i="5" s="1"/>
  <c r="H30" i="5" s="1"/>
  <c r="M29" i="5" l="1"/>
  <c r="I30" i="5"/>
  <c r="J30" i="5" s="1"/>
  <c r="K30" i="5" s="1"/>
  <c r="L30" i="5" s="1"/>
  <c r="H31" i="5" s="1"/>
  <c r="M30" i="5" l="1"/>
  <c r="I31" i="5"/>
  <c r="J31" i="5" s="1"/>
  <c r="K31" i="5" s="1"/>
  <c r="L31" i="5" s="1"/>
  <c r="H32" i="5" s="1"/>
  <c r="M31" i="5" l="1"/>
  <c r="I32" i="5"/>
  <c r="J32" i="5" s="1"/>
  <c r="K32" i="5" s="1"/>
  <c r="L32" i="5" s="1"/>
  <c r="H33" i="5" s="1"/>
  <c r="M32" i="5" l="1"/>
  <c r="I33" i="5"/>
  <c r="J33" i="5" s="1"/>
  <c r="K33" i="5" s="1"/>
  <c r="L33" i="5" s="1"/>
  <c r="H34" i="5" s="1"/>
  <c r="M33" i="5" l="1"/>
  <c r="I34" i="5"/>
  <c r="J34" i="5" s="1"/>
  <c r="K34" i="5" s="1"/>
  <c r="L34" i="5" s="1"/>
  <c r="H35" i="5" s="1"/>
  <c r="M34" i="5" l="1"/>
  <c r="I35" i="5"/>
  <c r="J35" i="5" s="1"/>
  <c r="K35" i="5" s="1"/>
  <c r="L35" i="5" s="1"/>
  <c r="H36" i="5" s="1"/>
  <c r="M35" i="5" l="1"/>
  <c r="I36" i="5"/>
  <c r="J36" i="5" s="1"/>
  <c r="K36" i="5" s="1"/>
  <c r="L36" i="5" s="1"/>
  <c r="H37" i="5" s="1"/>
  <c r="M36" i="5" l="1"/>
  <c r="I37" i="5"/>
  <c r="J37" i="5" s="1"/>
  <c r="K37" i="5" s="1"/>
  <c r="L37" i="5" s="1"/>
  <c r="H38" i="5" s="1"/>
  <c r="M37" i="5" l="1"/>
  <c r="I38" i="5"/>
  <c r="J38" i="5" s="1"/>
  <c r="K38" i="5" s="1"/>
  <c r="L38" i="5" s="1"/>
  <c r="H39" i="5" s="1"/>
  <c r="M38" i="5" l="1"/>
  <c r="I39" i="5"/>
  <c r="J39" i="5" s="1"/>
  <c r="K39" i="5" s="1"/>
  <c r="L39" i="5" s="1"/>
  <c r="H40" i="5" s="1"/>
  <c r="M39" i="5" l="1"/>
  <c r="I40" i="5"/>
  <c r="J40" i="5" s="1"/>
  <c r="K40" i="5" s="1"/>
  <c r="L40" i="5" s="1"/>
  <c r="H41" i="5" s="1"/>
  <c r="M40" i="5" l="1"/>
  <c r="I41" i="5"/>
  <c r="J41" i="5" s="1"/>
  <c r="K41" i="5" s="1"/>
  <c r="L41" i="5" s="1"/>
  <c r="H42" i="5" s="1"/>
  <c r="M41" i="5" l="1"/>
  <c r="I42" i="5"/>
  <c r="J42" i="5" s="1"/>
  <c r="K42" i="5" s="1"/>
  <c r="L42" i="5" s="1"/>
  <c r="H43" i="5" s="1"/>
  <c r="M42" i="5" l="1"/>
  <c r="I43" i="5"/>
  <c r="J43" i="5" s="1"/>
  <c r="K43" i="5" s="1"/>
  <c r="L43" i="5" s="1"/>
  <c r="H44" i="5" s="1"/>
  <c r="M43" i="5" l="1"/>
  <c r="I44" i="5"/>
  <c r="J44" i="5" s="1"/>
  <c r="K44" i="5" s="1"/>
  <c r="L44" i="5" s="1"/>
  <c r="H45" i="5" s="1"/>
  <c r="M44" i="5" l="1"/>
  <c r="I45" i="5"/>
  <c r="J45" i="5" s="1"/>
  <c r="K45" i="5" s="1"/>
  <c r="L45" i="5" s="1"/>
  <c r="H46" i="5" s="1"/>
  <c r="M45" i="5" l="1"/>
  <c r="I46" i="5"/>
  <c r="J46" i="5" s="1"/>
  <c r="K46" i="5" s="1"/>
  <c r="L46" i="5" s="1"/>
  <c r="H47" i="5" s="1"/>
  <c r="M46" i="5" l="1"/>
  <c r="I47" i="5"/>
  <c r="J47" i="5" s="1"/>
  <c r="K47" i="5" s="1"/>
  <c r="L47" i="5" s="1"/>
  <c r="H48" i="5" s="1"/>
  <c r="M47" i="5" l="1"/>
  <c r="I48" i="5"/>
  <c r="J48" i="5" s="1"/>
  <c r="K48" i="5" s="1"/>
  <c r="L48" i="5" s="1"/>
  <c r="H49" i="5" s="1"/>
  <c r="I49" i="5" l="1"/>
  <c r="J49" i="5" s="1"/>
  <c r="K49" i="5" s="1"/>
  <c r="L49" i="5" s="1"/>
  <c r="H50" i="5" s="1"/>
  <c r="M48" i="5"/>
  <c r="M49" i="5" l="1"/>
  <c r="I50" i="5"/>
  <c r="J50" i="5" s="1"/>
  <c r="K50" i="5" s="1"/>
  <c r="L50" i="5" s="1"/>
  <c r="H51" i="5" s="1"/>
  <c r="M50" i="5" l="1"/>
  <c r="I51" i="5"/>
  <c r="J51" i="5" s="1"/>
  <c r="K51" i="5" s="1"/>
  <c r="L51" i="5" s="1"/>
  <c r="H52" i="5" s="1"/>
  <c r="M51" i="5" l="1"/>
  <c r="I52" i="5"/>
  <c r="J52" i="5" s="1"/>
  <c r="K52" i="5" s="1"/>
  <c r="L52" i="5" s="1"/>
  <c r="H53" i="5" s="1"/>
  <c r="M52" i="5" l="1"/>
  <c r="I53" i="5"/>
  <c r="J53" i="5" s="1"/>
  <c r="K53" i="5" s="1"/>
  <c r="L53" i="5" s="1"/>
  <c r="H54" i="5" s="1"/>
  <c r="M53" i="5" l="1"/>
  <c r="I54" i="5"/>
  <c r="J54" i="5" s="1"/>
  <c r="K54" i="5" s="1"/>
  <c r="L54" i="5" s="1"/>
  <c r="H55" i="5" s="1"/>
  <c r="I55" i="5" l="1"/>
  <c r="J55" i="5" s="1"/>
  <c r="K55" i="5" s="1"/>
  <c r="L55" i="5" s="1"/>
  <c r="H56" i="5" s="1"/>
  <c r="M54" i="5"/>
  <c r="M55" i="5" l="1"/>
  <c r="I56" i="5"/>
  <c r="J56" i="5" s="1"/>
  <c r="K56" i="5" s="1"/>
  <c r="L56" i="5" s="1"/>
  <c r="H57" i="5" s="1"/>
  <c r="M56" i="5" l="1"/>
  <c r="I57" i="5"/>
  <c r="J57" i="5" s="1"/>
  <c r="K57" i="5" s="1"/>
  <c r="L57" i="5" s="1"/>
  <c r="H58" i="5" s="1"/>
  <c r="M57" i="5" l="1"/>
  <c r="I58" i="5"/>
  <c r="J58" i="5" s="1"/>
  <c r="K58" i="5" s="1"/>
  <c r="L58" i="5" s="1"/>
  <c r="H59" i="5" s="1"/>
  <c r="M58" i="5" l="1"/>
  <c r="I59" i="5"/>
  <c r="J59" i="5" s="1"/>
  <c r="K59" i="5" s="1"/>
  <c r="L59" i="5" s="1"/>
  <c r="H60" i="5" s="1"/>
  <c r="M59" i="5" l="1"/>
  <c r="I60" i="5"/>
  <c r="J60" i="5" s="1"/>
  <c r="K60" i="5" s="1"/>
  <c r="L60" i="5" s="1"/>
  <c r="H61" i="5" s="1"/>
  <c r="M60" i="5" l="1"/>
  <c r="I61" i="5"/>
  <c r="J61" i="5" s="1"/>
  <c r="K61" i="5" s="1"/>
  <c r="L61" i="5" s="1"/>
  <c r="H62" i="5" s="1"/>
  <c r="I62" i="5" l="1"/>
  <c r="J62" i="5" s="1"/>
  <c r="K62" i="5" s="1"/>
  <c r="L62" i="5" s="1"/>
  <c r="H63" i="5" s="1"/>
  <c r="M61" i="5"/>
  <c r="M62" i="5" l="1"/>
  <c r="I63" i="5"/>
  <c r="J63" i="5" s="1"/>
  <c r="K63" i="5" s="1"/>
  <c r="L63" i="5" s="1"/>
  <c r="H64" i="5" s="1"/>
  <c r="I64" i="5" l="1"/>
  <c r="J64" i="5" s="1"/>
  <c r="K64" i="5" s="1"/>
  <c r="L64" i="5" s="1"/>
  <c r="H65" i="5" s="1"/>
  <c r="M63" i="5"/>
  <c r="M64" i="5" l="1"/>
  <c r="I65" i="5"/>
  <c r="J65" i="5" s="1"/>
  <c r="K65" i="5" s="1"/>
  <c r="L65" i="5" s="1"/>
  <c r="H66" i="5" s="1"/>
  <c r="I66" i="5" l="1"/>
  <c r="J66" i="5" s="1"/>
  <c r="K66" i="5" s="1"/>
  <c r="L66" i="5" s="1"/>
  <c r="H67" i="5" s="1"/>
  <c r="M65" i="5"/>
  <c r="M66" i="5" l="1"/>
  <c r="I67" i="5"/>
  <c r="J67" i="5" s="1"/>
  <c r="K67" i="5" s="1"/>
  <c r="L67" i="5" s="1"/>
  <c r="H68" i="5" s="1"/>
  <c r="I68" i="5" l="1"/>
  <c r="J68" i="5" s="1"/>
  <c r="K68" i="5" s="1"/>
  <c r="L68" i="5" s="1"/>
  <c r="H69" i="5" s="1"/>
  <c r="M67" i="5"/>
  <c r="M68" i="5" l="1"/>
  <c r="I69" i="5"/>
  <c r="J69" i="5" s="1"/>
  <c r="K69" i="5" s="1"/>
  <c r="L69" i="5" s="1"/>
  <c r="H70" i="5" s="1"/>
  <c r="M69" i="5" l="1"/>
  <c r="I70" i="5"/>
  <c r="J70" i="5" s="1"/>
  <c r="K70" i="5" s="1"/>
  <c r="L70" i="5" s="1"/>
  <c r="H71" i="5" s="1"/>
  <c r="I71" i="5" l="1"/>
  <c r="J71" i="5" s="1"/>
  <c r="K71" i="5" s="1"/>
  <c r="L71" i="5" s="1"/>
  <c r="H72" i="5" s="1"/>
  <c r="M70" i="5"/>
  <c r="M71" i="5" l="1"/>
  <c r="I72" i="5"/>
  <c r="J72" i="5" s="1"/>
  <c r="K72" i="5" s="1"/>
  <c r="L72" i="5" s="1"/>
  <c r="H73" i="5" s="1"/>
  <c r="I73" i="5" l="1"/>
  <c r="J73" i="5" s="1"/>
  <c r="K73" i="5" s="1"/>
  <c r="L73" i="5" s="1"/>
  <c r="H74" i="5" s="1"/>
  <c r="M72" i="5"/>
  <c r="M73" i="5" l="1"/>
  <c r="I74" i="5"/>
  <c r="J74" i="5" s="1"/>
  <c r="K74" i="5" s="1"/>
  <c r="L74" i="5" s="1"/>
  <c r="H75" i="5" s="1"/>
  <c r="M74" i="5" l="1"/>
  <c r="I75" i="5"/>
  <c r="J75" i="5" s="1"/>
  <c r="K75" i="5" s="1"/>
  <c r="L75" i="5" s="1"/>
  <c r="H76" i="5" s="1"/>
  <c r="M75" i="5" l="1"/>
  <c r="I76" i="5"/>
  <c r="J76" i="5" s="1"/>
  <c r="K76" i="5" s="1"/>
  <c r="L76" i="5" s="1"/>
  <c r="H77" i="5" s="1"/>
  <c r="I77" i="5" l="1"/>
  <c r="J77" i="5" s="1"/>
  <c r="K77" i="5" s="1"/>
  <c r="L77" i="5" s="1"/>
  <c r="H78" i="5" s="1"/>
  <c r="M76" i="5"/>
  <c r="M77" i="5" l="1"/>
  <c r="I78" i="5"/>
  <c r="J78" i="5" s="1"/>
  <c r="K78" i="5" s="1"/>
  <c r="L78" i="5" s="1"/>
  <c r="H79" i="5" s="1"/>
  <c r="M78" i="5" l="1"/>
  <c r="I79" i="5"/>
  <c r="J79" i="5" s="1"/>
  <c r="K79" i="5" s="1"/>
  <c r="L79" i="5" s="1"/>
  <c r="H80" i="5" s="1"/>
  <c r="M79" i="5" l="1"/>
  <c r="I80" i="5"/>
  <c r="J80" i="5" s="1"/>
  <c r="K80" i="5" s="1"/>
  <c r="L80" i="5" s="1"/>
  <c r="H81" i="5" s="1"/>
  <c r="M80" i="5" l="1"/>
  <c r="I81" i="5"/>
  <c r="J81" i="5" s="1"/>
  <c r="K81" i="5" s="1"/>
  <c r="L81" i="5" s="1"/>
  <c r="H82" i="5" s="1"/>
  <c r="M81" i="5" l="1"/>
  <c r="I82" i="5"/>
  <c r="J82" i="5" s="1"/>
  <c r="K82" i="5" s="1"/>
  <c r="L82" i="5" s="1"/>
  <c r="H83" i="5" s="1"/>
  <c r="M82" i="5" l="1"/>
  <c r="I83" i="5"/>
  <c r="J83" i="5" s="1"/>
  <c r="K83" i="5" s="1"/>
  <c r="L83" i="5" s="1"/>
  <c r="H84" i="5" s="1"/>
  <c r="M83" i="5" l="1"/>
  <c r="I84" i="5"/>
  <c r="J84" i="5" s="1"/>
  <c r="K84" i="5" s="1"/>
  <c r="L84" i="5" s="1"/>
  <c r="H85" i="5" s="1"/>
  <c r="M84" i="5" l="1"/>
  <c r="I85" i="5"/>
  <c r="J85" i="5" s="1"/>
  <c r="K85" i="5" s="1"/>
  <c r="L85" i="5" s="1"/>
  <c r="H86" i="5" s="1"/>
  <c r="I86" i="5" l="1"/>
  <c r="J86" i="5" s="1"/>
  <c r="K86" i="5" s="1"/>
  <c r="L86" i="5" s="1"/>
  <c r="H87" i="5" s="1"/>
  <c r="M85" i="5"/>
  <c r="M86" i="5" l="1"/>
  <c r="I87" i="5"/>
  <c r="J87" i="5" s="1"/>
  <c r="K87" i="5" s="1"/>
  <c r="L87" i="5" s="1"/>
  <c r="H88" i="5" s="1"/>
  <c r="M87" i="5" l="1"/>
  <c r="I88" i="5"/>
  <c r="J88" i="5" s="1"/>
  <c r="K88" i="5" s="1"/>
  <c r="L88" i="5" s="1"/>
  <c r="H89" i="5" s="1"/>
  <c r="I89" i="5" l="1"/>
  <c r="J89" i="5" s="1"/>
  <c r="K89" i="5" s="1"/>
  <c r="L89" i="5" s="1"/>
  <c r="H90" i="5" s="1"/>
  <c r="M88" i="5"/>
  <c r="M89" i="5" l="1"/>
  <c r="I90" i="5"/>
  <c r="J90" i="5" s="1"/>
  <c r="K90" i="5" s="1"/>
  <c r="L90" i="5" s="1"/>
  <c r="H91" i="5" s="1"/>
  <c r="I91" i="5" l="1"/>
  <c r="J91" i="5" s="1"/>
  <c r="K91" i="5" s="1"/>
  <c r="L91" i="5" s="1"/>
  <c r="H92" i="5" s="1"/>
  <c r="M90" i="5"/>
  <c r="M91" i="5" l="1"/>
  <c r="I92" i="5"/>
  <c r="J92" i="5" s="1"/>
  <c r="K92" i="5" s="1"/>
  <c r="L92" i="5" s="1"/>
  <c r="H93" i="5" s="1"/>
  <c r="I93" i="5" l="1"/>
  <c r="J93" i="5" s="1"/>
  <c r="K93" i="5" s="1"/>
  <c r="L93" i="5" s="1"/>
  <c r="H94" i="5" s="1"/>
  <c r="M92" i="5"/>
  <c r="M93" i="5" l="1"/>
  <c r="I94" i="5"/>
  <c r="J94" i="5" s="1"/>
  <c r="K94" i="5" s="1"/>
  <c r="L94" i="5" s="1"/>
  <c r="H95" i="5" s="1"/>
  <c r="M94" i="5" l="1"/>
  <c r="I95" i="5"/>
  <c r="J95" i="5" s="1"/>
  <c r="K95" i="5" s="1"/>
  <c r="L95" i="5" s="1"/>
  <c r="H96" i="5" s="1"/>
  <c r="M95" i="5" l="1"/>
  <c r="I96" i="5"/>
  <c r="J96" i="5" s="1"/>
  <c r="K96" i="5" s="1"/>
  <c r="L96" i="5" s="1"/>
  <c r="H97" i="5" s="1"/>
  <c r="I97" i="5" s="1"/>
  <c r="J97" i="5" s="1"/>
  <c r="K97" i="5" s="1"/>
  <c r="L97" i="5" s="1"/>
  <c r="H98" i="5" s="1"/>
  <c r="I98" i="5" s="1"/>
  <c r="J98" i="5" s="1"/>
  <c r="K98" i="5" s="1"/>
  <c r="L98" i="5" s="1"/>
  <c r="M97" i="5" l="1"/>
  <c r="M96" i="5"/>
  <c r="H99" i="5"/>
  <c r="M98" i="5"/>
  <c r="I99" i="5" l="1"/>
  <c r="J99" i="5" s="1"/>
  <c r="K99" i="5" s="1"/>
  <c r="L99" i="5" s="1"/>
  <c r="H100" i="5" s="1"/>
  <c r="M99" i="5" l="1"/>
  <c r="I100" i="5"/>
  <c r="J100" i="5" s="1"/>
  <c r="K100" i="5" s="1"/>
  <c r="L100" i="5" s="1"/>
  <c r="H101" i="5" s="1"/>
  <c r="I101" i="5" l="1"/>
  <c r="J101" i="5" s="1"/>
  <c r="K101" i="5" s="1"/>
  <c r="L101" i="5" s="1"/>
  <c r="H102" i="5" s="1"/>
  <c r="M100" i="5"/>
  <c r="I102" i="5" l="1"/>
  <c r="M101" i="5"/>
  <c r="J102" i="5" l="1"/>
  <c r="K109" i="5"/>
  <c r="K102" i="5" l="1"/>
  <c r="K107" i="5"/>
  <c r="L102" i="5" l="1"/>
  <c r="M102" i="5" s="1"/>
  <c r="K10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Pirini Casadei</author>
    <author>Alessandro Peripoli</author>
  </authors>
  <commentList>
    <comment ref="AN71" authorId="0" shapeId="0" xr:uid="{F5EAF906-CDD3-1D47-88B4-FBD35E7C919E}">
      <text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Numero alette massimo</t>
        </r>
      </text>
    </comment>
    <comment ref="N72" authorId="0" shapeId="0" xr:uid="{5EBDC2FF-D49A-264D-B2CD-A1FD46CEEFB6}">
      <text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Numero alette massimo</t>
        </r>
      </text>
    </comment>
    <comment ref="AK77" authorId="0" shapeId="0" xr:uid="{F2956A81-6620-1646-93C4-4860ADCEC486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Visto che il flusso è laminare, per un flusso costante nusselt è pari a 4,36 (Vedi PDF 'Nusselt_laminare')</t>
        </r>
      </text>
    </comment>
    <comment ref="N184" authorId="0" shapeId="0" xr:uid="{41403E22-D517-874A-9EF7-5E1A668808DC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Considerare quello dell'aria, detto dal prof.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può prendere un valore intorno a 0,5</t>
        </r>
      </text>
    </comment>
    <comment ref="N197" authorId="0" shapeId="0" xr:uid="{2DE2BC55-D4D2-5B41-9C66-D8D22C04C7C9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Presa uguele al capitolo 2
</t>
        </r>
      </text>
    </comment>
    <comment ref="N211" authorId="0" shapeId="0" xr:uid="{F43BCC38-0460-114A-AB26-6C754FBFF8DA}">
      <text>
        <r>
          <rPr>
            <sz val="10"/>
            <color rgb="FF000000"/>
            <rFont val="Tahoma"/>
            <family val="2"/>
          </rPr>
          <t xml:space="preserve">Preso da capitolo 2
</t>
        </r>
      </text>
    </comment>
    <comment ref="N231" authorId="0" shapeId="0" xr:uid="{22F6DE57-6445-3F45-9ACE-71515458D466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 può prendere un valore intorno a 0,5</t>
        </r>
      </text>
    </comment>
    <comment ref="R234" authorId="0" shapeId="0" xr:uid="{897BC46B-65D4-AA48-94C5-A955D257E95C}">
      <text>
        <r>
          <rPr>
            <b/>
            <sz val="10"/>
            <color rgb="FF000000"/>
            <rFont val="Tahoma"/>
            <family val="2"/>
          </rPr>
          <t xml:space="preserve">Luca Pirini Casadei:
</t>
        </r>
        <r>
          <rPr>
            <sz val="10"/>
            <color rgb="FF000000"/>
            <rFont val="Tahoma"/>
            <family val="2"/>
          </rPr>
          <t xml:space="preserve">Abbiamo imposto la Temperatura T_2int in modo che il flusso di perdita nel tubo due fosse uguale a quello che il tubo due scambia con l'ambiente in assenza di isolante. 
</t>
        </r>
        <r>
          <rPr>
            <sz val="10"/>
            <color rgb="FF000000"/>
            <rFont val="Tahoma"/>
            <family val="2"/>
          </rPr>
          <t>Ottenuto un valore di flusso perso pari al 0,2% si è deciso di imporre uno strato di isolante tale per cui la perdita fosse di un valore minore -&gt; 0,1%</t>
        </r>
      </text>
    </comment>
    <comment ref="P248" authorId="0" shapeId="0" xr:uid="{B9E6E3C4-AFFC-874F-BA6B-7C17E9C0046C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Fare convergenza con risolutore imponendo vincoli:
</t>
        </r>
        <r>
          <rPr>
            <sz val="10"/>
            <color rgb="FF000000"/>
            <rFont val="Tahoma"/>
            <family val="2"/>
          </rPr>
          <t xml:space="preserve">*T_iso&gt;=T_aria_se
</t>
        </r>
        <r>
          <rPr>
            <sz val="10"/>
            <color rgb="FF000000"/>
            <rFont val="Tahoma"/>
            <family val="2"/>
          </rPr>
          <t xml:space="preserve">*T_iso&lt;=T_2ext
</t>
        </r>
        <r>
          <rPr>
            <sz val="10"/>
            <color rgb="FF000000"/>
            <rFont val="Tahoma"/>
            <family val="2"/>
          </rPr>
          <t>*d_iso&gt;d_2ext</t>
        </r>
      </text>
    </comment>
    <comment ref="A453" authorId="1" shapeId="0" xr:uid="{582FD523-9B1A-401E-8147-91668D5C8431}">
      <text>
        <r>
          <rPr>
            <b/>
            <sz val="9"/>
            <color rgb="FF000000"/>
            <rFont val="Tahoma"/>
            <family val="2"/>
          </rPr>
          <t>Alessandro Peripoli: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 mese in mese si considera la temperatura T_ext e si calcola la phi_diss=phi_f+phi_p+phi_s+phi_t</t>
        </r>
      </text>
    </comment>
    <comment ref="A455" authorId="1" shapeId="0" xr:uid="{67A2757E-A5F9-4E37-AAA0-AEFD0310B991}">
      <text>
        <r>
          <rPr>
            <b/>
            <sz val="9"/>
            <color rgb="FF000000"/>
            <rFont val="Tahoma"/>
            <family val="2"/>
          </rPr>
          <t>Alessandro Peripoli: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phi_diss+Q*phi_c=0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----E=phi_c+Q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Peripoli</author>
  </authors>
  <commentList>
    <comment ref="T118" authorId="0" shapeId="0" xr:uid="{1DEA099D-258D-6247-8950-46E8D09EAFB8}">
      <text>
        <r>
          <rPr>
            <b/>
            <sz val="9"/>
            <color rgb="FF000000"/>
            <rFont val="Tahoma"/>
            <family val="2"/>
          </rPr>
          <t>Alessandro Peripoli: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 mese in mese si considera la temperatura T_ext e si calcola la phi_diss=phi_f+phi_p+phi_s+phi_t</t>
        </r>
      </text>
    </comment>
    <comment ref="T120" authorId="0" shapeId="0" xr:uid="{33012A04-17FE-414C-878C-9ED5CC3725D7}">
      <text>
        <r>
          <rPr>
            <b/>
            <sz val="9"/>
            <color rgb="FF000000"/>
            <rFont val="Tahoma"/>
            <family val="2"/>
          </rPr>
          <t>Alessandro Peripoli: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phi_diss+Q*phi_c=0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----E=phi_c+Q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Peripoli</author>
    <author>Luca Pirini Casadei</author>
  </authors>
  <commentList>
    <comment ref="E9" authorId="0" shapeId="0" xr:uid="{AD5404B5-637D-0945-94E5-FA4D8EAFDF09}">
      <text>
        <r>
          <rPr>
            <sz val="9"/>
            <color rgb="FF000000"/>
            <rFont val="Tahoma"/>
            <family val="2"/>
          </rPr>
          <t>??</t>
        </r>
      </text>
    </comment>
    <comment ref="A31" authorId="0" shapeId="0" xr:uid="{B6786C32-ABD1-F148-9551-5D8038DFD7E1}">
      <text>
        <r>
          <rPr>
            <sz val="9"/>
            <color indexed="81"/>
            <rFont val="Tahoma"/>
            <family val="2"/>
          </rPr>
          <t>le perdite verso l'esterno sono molto contenute, si potrebbe immaginare adiabatico verso l'esterno</t>
        </r>
      </text>
    </comment>
    <comment ref="A42" authorId="0" shapeId="0" xr:uid="{74B52BEF-3A3D-494A-9A70-593861D1734D}">
      <text>
        <r>
          <rPr>
            <sz val="9"/>
            <color indexed="81"/>
            <rFont val="Tahoma"/>
            <family val="2"/>
          </rPr>
          <t>l'azoto iene trascurato (inerte durante le reazioni)</t>
        </r>
      </text>
    </comment>
    <comment ref="A44" authorId="0" shapeId="0" xr:uid="{9B57ADD0-3CC2-644F-9602-CE0F56E742B3}">
      <text>
        <r>
          <rPr>
            <sz val="9"/>
            <color rgb="FF000000"/>
            <rFont val="Tahoma"/>
            <family val="2"/>
          </rPr>
          <t>proprietà calcolate a 25</t>
        </r>
        <r>
          <rPr>
            <sz val="9"/>
            <color rgb="FF000000"/>
            <rFont val="Tahoma"/>
            <family val="2"/>
          </rPr>
          <t>°</t>
        </r>
        <r>
          <rPr>
            <sz val="9"/>
            <color rgb="FF000000"/>
            <rFont val="Tahoma"/>
            <family val="2"/>
          </rPr>
          <t xml:space="preserve">C e 1 atm
</t>
        </r>
      </text>
    </comment>
    <comment ref="K61" authorId="0" shapeId="0" xr:uid="{EFE20B90-BC6B-9048-AB45-B1DF07790154}">
      <text>
        <r>
          <rPr>
            <sz val="9"/>
            <color indexed="81"/>
            <rFont val="Tahoma"/>
            <family val="2"/>
          </rPr>
          <t>valida per combustibili gassosi</t>
        </r>
      </text>
    </comment>
    <comment ref="B74" authorId="0" shapeId="0" xr:uid="{A5C047DB-5827-43C4-A4E1-2506E3B89C14}">
      <text>
        <r>
          <rPr>
            <sz val="9"/>
            <color indexed="81"/>
            <rFont val="Tahoma"/>
            <family val="2"/>
          </rPr>
          <t>entra nelle condizioni di stato morto</t>
        </r>
      </text>
    </comment>
    <comment ref="B88" authorId="0" shapeId="0" xr:uid="{DAE97886-0730-425F-9A62-99E4BB7DA5E8}">
      <text>
        <r>
          <rPr>
            <sz val="9"/>
            <color rgb="FF000000"/>
            <rFont val="Tahoma"/>
            <family val="2"/>
          </rPr>
          <t>assumo adiabatico verso l'esterno</t>
        </r>
      </text>
    </comment>
    <comment ref="A123" authorId="1" shapeId="0" xr:uid="{EB1220F4-440D-514E-8BA5-B593E1022ED6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Trovato per interpolazione da tabelle
</t>
        </r>
      </text>
    </comment>
    <comment ref="A124" authorId="1" shapeId="0" xr:uid="{45A6D09D-F832-E84B-9F83-162BC81FACF4}">
      <text>
        <r>
          <rPr>
            <b/>
            <sz val="10"/>
            <color rgb="FF000000"/>
            <rFont val="Tahoma"/>
            <family val="2"/>
          </rPr>
          <t>Luca Pirini Casadei: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Trovato per interpolazione da tabelle
</t>
        </r>
      </text>
    </comment>
  </commentList>
</comments>
</file>

<file path=xl/sharedStrings.xml><?xml version="1.0" encoding="utf-8"?>
<sst xmlns="http://schemas.openxmlformats.org/spreadsheetml/2006/main" count="2713" uniqueCount="1226">
  <si>
    <t>Progetto Applicazioni Avanzate di Fisica Tecnica</t>
  </si>
  <si>
    <t xml:space="preserve">Capitolo1 </t>
  </si>
  <si>
    <t>Dati:</t>
  </si>
  <si>
    <t>Sovrastimiamo la potenza del 5% per tener conto delle perdite</t>
  </si>
  <si>
    <t>Potenza termica</t>
  </si>
  <si>
    <t>Q</t>
  </si>
  <si>
    <t>kcal/h</t>
  </si>
  <si>
    <t>kW</t>
  </si>
  <si>
    <t>Potere calorifico CH4</t>
  </si>
  <si>
    <t>Hi</t>
  </si>
  <si>
    <t>kJ/K</t>
  </si>
  <si>
    <t>Temperatura interna ambiente</t>
  </si>
  <si>
    <t>T_int</t>
  </si>
  <si>
    <t>°C</t>
  </si>
  <si>
    <t>K</t>
  </si>
  <si>
    <t>Temperatura esterna</t>
  </si>
  <si>
    <t>T_est</t>
  </si>
  <si>
    <t>Temperatura ingresso ambiente</t>
  </si>
  <si>
    <t>T_in</t>
  </si>
  <si>
    <t>Rendimento di combustione</t>
  </si>
  <si>
    <t>eta</t>
  </si>
  <si>
    <t>cp a -8</t>
  </si>
  <si>
    <t>Eccesso d'aria</t>
  </si>
  <si>
    <t>e</t>
  </si>
  <si>
    <t>Rapporto stechiometrico m_a / m_fuel</t>
  </si>
  <si>
    <t>alpha</t>
  </si>
  <si>
    <t>Rapporto m_a/m_fuel</t>
  </si>
  <si>
    <t>alpha_eff</t>
  </si>
  <si>
    <t>Temperatura di fiamma adiabatica</t>
  </si>
  <si>
    <t>Calore specifico aria</t>
  </si>
  <si>
    <t>c_p,aria</t>
  </si>
  <si>
    <t>J/(kg K)</t>
  </si>
  <si>
    <t>Calore specifico metano</t>
  </si>
  <si>
    <t>c_p,gas</t>
  </si>
  <si>
    <t>Frazione molare aria</t>
  </si>
  <si>
    <t>X_aria</t>
  </si>
  <si>
    <t>Frazione molare metano</t>
  </si>
  <si>
    <t>X_gas</t>
  </si>
  <si>
    <t>Calore specifico miscela</t>
  </si>
  <si>
    <t>c_p'</t>
  </si>
  <si>
    <t>Portate</t>
  </si>
  <si>
    <t>Portata carburante</t>
  </si>
  <si>
    <t>m'_fuel</t>
  </si>
  <si>
    <t>kg/s</t>
  </si>
  <si>
    <t>Capitolo 2</t>
  </si>
  <si>
    <t xml:space="preserve">Portata d'aria </t>
  </si>
  <si>
    <t>m'_a,comb</t>
  </si>
  <si>
    <t>Portata in uscita dal bruciatore</t>
  </si>
  <si>
    <t>m'_fumi</t>
  </si>
  <si>
    <t>Portata di ricambio d'aria</t>
  </si>
  <si>
    <t>m'_refresh</t>
  </si>
  <si>
    <t>CONTROLLARE LA NORMATIVA &amp; MQ EFFETTIVI ABITAZIONE</t>
  </si>
  <si>
    <t>Portata in uscita per ricambio aria</t>
  </si>
  <si>
    <t>m'_exit</t>
  </si>
  <si>
    <t>Scambiatore di calore tubo in tubo senza alette e senza irraggiamento</t>
  </si>
  <si>
    <t>Scambiatore di calore tubo in tubo senza alette e con irraggiamento</t>
  </si>
  <si>
    <t>Portata di ricircolo</t>
  </si>
  <si>
    <t>m'_ric</t>
  </si>
  <si>
    <t>VALORE TROVATO PER CONVERGENZA</t>
  </si>
  <si>
    <t>Dati noti</t>
  </si>
  <si>
    <t>Proprietà dei fluidi (a 1 atm)</t>
  </si>
  <si>
    <t xml:space="preserve">Aria </t>
  </si>
  <si>
    <t>Fumi</t>
  </si>
  <si>
    <t>Variabili</t>
  </si>
  <si>
    <t>Portata uscita miscelatore</t>
  </si>
  <si>
    <t>m'_mix</t>
  </si>
  <si>
    <t>Temperatura di fiamma</t>
  </si>
  <si>
    <t>T_fiamma</t>
  </si>
  <si>
    <t>Temperattura media</t>
  </si>
  <si>
    <t>Temperatura di fiamma media</t>
  </si>
  <si>
    <t>Tm_fumi</t>
  </si>
  <si>
    <t>Temperatura superficie interna d1</t>
  </si>
  <si>
    <t>T1_int</t>
  </si>
  <si>
    <t>Temperatura uscita miscelatore</t>
  </si>
  <si>
    <t>T_mix</t>
  </si>
  <si>
    <t>Temperatura di uscita dallo scambiatore di calore</t>
  </si>
  <si>
    <t>T_out</t>
  </si>
  <si>
    <t>Temeperatura media arrotondata</t>
  </si>
  <si>
    <t>Temperatura aria media</t>
  </si>
  <si>
    <t>Tm_aria</t>
  </si>
  <si>
    <t>Lunghezza scambiatore</t>
  </si>
  <si>
    <t>L</t>
  </si>
  <si>
    <t>m</t>
  </si>
  <si>
    <t>VALORE DI CONVERGENZA DEL SISTEMA</t>
  </si>
  <si>
    <t>Temperatura di uscita dal miscelatore</t>
  </si>
  <si>
    <t xml:space="preserve">densità </t>
  </si>
  <si>
    <t>rho_a</t>
  </si>
  <si>
    <t>kg/m^3</t>
  </si>
  <si>
    <t>rho_f</t>
  </si>
  <si>
    <t>Coefficiente convettivo interno</t>
  </si>
  <si>
    <t>h_f</t>
  </si>
  <si>
    <t>W/m^2*K</t>
  </si>
  <si>
    <t>Temperatura aria ingresso ambiente</t>
  </si>
  <si>
    <t>viscosità dinamica</t>
  </si>
  <si>
    <t>mu_a</t>
  </si>
  <si>
    <t>kg/(m*s)</t>
  </si>
  <si>
    <t>mu_f</t>
  </si>
  <si>
    <t>Coefficiente convettivo esterno</t>
  </si>
  <si>
    <t>h_a</t>
  </si>
  <si>
    <t>Incognite</t>
  </si>
  <si>
    <t>Portata aria mix</t>
  </si>
  <si>
    <t>calore specifico</t>
  </si>
  <si>
    <t>cp_a</t>
  </si>
  <si>
    <t>J/(kg*K)</t>
  </si>
  <si>
    <t>cp_f</t>
  </si>
  <si>
    <t>Conducibilità termica</t>
  </si>
  <si>
    <t>lambda</t>
  </si>
  <si>
    <t>W/(m*K)</t>
  </si>
  <si>
    <t>Temperatura superficie esterna d1</t>
  </si>
  <si>
    <t>T1_ext</t>
  </si>
  <si>
    <t>Portata dei fumi</t>
  </si>
  <si>
    <t>conducibilità termica fluido</t>
  </si>
  <si>
    <t>lambda_ma</t>
  </si>
  <si>
    <t>lambda_mf</t>
  </si>
  <si>
    <t>Diametro interno tubo interno</t>
  </si>
  <si>
    <t>d_1int</t>
  </si>
  <si>
    <t>Coefficiente irraggiamento interno</t>
  </si>
  <si>
    <t>hirr_f</t>
  </si>
  <si>
    <t>KW</t>
  </si>
  <si>
    <t>Diametro esterno tubo interno</t>
  </si>
  <si>
    <t>d_1ext</t>
  </si>
  <si>
    <t>Coefficiente irraggiamento esterno</t>
  </si>
  <si>
    <t>hirr_a</t>
  </si>
  <si>
    <t>Conducibilità termica del materiale</t>
  </si>
  <si>
    <t>Lambda_m</t>
  </si>
  <si>
    <t>AISI 1010</t>
  </si>
  <si>
    <t>Sezione interna per unità di lunghezza</t>
  </si>
  <si>
    <t>Ai/L</t>
  </si>
  <si>
    <t>Velocità dei fumi</t>
  </si>
  <si>
    <t>w_gas</t>
  </si>
  <si>
    <t>m/s</t>
  </si>
  <si>
    <t>LMTD</t>
  </si>
  <si>
    <t>Sezione esterna per unità di lunghezza</t>
  </si>
  <si>
    <t>Ao/L</t>
  </si>
  <si>
    <t>Velocità aria scambiatore</t>
  </si>
  <si>
    <t>w_aria sc</t>
  </si>
  <si>
    <t>Equicorrente</t>
  </si>
  <si>
    <t>Controcorrente</t>
  </si>
  <si>
    <t>Potenza termica 105%</t>
  </si>
  <si>
    <t>Phi</t>
  </si>
  <si>
    <t>W</t>
  </si>
  <si>
    <t>Delta_Tml</t>
  </si>
  <si>
    <t>Emissività</t>
  </si>
  <si>
    <t>epsilon</t>
  </si>
  <si>
    <t>Costante di Stefan-Boltzamann</t>
  </si>
  <si>
    <t>sigma</t>
  </si>
  <si>
    <t>W/(m^2*K^4)</t>
  </si>
  <si>
    <t>Portata di combustibile</t>
  </si>
  <si>
    <t>Diametro interno tubo esterno</t>
  </si>
  <si>
    <t>d_2int</t>
  </si>
  <si>
    <t>Coefficienti scambio termico convettivo e resistenza termica (per lunghezza)</t>
  </si>
  <si>
    <t>Portata del comburente</t>
  </si>
  <si>
    <t>m'_aria</t>
  </si>
  <si>
    <t xml:space="preserve">Sezione interna </t>
  </si>
  <si>
    <t>A_int</t>
  </si>
  <si>
    <t>m^2</t>
  </si>
  <si>
    <t>Aria</t>
  </si>
  <si>
    <t>Risoluzione</t>
  </si>
  <si>
    <t>Sezione esterna</t>
  </si>
  <si>
    <t>A_ext</t>
  </si>
  <si>
    <t>Numero di Reynolds</t>
  </si>
  <si>
    <t>Re_a</t>
  </si>
  <si>
    <t>Re_f</t>
  </si>
  <si>
    <t>f_int(L,T1_int)</t>
  </si>
  <si>
    <t>Rapporto m_a / m_fuel</t>
  </si>
  <si>
    <t>Diametro idraulico interno</t>
  </si>
  <si>
    <t>D_h,int</t>
  </si>
  <si>
    <t>Numero di Prandtl</t>
  </si>
  <si>
    <t>Pr_a</t>
  </si>
  <si>
    <t>Pr_f</t>
  </si>
  <si>
    <t>f_cond(L,T1_int)</t>
  </si>
  <si>
    <t xml:space="preserve">Velocità fumi </t>
  </si>
  <si>
    <t>Diametro idraulico esterno</t>
  </si>
  <si>
    <t>D_h,ext</t>
  </si>
  <si>
    <t>Coefficiente di Darcy</t>
  </si>
  <si>
    <t>Da_a</t>
  </si>
  <si>
    <t>Da_f</t>
  </si>
  <si>
    <t>f_ext(L_T1_int)</t>
  </si>
  <si>
    <t>Velocità aria scambiatore C.</t>
  </si>
  <si>
    <t>Diametro efficace interno</t>
  </si>
  <si>
    <t>D_e,int</t>
  </si>
  <si>
    <t>Numero di Nusselt</t>
  </si>
  <si>
    <t>Nu_a</t>
  </si>
  <si>
    <t>Nu_f</t>
  </si>
  <si>
    <t>f_tot</t>
  </si>
  <si>
    <t>Diametro efficace esterno</t>
  </si>
  <si>
    <t>D_e,ext</t>
  </si>
  <si>
    <t>Coefficiente convettivo</t>
  </si>
  <si>
    <t>Interpolazione</t>
  </si>
  <si>
    <t>Resistenza termica totale</t>
  </si>
  <si>
    <t>R_t*L</t>
  </si>
  <si>
    <t>m*K/W</t>
  </si>
  <si>
    <t>densità</t>
  </si>
  <si>
    <t>Scambiatore di calore tubo in tubo con alette esterne e con irraggiamento</t>
  </si>
  <si>
    <t>Lunghezza dello scambiatore senza alette</t>
  </si>
  <si>
    <t>equicorrente</t>
  </si>
  <si>
    <t>controcorrente</t>
  </si>
  <si>
    <t>Numero alette</t>
  </si>
  <si>
    <t>N_f</t>
  </si>
  <si>
    <t>conducibilità termica</t>
  </si>
  <si>
    <t>Larghezza aletta</t>
  </si>
  <si>
    <t>delta</t>
  </si>
  <si>
    <t>Si sceglie di adottare uno scambiatore a flusso controcorrente poiché garantisce una minore lunghezza</t>
  </si>
  <si>
    <t>Altezza aletta</t>
  </si>
  <si>
    <t>b</t>
  </si>
  <si>
    <t>Efficienza overall</t>
  </si>
  <si>
    <t>eta_ov</t>
  </si>
  <si>
    <t>T</t>
  </si>
  <si>
    <t>Comp</t>
  </si>
  <si>
    <t>m_molare</t>
  </si>
  <si>
    <t>R (J/kg K)</t>
  </si>
  <si>
    <t>n</t>
  </si>
  <si>
    <t>CO2</t>
  </si>
  <si>
    <t>PROVA CON U_o</t>
  </si>
  <si>
    <t>H2O</t>
  </si>
  <si>
    <t>R</t>
  </si>
  <si>
    <t>Sezione esterna alettata per unità di lunghezza</t>
  </si>
  <si>
    <t>U_o</t>
  </si>
  <si>
    <t>N2</t>
  </si>
  <si>
    <t>Sezione base esterna non alettata</t>
  </si>
  <si>
    <t>Ab/L</t>
  </si>
  <si>
    <t>o2</t>
  </si>
  <si>
    <t>rho</t>
  </si>
  <si>
    <t>Calcolo R fumi come media pesata degli R</t>
  </si>
  <si>
    <t>VERIFICHE</t>
  </si>
  <si>
    <t>Scambiatore di calore tubo in tubo con alette senza irraggiamento</t>
  </si>
  <si>
    <t>Alettatura INTERNA</t>
  </si>
  <si>
    <t>Temperatura media logaritmica all'interno dello scambiatore di calore</t>
  </si>
  <si>
    <t>Dati alette</t>
  </si>
  <si>
    <t>Dati cambiati</t>
  </si>
  <si>
    <t>Nf</t>
  </si>
  <si>
    <t>Nf_max</t>
  </si>
  <si>
    <t>In equicorrente:</t>
  </si>
  <si>
    <t>In controcorrente:</t>
  </si>
  <si>
    <t>AREE</t>
  </si>
  <si>
    <t>Differenza di temperatura in ingresso</t>
  </si>
  <si>
    <t>Delta_T1</t>
  </si>
  <si>
    <t>Sezione esterna effettiva</t>
  </si>
  <si>
    <t>A'_ext</t>
  </si>
  <si>
    <t>Sezione interna effettiva</t>
  </si>
  <si>
    <t>A'_int</t>
  </si>
  <si>
    <t>A_i/L</t>
  </si>
  <si>
    <t>Convergenza calcolata  su 30 alette</t>
  </si>
  <si>
    <t>Differenza di temperatura in uscita dallo scambiatore</t>
  </si>
  <si>
    <t>Delta_T2</t>
  </si>
  <si>
    <t>Velocità effettiva</t>
  </si>
  <si>
    <t>w'_aria sc</t>
  </si>
  <si>
    <t>Velocità effettiva fumi</t>
  </si>
  <si>
    <t>w'_gas</t>
  </si>
  <si>
    <t>A_o/L</t>
  </si>
  <si>
    <t>A_b/L</t>
  </si>
  <si>
    <t>Efficienza aletta</t>
  </si>
  <si>
    <t>Numero di Reynolds aria</t>
  </si>
  <si>
    <t>Numero di Reynolds fumi</t>
  </si>
  <si>
    <t>Temp media logaritmica</t>
  </si>
  <si>
    <t>A_F/L</t>
  </si>
  <si>
    <t>fattore m</t>
  </si>
  <si>
    <t>Coefficiente di Darcy aria</t>
  </si>
  <si>
    <t>Coefficiente di Darcy fumi</t>
  </si>
  <si>
    <t>Numero di Nusselt aria</t>
  </si>
  <si>
    <t>Numero di Nusselt fumi</t>
  </si>
  <si>
    <t>Calcolo del diametro interno tubo 1</t>
  </si>
  <si>
    <t>coefficiente convettivo aria</t>
  </si>
  <si>
    <t>coefficiente convettivo fumi</t>
  </si>
  <si>
    <t xml:space="preserve">Trasmittanza </t>
  </si>
  <si>
    <t>U_int</t>
  </si>
  <si>
    <t>Densità gas in condizioni normali</t>
  </si>
  <si>
    <t>kg/Nm^3</t>
  </si>
  <si>
    <t>Densità gas alla Tm</t>
  </si>
  <si>
    <t>Lunghezza dello scambiatore con alette</t>
  </si>
  <si>
    <t>RtL</t>
  </si>
  <si>
    <t>Lunghezza dello scambiatore</t>
  </si>
  <si>
    <t>Diametro interno tubo1</t>
  </si>
  <si>
    <t>mm</t>
  </si>
  <si>
    <t>Diametro interno tubo 1 scelto</t>
  </si>
  <si>
    <t>diametro interno tubo 1</t>
  </si>
  <si>
    <t>Sezione tubo interno</t>
  </si>
  <si>
    <t>Graficio N-L-eta_ov</t>
  </si>
  <si>
    <t>Calcolo diametri tubo 2</t>
  </si>
  <si>
    <t>N</t>
  </si>
  <si>
    <t>Spessore tubo 1</t>
  </si>
  <si>
    <t>s_1</t>
  </si>
  <si>
    <t>Densità aria</t>
  </si>
  <si>
    <t>rho_aria</t>
  </si>
  <si>
    <t>Diametro esterno tubo 1</t>
  </si>
  <si>
    <t>diametro esterno tubo 1</t>
  </si>
  <si>
    <t>Diametro interno tubo 2</t>
  </si>
  <si>
    <t>Diametro interno tubo 2 scelto</t>
  </si>
  <si>
    <t>diametro interno tubo 2</t>
  </si>
  <si>
    <t>S_ext</t>
  </si>
  <si>
    <t>Calcolo della velocità dei fluidi nello scambiatore di calore</t>
  </si>
  <si>
    <t>Velocità aria tubo esterno</t>
  </si>
  <si>
    <t>Velocità fumi tubo interno</t>
  </si>
  <si>
    <t>w_fumi</t>
  </si>
  <si>
    <t>Capitolo 3</t>
  </si>
  <si>
    <t>Scambiatore di calore tubo in tubo (irraggiamento + alettatura esterna)</t>
  </si>
  <si>
    <t>L*</t>
  </si>
  <si>
    <t>Phi_int</t>
  </si>
  <si>
    <t>Phi_cond</t>
  </si>
  <si>
    <t>Phi_ext</t>
  </si>
  <si>
    <t>f</t>
  </si>
  <si>
    <t>Dimensionamento Ventilatore 1</t>
  </si>
  <si>
    <t>Calcolo delle perdite concentrate:</t>
  </si>
  <si>
    <t>Circuito Primario</t>
  </si>
  <si>
    <t>Tipo di perdita</t>
  </si>
  <si>
    <t>Coefficiente di perdita</t>
  </si>
  <si>
    <t>f1</t>
  </si>
  <si>
    <t>f2</t>
  </si>
  <si>
    <t>f3</t>
  </si>
  <si>
    <t>f^2</t>
  </si>
  <si>
    <t>Velocità media scelta</t>
  </si>
  <si>
    <t>w_m</t>
  </si>
  <si>
    <t>Curva a segmento 90°</t>
  </si>
  <si>
    <t>Deviazione a T</t>
  </si>
  <si>
    <t>Diametro grande condutture</t>
  </si>
  <si>
    <t>D</t>
  </si>
  <si>
    <t>Imbocco con invito</t>
  </si>
  <si>
    <t>Densità aria refresh</t>
  </si>
  <si>
    <t>rho_ariaref</t>
  </si>
  <si>
    <t>Camera di miscelazione</t>
  </si>
  <si>
    <t>Diametro refresh</t>
  </si>
  <si>
    <t>D_resfresh</t>
  </si>
  <si>
    <t>Densità aria ric</t>
  </si>
  <si>
    <t>rho_ariaric</t>
  </si>
  <si>
    <t>Diametro ricirc</t>
  </si>
  <si>
    <t>D_ric</t>
  </si>
  <si>
    <t>Caduta pressione_c 1</t>
  </si>
  <si>
    <t>delta p_c1</t>
  </si>
  <si>
    <t>Pa</t>
  </si>
  <si>
    <t>Caduta pressione_c 2</t>
  </si>
  <si>
    <t>delta p_c2</t>
  </si>
  <si>
    <t>Caduta pressione_c 3</t>
  </si>
  <si>
    <t>delta p_c3</t>
  </si>
  <si>
    <t>Caduta di pressione dovuta a perdite concentrate nel circuito primario</t>
  </si>
  <si>
    <t>delta p_c1°</t>
  </si>
  <si>
    <t>Circuito Secondario</t>
  </si>
  <si>
    <t>Sbocco con invito</t>
  </si>
  <si>
    <t>Diametro piccolo condutture</t>
  </si>
  <si>
    <t>d</t>
  </si>
  <si>
    <t>Caduta di pressione dovuta a perdite concentrate nel circuito secondario</t>
  </si>
  <si>
    <t>delta p_c2°</t>
  </si>
  <si>
    <t>Caduta di pressione dovuta a perdite concentrate nell'intero impianto</t>
  </si>
  <si>
    <t>delta p_c</t>
  </si>
  <si>
    <t>Velocità in D</t>
  </si>
  <si>
    <t>w_mD</t>
  </si>
  <si>
    <t>Velocità in D_refresh</t>
  </si>
  <si>
    <t>w_mDref</t>
  </si>
  <si>
    <t>Velocità in D_ric</t>
  </si>
  <si>
    <t>w_mDric</t>
  </si>
  <si>
    <t>Velcità in d_1/2</t>
  </si>
  <si>
    <t>w_md1/2</t>
  </si>
  <si>
    <t>Velcità in d_1/4</t>
  </si>
  <si>
    <t>w_md1/4</t>
  </si>
  <si>
    <t>Calcolo delle perdite distribuite:</t>
  </si>
  <si>
    <t>Densità aria m'_mix</t>
  </si>
  <si>
    <t>rho_aria mix</t>
  </si>
  <si>
    <t>Lunghezza Condutture</t>
  </si>
  <si>
    <t>L1_1</t>
  </si>
  <si>
    <t>Viscodità dinamica</t>
  </si>
  <si>
    <t>mu_mix</t>
  </si>
  <si>
    <t>Alla temperatura media tra entrata e uscita dello scmabiatore di calore</t>
  </si>
  <si>
    <t xml:space="preserve">Capitolo 4 </t>
  </si>
  <si>
    <t>Lunghezza condotto</t>
  </si>
  <si>
    <t>L1_3</t>
  </si>
  <si>
    <t>mu_ref</t>
  </si>
  <si>
    <t>Definizione dello strato isolante</t>
  </si>
  <si>
    <t>Alla temperatura di refresh</t>
  </si>
  <si>
    <t>potenza dissipata</t>
  </si>
  <si>
    <t>phi_diss</t>
  </si>
  <si>
    <t>L1_2</t>
  </si>
  <si>
    <t>scelta dei materiali</t>
  </si>
  <si>
    <t>Alla temperatura interna dell'ambiente</t>
  </si>
  <si>
    <t>Acciaio: AISI 1010</t>
  </si>
  <si>
    <t>Svolgimento:</t>
  </si>
  <si>
    <t>lamba_acc</t>
  </si>
  <si>
    <t>W/mK</t>
  </si>
  <si>
    <t>coeff di emissività</t>
  </si>
  <si>
    <t>epsilon_acc</t>
  </si>
  <si>
    <t>Scabrezza media</t>
  </si>
  <si>
    <t>Numero di Reynolds mix</t>
  </si>
  <si>
    <t>Re_mix</t>
  </si>
  <si>
    <t>isolante: FIBRA VETRO VERN.</t>
  </si>
  <si>
    <t>Scabrezza relativa</t>
  </si>
  <si>
    <t>epsilon/D</t>
  </si>
  <si>
    <t>Regime turbolento</t>
  </si>
  <si>
    <t>lamba_iso</t>
  </si>
  <si>
    <t>Friction Factor</t>
  </si>
  <si>
    <t>epsilon_iso</t>
  </si>
  <si>
    <t>Caduta di pressione</t>
  </si>
  <si>
    <t>Delta p_d1</t>
  </si>
  <si>
    <t>Numero di Reynolds refresh</t>
  </si>
  <si>
    <t>Re_refresh</t>
  </si>
  <si>
    <t>emissività dei fumi</t>
  </si>
  <si>
    <t>emissività H2O</t>
  </si>
  <si>
    <t>epsilon_H2O</t>
  </si>
  <si>
    <t>DATO DA TABELLE CHE NON CAPIAMO COME LEGGERE</t>
  </si>
  <si>
    <t>emissività CO2</t>
  </si>
  <si>
    <t>epsilon_CO2</t>
  </si>
  <si>
    <t>Delta p_d3</t>
  </si>
  <si>
    <t>fattore correttivo</t>
  </si>
  <si>
    <t>delta_epsilon</t>
  </si>
  <si>
    <t>emissività fumi</t>
  </si>
  <si>
    <t>epsilon_fumi</t>
  </si>
  <si>
    <t>Numero di Reynolds ric</t>
  </si>
  <si>
    <t>Re_ric</t>
  </si>
  <si>
    <t xml:space="preserve">coefficiente termico convettivo </t>
  </si>
  <si>
    <t>Delta p_d2</t>
  </si>
  <si>
    <t>h_1int: tubo interno parete interna</t>
  </si>
  <si>
    <t>Caduta di pressione complessiva</t>
  </si>
  <si>
    <t>Delta p_d1°</t>
  </si>
  <si>
    <t>conducibilità termica fumi</t>
  </si>
  <si>
    <t>lambda_fumi</t>
  </si>
  <si>
    <t>W/m°C</t>
  </si>
  <si>
    <t>valore interpolato da tabella sulla base della temperatura media tra T_fiamma e T_out ----&gt;</t>
  </si>
  <si>
    <t>velocità fumi</t>
  </si>
  <si>
    <t>w_aria comb</t>
  </si>
  <si>
    <t>Circuito secondario</t>
  </si>
  <si>
    <t>viscosità cinematica</t>
  </si>
  <si>
    <t>ni_fumi</t>
  </si>
  <si>
    <t>m^2/s</t>
  </si>
  <si>
    <t>Reynolds</t>
  </si>
  <si>
    <t>Re_fumi</t>
  </si>
  <si>
    <t>Prandtl</t>
  </si>
  <si>
    <t>Pr_fumi</t>
  </si>
  <si>
    <t>Nusselt</t>
  </si>
  <si>
    <t>Nu_fumi</t>
  </si>
  <si>
    <t>h_1int</t>
  </si>
  <si>
    <t>W/m^2°C</t>
  </si>
  <si>
    <t>Viscosità dinamica</t>
  </si>
  <si>
    <t>mu</t>
  </si>
  <si>
    <t>Calcolata alla temperatura T_in</t>
  </si>
  <si>
    <t>h_2int: tubo 2 parete interna</t>
  </si>
  <si>
    <t>d_1/2</t>
  </si>
  <si>
    <t>L_1/2</t>
  </si>
  <si>
    <t>Velocità media</t>
  </si>
  <si>
    <t>conducibilità termica aria</t>
  </si>
  <si>
    <t>lambda_aria</t>
  </si>
  <si>
    <t>valore interpolato da tabella sulla base della temperatura media tra T_mix e T_int ----&gt;</t>
  </si>
  <si>
    <t>Re_d1/2</t>
  </si>
  <si>
    <t>ni_aria</t>
  </si>
  <si>
    <t>Friction factor</t>
  </si>
  <si>
    <t>Re_aria</t>
  </si>
  <si>
    <t>Delta p_d1/2</t>
  </si>
  <si>
    <t>Pr_aria</t>
  </si>
  <si>
    <t>Nu_aria</t>
  </si>
  <si>
    <t>d_1/4</t>
  </si>
  <si>
    <t>h_2int</t>
  </si>
  <si>
    <t>L_1/4</t>
  </si>
  <si>
    <t>h_1ext: tubo 1 parete esterna</t>
  </si>
  <si>
    <t>h_1ext</t>
  </si>
  <si>
    <t>Re_d1/4</t>
  </si>
  <si>
    <t xml:space="preserve">calcolo delle temperature </t>
  </si>
  <si>
    <t>Delta p_d1/4</t>
  </si>
  <si>
    <t>temperatura parete interna tubo 1</t>
  </si>
  <si>
    <t>T_1int</t>
  </si>
  <si>
    <t>flusso complessivo perdite e eta_comb</t>
  </si>
  <si>
    <t>phi/eta</t>
  </si>
  <si>
    <t>Delta p_d2°</t>
  </si>
  <si>
    <t>Temperatura media dei gas combusti</t>
  </si>
  <si>
    <t>T_media_fumi</t>
  </si>
  <si>
    <t>costante di Boltzmann</t>
  </si>
  <si>
    <t>sigma_B</t>
  </si>
  <si>
    <t>W/m^2 K^4</t>
  </si>
  <si>
    <t>NB</t>
  </si>
  <si>
    <t>Scambiatore di calore</t>
  </si>
  <si>
    <t>temperatura parete esterna tubo 1</t>
  </si>
  <si>
    <t>T_1ext</t>
  </si>
  <si>
    <t>Calore scambiato per convezione tubo2 aria</t>
  </si>
  <si>
    <t>Calore scambiato per irraggiamento tubo 2 tubo1</t>
  </si>
  <si>
    <t>DIMENSIONAMENTO</t>
  </si>
  <si>
    <t xml:space="preserve">mm </t>
  </si>
  <si>
    <t>L_sc</t>
  </si>
  <si>
    <t xml:space="preserve">m </t>
  </si>
  <si>
    <t>DATI</t>
  </si>
  <si>
    <t xml:space="preserve">Larghezza paletta </t>
  </si>
  <si>
    <t xml:space="preserve">lunghezza scambiatore </t>
  </si>
  <si>
    <t>Altezza paletta</t>
  </si>
  <si>
    <t>Potenza 5%</t>
  </si>
  <si>
    <t>phi_5%</t>
  </si>
  <si>
    <t>Numero di palette</t>
  </si>
  <si>
    <t>Coeff. convettivo aria tubo 2</t>
  </si>
  <si>
    <t>Diametro idraulico della sezione</t>
  </si>
  <si>
    <t>D_h</t>
  </si>
  <si>
    <t>Area sezione immaginaria aria sezione anulare</t>
  </si>
  <si>
    <t>A_aria</t>
  </si>
  <si>
    <t>temp media dell'aria nello scambiatore</t>
  </si>
  <si>
    <t>T_aria</t>
  </si>
  <si>
    <t>Numero di reynolds</t>
  </si>
  <si>
    <t>Re_h</t>
  </si>
  <si>
    <t>superficie interna tubo 2</t>
  </si>
  <si>
    <t>A_2int</t>
  </si>
  <si>
    <t>emissività aria</t>
  </si>
  <si>
    <t>epsilon_aria</t>
  </si>
  <si>
    <t>temperatura parete interna tubo 2</t>
  </si>
  <si>
    <t>T_2int</t>
  </si>
  <si>
    <t>Delta p_dsc</t>
  </si>
  <si>
    <t>flusso perdite</t>
  </si>
  <si>
    <t>phi_REALE</t>
  </si>
  <si>
    <t>Coeff. irraggiamento aria sezioe anulare</t>
  </si>
  <si>
    <t>h_irr</t>
  </si>
  <si>
    <t>T1ext</t>
  </si>
  <si>
    <t>flusso perso reale ipotizzando una temperatura di parete interna del tubo 2</t>
  </si>
  <si>
    <t>phi</t>
  </si>
  <si>
    <t>Caduta di pressione totale dovuta alle perdite di carico distribuite:</t>
  </si>
  <si>
    <t>Delta p_d</t>
  </si>
  <si>
    <t>temperatura parete esterna tubo 2</t>
  </si>
  <si>
    <t>T_2ext</t>
  </si>
  <si>
    <t>R2</t>
  </si>
  <si>
    <t>R1</t>
  </si>
  <si>
    <t>spessore tubo 2</t>
  </si>
  <si>
    <t>s_2</t>
  </si>
  <si>
    <t>VALORE IPOTIZZATO: vedere normativa UNI ISO 4437: 1998</t>
  </si>
  <si>
    <t>Taria</t>
  </si>
  <si>
    <t>diametro esterno tubo 2</t>
  </si>
  <si>
    <t>d_2ext</t>
  </si>
  <si>
    <t>T*</t>
  </si>
  <si>
    <t>Delta p</t>
  </si>
  <si>
    <t>definizione dello spessore dello strato isolante</t>
  </si>
  <si>
    <t>Potenza ventilatore 1</t>
  </si>
  <si>
    <t>temperatura ambiente semi-interrato</t>
  </si>
  <si>
    <t>T_aria_se</t>
  </si>
  <si>
    <t>ipotizzata pari a 10 °C</t>
  </si>
  <si>
    <t>Rendimento</t>
  </si>
  <si>
    <t>eta_v</t>
  </si>
  <si>
    <t>coeff termico conv aria semi-interrato</t>
  </si>
  <si>
    <t>h_aria_tentativo</t>
  </si>
  <si>
    <t>W/m^2 K</t>
  </si>
  <si>
    <t>diametro esterno isolante</t>
  </si>
  <si>
    <t>d_iso</t>
  </si>
  <si>
    <t>P_v1</t>
  </si>
  <si>
    <t>Resistenza totale</t>
  </si>
  <si>
    <t>R_tot</t>
  </si>
  <si>
    <t>Dimensionamento Ventilatore 2</t>
  </si>
  <si>
    <t>temperatura isolante parte esterna</t>
  </si>
  <si>
    <t>T_iso</t>
  </si>
  <si>
    <t>numero di Grashof</t>
  </si>
  <si>
    <t>Gr</t>
  </si>
  <si>
    <t>Perdite di carico distribuite</t>
  </si>
  <si>
    <t>costante gravitazionale</t>
  </si>
  <si>
    <t>g</t>
  </si>
  <si>
    <t>m/s^2</t>
  </si>
  <si>
    <t>beta</t>
  </si>
  <si>
    <t>Viscosità cinematica</t>
  </si>
  <si>
    <t>ni_aria_se</t>
  </si>
  <si>
    <t>VALORE DA RICAVARE PER INTERPOLAZIONE CONOSCENDO T_iso</t>
  </si>
  <si>
    <t>Lunghezza</t>
  </si>
  <si>
    <t>numero di Prandtl</t>
  </si>
  <si>
    <t>Pr_aria_se</t>
  </si>
  <si>
    <t>Temperatura media aria comburente</t>
  </si>
  <si>
    <t>T_m</t>
  </si>
  <si>
    <t>numero di Rayleigh</t>
  </si>
  <si>
    <t>Ra_aria_se</t>
  </si>
  <si>
    <t>Velocità aria comburente tubo interno</t>
  </si>
  <si>
    <t>numero di Nusselt</t>
  </si>
  <si>
    <t>Nu_aria_se</t>
  </si>
  <si>
    <t xml:space="preserve">Diametro </t>
  </si>
  <si>
    <t>d_int</t>
  </si>
  <si>
    <t>conducibilità termica dell'aria</t>
  </si>
  <si>
    <t>valore interpolato da tabella sulla base della temperatura T_aria_se-----&gt;</t>
  </si>
  <si>
    <t>Densità aria alla Tm</t>
  </si>
  <si>
    <t>rho_aria comb</t>
  </si>
  <si>
    <t>h_aria_se</t>
  </si>
  <si>
    <t>Diametro idraulico</t>
  </si>
  <si>
    <t>d_int_h</t>
  </si>
  <si>
    <t>PROCEDURA:</t>
  </si>
  <si>
    <t>far convergere d_iso fissando il valore di phi_5%.</t>
  </si>
  <si>
    <t>Re</t>
  </si>
  <si>
    <t>laminare</t>
  </si>
  <si>
    <t>individuare ni, Pr sulla base di T_iso calcolata.</t>
  </si>
  <si>
    <t>trovato h_aria_se sostituirlo come valore tentativo su h_aria_tentativo e continuare finche non converge (h_aria_se viene uguale  h_aria_tentativo)</t>
  </si>
  <si>
    <t>Spessore isolante</t>
  </si>
  <si>
    <t>s_iso</t>
  </si>
  <si>
    <t>Calcolo caduta di pressione</t>
  </si>
  <si>
    <t>Canna fumaria</t>
  </si>
  <si>
    <t xml:space="preserve">Lunghezza </t>
  </si>
  <si>
    <t>L_cf</t>
  </si>
  <si>
    <t>Temperatura uscita dal camino</t>
  </si>
  <si>
    <t>T_outcf</t>
  </si>
  <si>
    <t>temperatura calcolata nel capitolo 5</t>
  </si>
  <si>
    <t>Temperatura uscita sc</t>
  </si>
  <si>
    <t>Temperatura media canna fumaria</t>
  </si>
  <si>
    <t>Tm</t>
  </si>
  <si>
    <t>Densità fumi</t>
  </si>
  <si>
    <t>rho_fumi</t>
  </si>
  <si>
    <t xml:space="preserve">mu </t>
  </si>
  <si>
    <t>Velocità fumi</t>
  </si>
  <si>
    <t>Diametro Canna Fumaria</t>
  </si>
  <si>
    <t>D_cfum</t>
  </si>
  <si>
    <t xml:space="preserve">Diametro Canna Scelto </t>
  </si>
  <si>
    <t>Velocità fumi reale</t>
  </si>
  <si>
    <t>Epsilon</t>
  </si>
  <si>
    <t>Delta p_dcf</t>
  </si>
  <si>
    <t>Calcolo caduta di pressione dovuta alle perdite di carico distribuite</t>
  </si>
  <si>
    <t>Perdite di carico concentrate</t>
  </si>
  <si>
    <t xml:space="preserve">Curva con sp. Vivo a 30° </t>
  </si>
  <si>
    <t>Calcolo delle perdite di carico concentrate</t>
  </si>
  <si>
    <t>Delta p_c</t>
  </si>
  <si>
    <t>Calcolo della caduta di pressione totale</t>
  </si>
  <si>
    <t>Potenza ventilatore 2</t>
  </si>
  <si>
    <t>P_v2</t>
  </si>
  <si>
    <t>Capitolo 5</t>
  </si>
  <si>
    <t>Bilancio Termico complessivo</t>
  </si>
  <si>
    <t>Ambiente residenziale diviso in tre macro locali: seminterrato, locale, mansarda</t>
  </si>
  <si>
    <t>Stratigrafia pareti:</t>
  </si>
  <si>
    <t>Seminterrato:</t>
  </si>
  <si>
    <t>Temperatura</t>
  </si>
  <si>
    <t>T_seminterrato</t>
  </si>
  <si>
    <t>s [mm]</t>
  </si>
  <si>
    <t>lambda [W/m K]</t>
  </si>
  <si>
    <t>Locale interno</t>
  </si>
  <si>
    <t>Pareti esterne</t>
  </si>
  <si>
    <t>Intonaco interno</t>
  </si>
  <si>
    <t xml:space="preserve">Muratura in pietra </t>
  </si>
  <si>
    <t>Intonaco esterno</t>
  </si>
  <si>
    <t>Pavimento</t>
  </si>
  <si>
    <t>marmo</t>
  </si>
  <si>
    <t>soletta cemento armato</t>
  </si>
  <si>
    <t>Tetto</t>
  </si>
  <si>
    <t>Intonaco</t>
  </si>
  <si>
    <t>Soletta in cemento armato</t>
  </si>
  <si>
    <t>cotti</t>
  </si>
  <si>
    <t>Altezza ambiente</t>
  </si>
  <si>
    <t>h</t>
  </si>
  <si>
    <t>Lato 1 casa</t>
  </si>
  <si>
    <t>l1</t>
  </si>
  <si>
    <t>Lato 2 casa</t>
  </si>
  <si>
    <t xml:space="preserve">l2 </t>
  </si>
  <si>
    <t>Superficie calpestabile</t>
  </si>
  <si>
    <t>Superficie vetrata minima</t>
  </si>
  <si>
    <t>Consideriamo di avere questa superficie vetrata distribuita su 10 finestre identiche da 5x2 per 10 m^2</t>
  </si>
  <si>
    <t>Area finestra</t>
  </si>
  <si>
    <t>A_fin</t>
  </si>
  <si>
    <t>Area telaio</t>
  </si>
  <si>
    <t>A_telaio</t>
  </si>
  <si>
    <t xml:space="preserve">Totale </t>
  </si>
  <si>
    <t xml:space="preserve">Perimentro finestra </t>
  </si>
  <si>
    <t>p_fin</t>
  </si>
  <si>
    <t>Trasmittanza vetro</t>
  </si>
  <si>
    <t>U_glass</t>
  </si>
  <si>
    <t>W/(m^2 K)</t>
  </si>
  <si>
    <t>Trasmittanza telaio</t>
  </si>
  <si>
    <t>U_telaio</t>
  </si>
  <si>
    <t>Alluminio</t>
  </si>
  <si>
    <t>Trasmittanza lineare</t>
  </si>
  <si>
    <t>U_lineare</t>
  </si>
  <si>
    <t>W/(m K)</t>
  </si>
  <si>
    <t>Trasmittanza finestra</t>
  </si>
  <si>
    <t>U_fin</t>
  </si>
  <si>
    <t>Trasmittanza superfici vetrate</t>
  </si>
  <si>
    <t>U_vetro</t>
  </si>
  <si>
    <t xml:space="preserve">Flusso Phi_f </t>
  </si>
  <si>
    <t>Phi_f</t>
  </si>
  <si>
    <t>Superficie pareti</t>
  </si>
  <si>
    <t>A_pe</t>
  </si>
  <si>
    <t>Resistenza liminare interna</t>
  </si>
  <si>
    <t>R_int</t>
  </si>
  <si>
    <t>K/W</t>
  </si>
  <si>
    <t>Resistenza liminare esterna</t>
  </si>
  <si>
    <t>R_ext</t>
  </si>
  <si>
    <t>Flusso Phi_p</t>
  </si>
  <si>
    <t>Phi_p</t>
  </si>
  <si>
    <t>Area pavimento</t>
  </si>
  <si>
    <t>A_semi</t>
  </si>
  <si>
    <t>Flusso Phi_s</t>
  </si>
  <si>
    <t>Phi_s</t>
  </si>
  <si>
    <t>Area Tetto</t>
  </si>
  <si>
    <t xml:space="preserve"> A_t </t>
  </si>
  <si>
    <t>Flusso Phi_t</t>
  </si>
  <si>
    <t>Phi_t</t>
  </si>
  <si>
    <t>Flusso termico dovuto al ricambio di aria</t>
  </si>
  <si>
    <t>Phi_ventilazione</t>
  </si>
  <si>
    <t>Flusso Phi_c</t>
  </si>
  <si>
    <t>Phi_c</t>
  </si>
  <si>
    <t>Calcolo coefficiente di scambio termico convettivo all'interno della canna fumaria</t>
  </si>
  <si>
    <t>Spessore</t>
  </si>
  <si>
    <t>s</t>
  </si>
  <si>
    <t>Diametro canna fumaria</t>
  </si>
  <si>
    <t>D_canna</t>
  </si>
  <si>
    <t>Densità dei fumi</t>
  </si>
  <si>
    <t xml:space="preserve">diffusività </t>
  </si>
  <si>
    <t>alfa</t>
  </si>
  <si>
    <t>ni(fumiscar)</t>
  </si>
  <si>
    <t>cp</t>
  </si>
  <si>
    <t>J/kgK</t>
  </si>
  <si>
    <t>friction factor</t>
  </si>
  <si>
    <t>pr</t>
  </si>
  <si>
    <t>Nusselt interno</t>
  </si>
  <si>
    <t>Nu</t>
  </si>
  <si>
    <t>coeff scambio hint</t>
  </si>
  <si>
    <t>hint</t>
  </si>
  <si>
    <t>Resistenza</t>
  </si>
  <si>
    <t>Rint</t>
  </si>
  <si>
    <t>Resistenza conduttiva</t>
  </si>
  <si>
    <t>Rw</t>
  </si>
  <si>
    <t>Coeff convettivo esterno</t>
  </si>
  <si>
    <t>Prandtl(aria a 290 K)</t>
  </si>
  <si>
    <t>lambda aria</t>
  </si>
  <si>
    <t xml:space="preserve">Temp parete esterna </t>
  </si>
  <si>
    <t>T_pe</t>
  </si>
  <si>
    <t>grashof</t>
  </si>
  <si>
    <t>Raileigh</t>
  </si>
  <si>
    <t>Ra</t>
  </si>
  <si>
    <t>Coeff scambio termico</t>
  </si>
  <si>
    <t>hext</t>
  </si>
  <si>
    <t>resistenza</t>
  </si>
  <si>
    <t>Serie delle 3 resistenze</t>
  </si>
  <si>
    <t>Rtot</t>
  </si>
  <si>
    <t>Calcolo coefficiente di scambio termico convettivo all'esterno della canna fumaria</t>
  </si>
  <si>
    <t>Accelerazione di gravità</t>
  </si>
  <si>
    <t>Coeff di dilatazione aria</t>
  </si>
  <si>
    <t>m/K</t>
  </si>
  <si>
    <t>Lunghezza della canna fumaria</t>
  </si>
  <si>
    <t>L_cannaf</t>
  </si>
  <si>
    <t xml:space="preserve">Viscosità cinematica </t>
  </si>
  <si>
    <t>ni(Tint)</t>
  </si>
  <si>
    <t>Emissività fumi</t>
  </si>
  <si>
    <t>epsilon(fumiscar)</t>
  </si>
  <si>
    <t>Emissività tubo</t>
  </si>
  <si>
    <t>epsilon(cannaf)</t>
  </si>
  <si>
    <t>Scegliendo come materiali AISI1010</t>
  </si>
  <si>
    <t>Costante di Boltzman</t>
  </si>
  <si>
    <t>W/(m^2K^4)</t>
  </si>
  <si>
    <t>Diffusività</t>
  </si>
  <si>
    <t>alpha(int)</t>
  </si>
  <si>
    <t>Pr</t>
  </si>
  <si>
    <t>Conducibilità aria</t>
  </si>
  <si>
    <t>lambda(int)</t>
  </si>
  <si>
    <t>W/(mK)</t>
  </si>
  <si>
    <t>T_p2</t>
  </si>
  <si>
    <t>h_irr(ext)</t>
  </si>
  <si>
    <t>verifica</t>
  </si>
  <si>
    <t>h_conv(ext)</t>
  </si>
  <si>
    <t>T_mfumi</t>
  </si>
  <si>
    <t>T_p1</t>
  </si>
  <si>
    <t>h_irr(int)</t>
  </si>
  <si>
    <t>Flusso dalla canna fumaria</t>
  </si>
  <si>
    <t>Temperatura dei fumi in uscita</t>
  </si>
  <si>
    <t>T_exit</t>
  </si>
  <si>
    <t>Efficienza caldaia</t>
  </si>
  <si>
    <t>Eff_cald</t>
  </si>
  <si>
    <t>Delta Efficienza</t>
  </si>
  <si>
    <t xml:space="preserve">Efficienza caldaia con cannaf </t>
  </si>
  <si>
    <t>Eff_2</t>
  </si>
  <si>
    <t>%</t>
  </si>
  <si>
    <t>Recupero energetico canna fumaria</t>
  </si>
  <si>
    <t>Recupero</t>
  </si>
  <si>
    <t>Costo metano</t>
  </si>
  <si>
    <t>C_metano</t>
  </si>
  <si>
    <t>Portata metano</t>
  </si>
  <si>
    <t>m^3/s</t>
  </si>
  <si>
    <t xml:space="preserve">densità metano </t>
  </si>
  <si>
    <t>Costo invernale metano</t>
  </si>
  <si>
    <t>€</t>
  </si>
  <si>
    <t xml:space="preserve">Costo combustibile (metano) considerando funzionamento al max per 6 mesi </t>
  </si>
  <si>
    <t>Parte A</t>
  </si>
  <si>
    <t>Capitolo 1</t>
  </si>
  <si>
    <t>Dati dei fluidi e materiali</t>
  </si>
  <si>
    <t>Dati geometrici</t>
  </si>
  <si>
    <t>Temperatura di condensazione</t>
  </si>
  <si>
    <t>T_cond</t>
  </si>
  <si>
    <t>Temperatura aria ingresso</t>
  </si>
  <si>
    <t>s_int</t>
  </si>
  <si>
    <t>Temperatura aria uscita</t>
  </si>
  <si>
    <t>DeltaT1</t>
  </si>
  <si>
    <t xml:space="preserve">Superficie interna per unità di L </t>
  </si>
  <si>
    <t>A_1int/L</t>
  </si>
  <si>
    <t>DeltaT2</t>
  </si>
  <si>
    <t>Superficie esterna per unità di L</t>
  </si>
  <si>
    <t>A_1ext/L</t>
  </si>
  <si>
    <t>Delta T medio logatmico</t>
  </si>
  <si>
    <t>DeltaTlml</t>
  </si>
  <si>
    <t>Diametro Idraulico interno</t>
  </si>
  <si>
    <t>dh_int</t>
  </si>
  <si>
    <t>Conducibilità tubo</t>
  </si>
  <si>
    <t>lambda_m</t>
  </si>
  <si>
    <t>Diametro Idraulico esterno</t>
  </si>
  <si>
    <t>dh_ext</t>
  </si>
  <si>
    <t>Temperatura media fumi</t>
  </si>
  <si>
    <t>de_int</t>
  </si>
  <si>
    <t>Rapporto m'_a/m'_fuel</t>
  </si>
  <si>
    <t>Temperatura media aria</t>
  </si>
  <si>
    <t>T_maria</t>
  </si>
  <si>
    <t>de_ext</t>
  </si>
  <si>
    <t>Calore specifico aria a p cost</t>
  </si>
  <si>
    <t>cp_aria</t>
  </si>
  <si>
    <t>J/(kgK)</t>
  </si>
  <si>
    <t>Rapporto m'_h2o/m'_fuel</t>
  </si>
  <si>
    <t>Calore specifico fumi a p cost</t>
  </si>
  <si>
    <t>cp_fumi</t>
  </si>
  <si>
    <t>Rapporto m'_h2o/m'_fumi</t>
  </si>
  <si>
    <t xml:space="preserve">Pressione assoluta </t>
  </si>
  <si>
    <t>bar</t>
  </si>
  <si>
    <t>Viscosità dinamica fumi</t>
  </si>
  <si>
    <t>mu_fumi</t>
  </si>
  <si>
    <t>kg/ms</t>
  </si>
  <si>
    <t>Pressione parziale h20</t>
  </si>
  <si>
    <t>Pp_h2o</t>
  </si>
  <si>
    <t>Viscosità dinamica aria</t>
  </si>
  <si>
    <t>mu_aria</t>
  </si>
  <si>
    <t>epsilon_f</t>
  </si>
  <si>
    <t xml:space="preserve">T condensazione </t>
  </si>
  <si>
    <t>tabellato</t>
  </si>
  <si>
    <t>Emissività aria</t>
  </si>
  <si>
    <t>epsilon_a</t>
  </si>
  <si>
    <t>T uscita fumi</t>
  </si>
  <si>
    <t>Emissività acciaio</t>
  </si>
  <si>
    <t>epsilon_ac</t>
  </si>
  <si>
    <t>T fiamma</t>
  </si>
  <si>
    <t>lambda_a</t>
  </si>
  <si>
    <t>T media fumi</t>
  </si>
  <si>
    <t>Tf_media</t>
  </si>
  <si>
    <t>Conducibilità fumi</t>
  </si>
  <si>
    <t>lambda_f</t>
  </si>
  <si>
    <t>Calore latente</t>
  </si>
  <si>
    <t>r</t>
  </si>
  <si>
    <t>J/kg</t>
  </si>
  <si>
    <t>Costante di boltzman</t>
  </si>
  <si>
    <t>Cp fumi</t>
  </si>
  <si>
    <t>Per T compreso tra 1000 e 1200 K</t>
  </si>
  <si>
    <t>Velocità aria</t>
  </si>
  <si>
    <t>w_aria</t>
  </si>
  <si>
    <t xml:space="preserve">Phi </t>
  </si>
  <si>
    <t>pho_f</t>
  </si>
  <si>
    <t>Numeri adimensionali</t>
  </si>
  <si>
    <t>Calcolo scambio termico</t>
  </si>
  <si>
    <t>Velocità gas</t>
  </si>
  <si>
    <t>Reynolds aria</t>
  </si>
  <si>
    <t>Turbolento</t>
  </si>
  <si>
    <t>Coeff conv interno</t>
  </si>
  <si>
    <t>h_c^int</t>
  </si>
  <si>
    <t>W/(km^2)</t>
  </si>
  <si>
    <t>Portata fumi</t>
  </si>
  <si>
    <t>Reynolds fumi</t>
  </si>
  <si>
    <t>Coeff conv esterno</t>
  </si>
  <si>
    <t>h_c^ext</t>
  </si>
  <si>
    <t>Portata h2o</t>
  </si>
  <si>
    <t>m'_h2o</t>
  </si>
  <si>
    <t>Prandtl aria</t>
  </si>
  <si>
    <t>Portata combustibile</t>
  </si>
  <si>
    <t>Prandtl fumi</t>
  </si>
  <si>
    <t>Resistenza termica conduttiva</t>
  </si>
  <si>
    <t>R_w/L</t>
  </si>
  <si>
    <t>K/Wm</t>
  </si>
  <si>
    <t>Portata di aria mix</t>
  </si>
  <si>
    <t>Nusselt aria</t>
  </si>
  <si>
    <t>Potenza sezione I</t>
  </si>
  <si>
    <t>Phi_1</t>
  </si>
  <si>
    <t>Velocità aria mix</t>
  </si>
  <si>
    <t>Nusselt fumi</t>
  </si>
  <si>
    <t>Temperatura aria uscita Sez.1</t>
  </si>
  <si>
    <t>T_aout1</t>
  </si>
  <si>
    <t>D1_int</t>
  </si>
  <si>
    <t>Calcolo lunghezza Sezione I</t>
  </si>
  <si>
    <t>D1_ext</t>
  </si>
  <si>
    <t>D2_int</t>
  </si>
  <si>
    <t>Temperatura parete interna</t>
  </si>
  <si>
    <t xml:space="preserve">T_1int </t>
  </si>
  <si>
    <t>Funzione lato fumi</t>
  </si>
  <si>
    <t>f_int</t>
  </si>
  <si>
    <t>Coeff irraggiamento interno</t>
  </si>
  <si>
    <t>h_irr int</t>
  </si>
  <si>
    <t>W/(m^2K)</t>
  </si>
  <si>
    <t>Funzione spessore</t>
  </si>
  <si>
    <t>f_cond</t>
  </si>
  <si>
    <t>Temperatura parete esterna</t>
  </si>
  <si>
    <t>Funzione lato aria</t>
  </si>
  <si>
    <t>f_ext</t>
  </si>
  <si>
    <t>Coeff irraggiamento esterna</t>
  </si>
  <si>
    <t>h_irr ext</t>
  </si>
  <si>
    <t>Funzione per convergenza</t>
  </si>
  <si>
    <t>Lunghezza scambiatore di calore</t>
  </si>
  <si>
    <t>Resistenza T interna</t>
  </si>
  <si>
    <t>Resistenza T esterna</t>
  </si>
  <si>
    <t>Resistenza T conduttiva</t>
  </si>
  <si>
    <t>R_w</t>
  </si>
  <si>
    <t>Flusso</t>
  </si>
  <si>
    <t>Phi1</t>
  </si>
  <si>
    <t>Con alettatura esterna</t>
  </si>
  <si>
    <t>Calcolo nuovi valori</t>
  </si>
  <si>
    <t>Diametro efficace estero</t>
  </si>
  <si>
    <t>Numero massimo alette</t>
  </si>
  <si>
    <t>Sezione esterna per unità di L</t>
  </si>
  <si>
    <t>A_ext/L</t>
  </si>
  <si>
    <t>Numero Alette</t>
  </si>
  <si>
    <t>Parametro m</t>
  </si>
  <si>
    <t>Efficienza alettatura</t>
  </si>
  <si>
    <t>h_ext</t>
  </si>
  <si>
    <t>Con anche alettatura interna:</t>
  </si>
  <si>
    <t>Sezione interna per unità di L</t>
  </si>
  <si>
    <t>A_int/L</t>
  </si>
  <si>
    <t>h_int</t>
  </si>
  <si>
    <t>ANALISI DEI COSTI</t>
  </si>
  <si>
    <t>h_giorno</t>
  </si>
  <si>
    <t>Caso tubo in tubo: Sezione I</t>
  </si>
  <si>
    <t>Caso di scambiatore a fascio tubiero: Sezione I</t>
  </si>
  <si>
    <t>Dati termdinamici e termofisici</t>
  </si>
  <si>
    <t>Densità liquido</t>
  </si>
  <si>
    <t>rho_acq</t>
  </si>
  <si>
    <t>Viscosità dinamica acqua</t>
  </si>
  <si>
    <t>mu_acq</t>
  </si>
  <si>
    <t>Conducibilità acqua</t>
  </si>
  <si>
    <t>lambda_acq</t>
  </si>
  <si>
    <t>Calcolo di primo tentativo:</t>
  </si>
  <si>
    <t>Potenza Temrica</t>
  </si>
  <si>
    <t>Lato tubo</t>
  </si>
  <si>
    <t>Diametro interno</t>
  </si>
  <si>
    <t xml:space="preserve">Spessore tubo </t>
  </si>
  <si>
    <t>Diametro esterno</t>
  </si>
  <si>
    <t>Lato shell</t>
  </si>
  <si>
    <t>Parametro PR</t>
  </si>
  <si>
    <t>PR</t>
  </si>
  <si>
    <t xml:space="preserve">Pitch </t>
  </si>
  <si>
    <t>Pt</t>
  </si>
  <si>
    <t>Parametro CL</t>
  </si>
  <si>
    <t>CL</t>
  </si>
  <si>
    <t>Parametro CTP</t>
  </si>
  <si>
    <t>CPT</t>
  </si>
  <si>
    <t>Lunghezza tentativo</t>
  </si>
  <si>
    <t>Valore tentativo h</t>
  </si>
  <si>
    <t>h_i</t>
  </si>
  <si>
    <t>W/m^2K</t>
  </si>
  <si>
    <t>h_o</t>
  </si>
  <si>
    <t>Conducibilità termica parete</t>
  </si>
  <si>
    <t>Considero nulle le resistenze di fauling</t>
  </si>
  <si>
    <t>Valore tentativo U_0</t>
  </si>
  <si>
    <t>Valore tentativo U_i</t>
  </si>
  <si>
    <t>U_i</t>
  </si>
  <si>
    <t xml:space="preserve">LMTD </t>
  </si>
  <si>
    <t>DeltaTml</t>
  </si>
  <si>
    <t xml:space="preserve">Parametro </t>
  </si>
  <si>
    <t>P</t>
  </si>
  <si>
    <t>Fattore di correzione</t>
  </si>
  <si>
    <t>F</t>
  </si>
  <si>
    <t>LMTD corretto</t>
  </si>
  <si>
    <t>Area di scambio</t>
  </si>
  <si>
    <t>A_0</t>
  </si>
  <si>
    <t>Numero di tubi</t>
  </si>
  <si>
    <t>Nt</t>
  </si>
  <si>
    <t>Diametro shell interno</t>
  </si>
  <si>
    <t>Ds</t>
  </si>
  <si>
    <t>inc</t>
  </si>
  <si>
    <t>Calcolo Lunghezza</t>
  </si>
  <si>
    <t>Distanza barriere</t>
  </si>
  <si>
    <t>Bs</t>
  </si>
  <si>
    <t>Buffle cut</t>
  </si>
  <si>
    <t>Bc</t>
  </si>
  <si>
    <t>Diametro efficace</t>
  </si>
  <si>
    <t>De</t>
  </si>
  <si>
    <t>Area</t>
  </si>
  <si>
    <t>As</t>
  </si>
  <si>
    <t>Portata</t>
  </si>
  <si>
    <t>Gs</t>
  </si>
  <si>
    <t>kg/m^2s</t>
  </si>
  <si>
    <t>Reynolds shell</t>
  </si>
  <si>
    <t>Re_s</t>
  </si>
  <si>
    <t>Nusselt  shell</t>
  </si>
  <si>
    <t>Nu_s</t>
  </si>
  <si>
    <t>Correlazione di Kern</t>
  </si>
  <si>
    <t>Reynolds tube</t>
  </si>
  <si>
    <t>Re_t</t>
  </si>
  <si>
    <t>Darcy tube</t>
  </si>
  <si>
    <t>Nusselt tube</t>
  </si>
  <si>
    <t>Nu_t</t>
  </si>
  <si>
    <t>Coefficienti scambio conv</t>
  </si>
  <si>
    <t>h_s</t>
  </si>
  <si>
    <t>h_t</t>
  </si>
  <si>
    <t>Applico LMTD</t>
  </si>
  <si>
    <t>Rt L</t>
  </si>
  <si>
    <t>L1</t>
  </si>
  <si>
    <t>Caso di scambiatore a fascio tubiero: Sezione II</t>
  </si>
  <si>
    <t>Temperatura app parete</t>
  </si>
  <si>
    <t>T_w</t>
  </si>
  <si>
    <t xml:space="preserve">Abbiamo assunto un valor medio tra la T cond e la temperatura media dell'aria in questa sezione del sc. </t>
  </si>
  <si>
    <t>L2</t>
  </si>
  <si>
    <t>Lunghezza totale</t>
  </si>
  <si>
    <t>ottobre</t>
  </si>
  <si>
    <t>novembre</t>
  </si>
  <si>
    <t>dicembre</t>
  </si>
  <si>
    <t>gennaio</t>
  </si>
  <si>
    <t>febbraio</t>
  </si>
  <si>
    <t>marzo</t>
  </si>
  <si>
    <t>T_ext</t>
  </si>
  <si>
    <t>Phi_diss</t>
  </si>
  <si>
    <t>Temperatura esterna media            [°C]</t>
  </si>
  <si>
    <t>Flusso Vetri                                      [W]</t>
  </si>
  <si>
    <t>Flusso Pareti                                     [W]</t>
  </si>
  <si>
    <t>Flusso Pavimento                             [W]</t>
  </si>
  <si>
    <t>Flusso dissipato                                [W]</t>
  </si>
  <si>
    <t>Flusso Tetto                                      [W]</t>
  </si>
  <si>
    <t>Tempo mensile                                [s]</t>
  </si>
  <si>
    <t>Energia dissipata                             [J]</t>
  </si>
  <si>
    <t>t_mese</t>
  </si>
  <si>
    <t>E_diss</t>
  </si>
  <si>
    <t>Flusso canna fumaria                      [W]</t>
  </si>
  <si>
    <t>t_caldaia</t>
  </si>
  <si>
    <t>Accensione giornaliera            [h/giorno]</t>
  </si>
  <si>
    <t>Tempo funzionamento caldaia  [h/mese]</t>
  </si>
  <si>
    <t>Ore di funzionamento periodo invernale</t>
  </si>
  <si>
    <t>€/Smc</t>
  </si>
  <si>
    <t xml:space="preserve">rho_metano </t>
  </si>
  <si>
    <t>Costo Metano</t>
  </si>
  <si>
    <t>Costo Ventilatori</t>
  </si>
  <si>
    <t>Potenza ventilatori</t>
  </si>
  <si>
    <t>P_ventialtori</t>
  </si>
  <si>
    <t>C_fuel</t>
  </si>
  <si>
    <t>€/kWh</t>
  </si>
  <si>
    <t>Costo energia elettrica</t>
  </si>
  <si>
    <t>c_energia</t>
  </si>
  <si>
    <t>Costo ventilatori</t>
  </si>
  <si>
    <t>C_ventilatori</t>
  </si>
  <si>
    <t>C_totale</t>
  </si>
  <si>
    <t>Costo totale</t>
  </si>
  <si>
    <t>V'_metano</t>
  </si>
  <si>
    <t>portata massica metano</t>
  </si>
  <si>
    <t>Non ne teniamo conto</t>
  </si>
  <si>
    <t>Efficienza caldaia condensazione</t>
  </si>
  <si>
    <t>Rf</t>
  </si>
  <si>
    <t>(m^2 K)/W</t>
  </si>
  <si>
    <t>Resistenza di fouling</t>
  </si>
  <si>
    <t xml:space="preserve">Coeff scambio conv </t>
  </si>
  <si>
    <t xml:space="preserve">kern's modification </t>
  </si>
  <si>
    <t>a cui faccio fare 4 passate</t>
  </si>
  <si>
    <t>Epsilon NTU</t>
  </si>
  <si>
    <t>sezione 1</t>
  </si>
  <si>
    <t>C aria</t>
  </si>
  <si>
    <t>C fumi</t>
  </si>
  <si>
    <t>Qmax</t>
  </si>
  <si>
    <t>CMIN</t>
  </si>
  <si>
    <t>CMAX</t>
  </si>
  <si>
    <t>NTU</t>
  </si>
  <si>
    <t>c</t>
  </si>
  <si>
    <t>flusso reale</t>
  </si>
  <si>
    <t>sezione 2</t>
  </si>
  <si>
    <t>Tmedia aria sez 2</t>
  </si>
  <si>
    <t>PARTE B: analisi exergetica</t>
  </si>
  <si>
    <t xml:space="preserve">Scambiatore di calore </t>
  </si>
  <si>
    <t>temperatura stato morto</t>
  </si>
  <si>
    <t>T_0</t>
  </si>
  <si>
    <t>p_0</t>
  </si>
  <si>
    <t>pressione stato morto</t>
  </si>
  <si>
    <t>delta p_1°</t>
  </si>
  <si>
    <t>Perdite di carico totali circuito secondario</t>
  </si>
  <si>
    <t>Perdite di carico totali circuito primario</t>
  </si>
  <si>
    <t>delta p_2°</t>
  </si>
  <si>
    <t>Ventilatore 1</t>
  </si>
  <si>
    <t>DIMENSIONAMENTO VENTILATORI</t>
  </si>
  <si>
    <t>Per aria ambiente</t>
  </si>
  <si>
    <t>Perdite scambaitore di calore</t>
  </si>
  <si>
    <t>Diametro mantello</t>
  </si>
  <si>
    <t xml:space="preserve">Numero dei diaframmi </t>
  </si>
  <si>
    <t>densità aria</t>
  </si>
  <si>
    <t>m^2/kg</t>
  </si>
  <si>
    <t>d_e</t>
  </si>
  <si>
    <t>Per fumi</t>
  </si>
  <si>
    <t>Ventilatore 2</t>
  </si>
  <si>
    <t>Perdita di carico totale circuito aria</t>
  </si>
  <si>
    <t>delta p_a°</t>
  </si>
  <si>
    <t>Perdite di carico distribuite scambiatore</t>
  </si>
  <si>
    <t>delta pd_1</t>
  </si>
  <si>
    <t>Vecchio de</t>
  </si>
  <si>
    <t>Tw</t>
  </si>
  <si>
    <t>h_conv</t>
  </si>
  <si>
    <t>w</t>
  </si>
  <si>
    <t>d1_ext</t>
  </si>
  <si>
    <t>Deff</t>
  </si>
  <si>
    <t>kg/m*s</t>
  </si>
  <si>
    <t>W/m^2K^4</t>
  </si>
  <si>
    <t>Nd</t>
  </si>
  <si>
    <t>DELTAX</t>
  </si>
  <si>
    <t>Tinizio</t>
  </si>
  <si>
    <t>Rt</t>
  </si>
  <si>
    <t>Delta_phi</t>
  </si>
  <si>
    <t>Tfine</t>
  </si>
  <si>
    <t>iterazione</t>
  </si>
  <si>
    <t>x</t>
  </si>
  <si>
    <t>Mmix</t>
  </si>
  <si>
    <t>Tparete</t>
  </si>
  <si>
    <t>PHI_TOT</t>
  </si>
  <si>
    <t>R_medio tot</t>
  </si>
  <si>
    <t>h_irr_medio</t>
  </si>
  <si>
    <t>Verifica NTU</t>
  </si>
  <si>
    <t>Cmin</t>
  </si>
  <si>
    <t>Cmax</t>
  </si>
  <si>
    <t>Tmin</t>
  </si>
  <si>
    <t>Tmax</t>
  </si>
  <si>
    <t>Phi_max</t>
  </si>
  <si>
    <t>J/K</t>
  </si>
  <si>
    <t>Capacità termica min</t>
  </si>
  <si>
    <t>Capacità termica max</t>
  </si>
  <si>
    <t>Temperatura min</t>
  </si>
  <si>
    <t>Temperatura max</t>
  </si>
  <si>
    <t>Coefficiente NTU</t>
  </si>
  <si>
    <t>Potenza termica massima</t>
  </si>
  <si>
    <t xml:space="preserve">Potenza termica </t>
  </si>
  <si>
    <t>Coefficiente c</t>
  </si>
  <si>
    <t>Coefficiente epsilon</t>
  </si>
  <si>
    <t>entalpia stato morto</t>
  </si>
  <si>
    <t>h_0</t>
  </si>
  <si>
    <t>entropia stato morto</t>
  </si>
  <si>
    <t>s_0</t>
  </si>
  <si>
    <t>phi_perdite</t>
  </si>
  <si>
    <t>temperatura scantinato</t>
  </si>
  <si>
    <t>T_aria se</t>
  </si>
  <si>
    <t>SCAMBIATORE DI CALORE</t>
  </si>
  <si>
    <t>HOT IN</t>
  </si>
  <si>
    <t>HOT OUT</t>
  </si>
  <si>
    <t xml:space="preserve">COLD IN </t>
  </si>
  <si>
    <t>COLD OUT</t>
  </si>
  <si>
    <t>portata</t>
  </si>
  <si>
    <t>temperatura</t>
  </si>
  <si>
    <t xml:space="preserve">pressione </t>
  </si>
  <si>
    <t>entalpia</t>
  </si>
  <si>
    <t>entropia</t>
  </si>
  <si>
    <t>interpolazione tabelle</t>
  </si>
  <si>
    <t>fattore Carnot</t>
  </si>
  <si>
    <t>psi_q</t>
  </si>
  <si>
    <t>Exergia</t>
  </si>
  <si>
    <t>G_b</t>
  </si>
  <si>
    <t>delta_G_b</t>
  </si>
  <si>
    <t>irreversibilità</t>
  </si>
  <si>
    <t>efficienza exergetica scambiatore di calore</t>
  </si>
  <si>
    <t>exergia chimica</t>
  </si>
  <si>
    <t>ATTENZIONE</t>
  </si>
  <si>
    <t>CO</t>
  </si>
  <si>
    <t>C (s)</t>
  </si>
  <si>
    <t>kJ/kmol</t>
  </si>
  <si>
    <t>kJ/kmolK</t>
  </si>
  <si>
    <t>funzione di formazione di Gibbs</t>
  </si>
  <si>
    <t>massa molecolare</t>
  </si>
  <si>
    <t>kg/kmol</t>
  </si>
  <si>
    <t>MJ/kg</t>
  </si>
  <si>
    <r>
      <t>Δh</t>
    </r>
    <r>
      <rPr>
        <i/>
        <vertAlign val="subscript"/>
        <sz val="11"/>
        <rFont val="Calibri"/>
        <family val="2"/>
        <scheme val="minor"/>
      </rPr>
      <t>0,r</t>
    </r>
    <r>
      <rPr>
        <i/>
        <sz val="11"/>
        <rFont val="Calibri"/>
        <family val="2"/>
        <scheme val="minor"/>
      </rPr>
      <t>(g)</t>
    </r>
  </si>
  <si>
    <r>
      <t>Enthalpy of reaction (H</t>
    </r>
    <r>
      <rPr>
        <i/>
        <vertAlign val="sub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O in liquid phase)</t>
    </r>
  </si>
  <si>
    <r>
      <t>Δh</t>
    </r>
    <r>
      <rPr>
        <i/>
        <vertAlign val="subscript"/>
        <sz val="11"/>
        <rFont val="Calibri"/>
        <family val="2"/>
        <scheme val="minor"/>
      </rPr>
      <t>0,r</t>
    </r>
    <r>
      <rPr>
        <i/>
        <sz val="11"/>
        <rFont val="Calibri"/>
        <family val="2"/>
        <scheme val="minor"/>
      </rPr>
      <t>(l)</t>
    </r>
  </si>
  <si>
    <r>
      <t>Enthalpy of reaction (H</t>
    </r>
    <r>
      <rPr>
        <i/>
        <vertAlign val="sub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O in vapor phase)</t>
    </r>
  </si>
  <si>
    <t>MJ/kg-K</t>
  </si>
  <si>
    <r>
      <t>Δs</t>
    </r>
    <r>
      <rPr>
        <i/>
        <vertAlign val="subscript"/>
        <sz val="11"/>
        <rFont val="Calibri"/>
        <family val="2"/>
        <scheme val="minor"/>
      </rPr>
      <t>0,r</t>
    </r>
    <r>
      <rPr>
        <i/>
        <sz val="11"/>
        <rFont val="Calibri"/>
        <family val="2"/>
        <scheme val="minor"/>
      </rPr>
      <t>(g)</t>
    </r>
  </si>
  <si>
    <r>
      <t>Entropy of reaction (H</t>
    </r>
    <r>
      <rPr>
        <i/>
        <vertAlign val="sub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O in vapor phase)</t>
    </r>
  </si>
  <si>
    <r>
      <t>Δg</t>
    </r>
    <r>
      <rPr>
        <i/>
        <vertAlign val="subscript"/>
        <sz val="11"/>
        <rFont val="Calibri"/>
        <family val="2"/>
        <scheme val="minor"/>
      </rPr>
      <t>0,r</t>
    </r>
    <r>
      <rPr>
        <i/>
        <sz val="11"/>
        <rFont val="Calibri"/>
        <family val="2"/>
        <scheme val="minor"/>
      </rPr>
      <t>(g)</t>
    </r>
  </si>
  <si>
    <r>
      <t>Gibbs function or Gibbs free energy of reaction (H</t>
    </r>
    <r>
      <rPr>
        <i/>
        <vertAlign val="sub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O in vapor phase)</t>
    </r>
  </si>
  <si>
    <t>FORMULA SEMPLIFICATA:</t>
  </si>
  <si>
    <t>concentrazioni in composizione ambiente</t>
  </si>
  <si>
    <t>altro</t>
  </si>
  <si>
    <t>C_a*H_b + (a+b/4)*O2 --&gt; (b/2)*H2O + aCO2</t>
  </si>
  <si>
    <t>a</t>
  </si>
  <si>
    <t>Ventilatori</t>
  </si>
  <si>
    <t>Ventilatore 1 - aria</t>
  </si>
  <si>
    <t>efficienza exergetica ventilatore aria</t>
  </si>
  <si>
    <t>Ventilatore 2 - fumi</t>
  </si>
  <si>
    <t>efficienza exergetica</t>
  </si>
  <si>
    <t>Miscelatore</t>
  </si>
  <si>
    <t xml:space="preserve">Portata di ricircolo aria </t>
  </si>
  <si>
    <t>Portata refresh</t>
  </si>
  <si>
    <t>Portata mix</t>
  </si>
  <si>
    <t>Temperatura interna abitazione</t>
  </si>
  <si>
    <t>Temperatura esterna media periodo invernale</t>
  </si>
  <si>
    <t>Temperatura dopo miscelatore</t>
  </si>
  <si>
    <t>MISCELATORE</t>
  </si>
  <si>
    <t>RICIRCOLO</t>
  </si>
  <si>
    <t>REFRESH</t>
  </si>
  <si>
    <t>MIX</t>
  </si>
  <si>
    <t>Exergia totale</t>
  </si>
  <si>
    <t>IRREVERSIBILITA'</t>
  </si>
  <si>
    <t>Efficienza exergetica</t>
  </si>
  <si>
    <r>
      <t>CH</t>
    </r>
    <r>
      <rPr>
        <vertAlign val="subscript"/>
        <sz val="11"/>
        <color rgb="FF000000"/>
        <rFont val="Calibri"/>
        <family val="2"/>
        <scheme val="minor"/>
      </rPr>
      <t xml:space="preserve">4 </t>
    </r>
    <r>
      <rPr>
        <sz val="11"/>
        <color rgb="FF000000"/>
        <rFont val="Calibri"/>
        <family val="2"/>
        <scheme val="minor"/>
      </rPr>
      <t>+ 2O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--&gt; 2H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 + CO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</si>
  <si>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CH</t>
    </r>
    <r>
      <rPr>
        <b/>
        <vertAlign val="subscript"/>
        <sz val="11"/>
        <color rgb="FF000000"/>
        <rFont val="Calibri"/>
        <family val="2"/>
        <scheme val="minor"/>
      </rPr>
      <t>4</t>
    </r>
  </si>
  <si>
    <r>
      <t>O</t>
    </r>
    <r>
      <rPr>
        <b/>
        <vertAlign val="subscript"/>
        <sz val="11"/>
        <color rgb="FF000000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</si>
  <si>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O (g)</t>
    </r>
  </si>
  <si>
    <r>
      <t>H</t>
    </r>
    <r>
      <rPr>
        <b/>
        <vertAlign val="subscript"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O (l)</t>
    </r>
  </si>
  <si>
    <r>
      <t>CO</t>
    </r>
    <r>
      <rPr>
        <b/>
        <vertAlign val="subscript"/>
        <sz val="11"/>
        <color rgb="FF000000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</si>
  <si>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rgb="FF000000"/>
        <rFont val="Calibri"/>
        <family val="2"/>
        <scheme val="minor"/>
      </rPr>
      <t>2</t>
    </r>
  </si>
  <si>
    <r>
      <t>entalpia di formazione h</t>
    </r>
    <r>
      <rPr>
        <vertAlign val="subscript"/>
        <sz val="11"/>
        <color rgb="FF000000"/>
        <rFont val="Calibri"/>
        <family val="2"/>
        <scheme val="minor"/>
      </rPr>
      <t>0,f</t>
    </r>
    <r>
      <rPr>
        <sz val="11"/>
        <color rgb="FF000000"/>
        <rFont val="Calibri"/>
        <family val="2"/>
        <scheme val="minor"/>
      </rPr>
      <t xml:space="preserve"> </t>
    </r>
  </si>
  <si>
    <r>
      <t>entropia assoluta s</t>
    </r>
    <r>
      <rPr>
        <vertAlign val="subscript"/>
        <sz val="11"/>
        <color rgb="FF000000"/>
        <rFont val="Calibri"/>
        <family val="2"/>
        <scheme val="minor"/>
      </rPr>
      <t xml:space="preserve">0 </t>
    </r>
    <r>
      <rPr>
        <sz val="11"/>
        <color rgb="FF000000"/>
        <rFont val="Calibri"/>
        <family val="2"/>
        <scheme val="minor"/>
      </rPr>
      <t>(T</t>
    </r>
    <r>
      <rPr>
        <vertAlign val="subscript"/>
        <sz val="11"/>
        <color rgb="FF000000"/>
        <rFont val="Calibri"/>
        <family val="2"/>
        <scheme val="minor"/>
      </rPr>
      <t>ref</t>
    </r>
    <r>
      <rPr>
        <sz val="11"/>
        <color rgb="FF000000"/>
        <rFont val="Calibri"/>
        <family val="2"/>
        <scheme val="minor"/>
      </rPr>
      <t xml:space="preserve">) </t>
    </r>
  </si>
  <si>
    <t>Low Heating Value, LHV</t>
  </si>
  <si>
    <t>High Heating Value, HHV</t>
  </si>
  <si>
    <r>
      <t>y_O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</si>
  <si>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y_CO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</si>
  <si>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y_H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</si>
  <si>
    <r>
      <t>y_N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</si>
  <si>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</si>
  <si>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 (bar)</t>
    </r>
  </si>
  <si>
    <r>
      <t>R*T</t>
    </r>
    <r>
      <rPr>
        <vertAlign val="subscript"/>
        <sz val="11"/>
        <color rgb="FF000000"/>
        <rFont val="Calibri"/>
        <family val="2"/>
        <scheme val="minor"/>
      </rPr>
      <t>0*</t>
    </r>
    <r>
      <rPr>
        <sz val="11"/>
        <color rgb="FF000000"/>
        <rFont val="Calibri"/>
        <family val="2"/>
        <scheme val="minor"/>
      </rPr>
      <t>ln(K)</t>
    </r>
  </si>
  <si>
    <r>
      <t>Fuel chemical exergy, ex</t>
    </r>
    <r>
      <rPr>
        <vertAlign val="subscript"/>
        <sz val="11"/>
        <color rgb="FF000000"/>
        <rFont val="Calibri"/>
        <family val="2"/>
        <scheme val="minor"/>
      </rPr>
      <t>ch</t>
    </r>
    <r>
      <rPr>
        <sz val="11"/>
        <color rgb="FF000000"/>
        <rFont val="Calibri"/>
        <family val="2"/>
        <scheme val="minor"/>
      </rPr>
      <t xml:space="preserve"> </t>
    </r>
  </si>
  <si>
    <t>Perdite distribuite</t>
  </si>
  <si>
    <t>Diametro tubi del fascio tubiero</t>
  </si>
  <si>
    <t>d1_int</t>
  </si>
  <si>
    <t>L_fumi</t>
  </si>
  <si>
    <t>Diametro idraulico tubi fascio tubiero</t>
  </si>
  <si>
    <t>d_h</t>
  </si>
  <si>
    <t>Perdita di carico distribuita fumi</t>
  </si>
  <si>
    <t>delta pd_f</t>
  </si>
  <si>
    <t>Diametro tubo canna fumaria</t>
  </si>
  <si>
    <t>d_cf</t>
  </si>
  <si>
    <t>Perdite distribuite totali</t>
  </si>
  <si>
    <t>delta pd_f°</t>
  </si>
  <si>
    <t>Perdite concentrate</t>
  </si>
  <si>
    <t>Coeff di perdita Raccordo a 180°</t>
  </si>
  <si>
    <t>Numero di raccordi</t>
  </si>
  <si>
    <t>N_raccordi</t>
  </si>
  <si>
    <t>Perdita concentrate fumi</t>
  </si>
  <si>
    <t>delta pc_f</t>
  </si>
  <si>
    <t>Impianto</t>
  </si>
  <si>
    <t>Perdite concentrate totali</t>
  </si>
  <si>
    <t>Delta pc_f°</t>
  </si>
  <si>
    <t>Delta p_f°</t>
  </si>
  <si>
    <t>IRREVERSIBILITA' TOTALE</t>
  </si>
  <si>
    <t>Efficienza exergetica totale</t>
  </si>
  <si>
    <t>(valore di primo tentativo uguale a 10 come indicato nelle FAQ)</t>
  </si>
  <si>
    <t>Camera di combustione</t>
  </si>
  <si>
    <t>INGRESSO</t>
  </si>
  <si>
    <t>USCITA</t>
  </si>
  <si>
    <t>exergia chimica reattiva del metano</t>
  </si>
  <si>
    <t>potere calorifico superiore CH_4</t>
  </si>
  <si>
    <t>potere calorifico inferiroe CH_4</t>
  </si>
  <si>
    <t xml:space="preserve">exergia termomeccanica </t>
  </si>
  <si>
    <t>portata metano</t>
  </si>
  <si>
    <t>exergia chimica di miscelamento dei fumi</t>
  </si>
  <si>
    <t>exergia termomeccanica dei fumi</t>
  </si>
  <si>
    <t>portata fumi</t>
  </si>
  <si>
    <t>temperatura T_fiamma</t>
  </si>
  <si>
    <t>G_b_chimica</t>
  </si>
  <si>
    <t>G_b_termomeccanica</t>
  </si>
  <si>
    <t>delta G_b_termomeccanica</t>
  </si>
  <si>
    <t>delta G_b_chimica</t>
  </si>
  <si>
    <t>MW</t>
  </si>
  <si>
    <t>U [W/m^2K]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</si>
</sst>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"/>
    <numFmt numFmtId="165" formatCode="0.000"/>
    <numFmt numFmtId="166" formatCode="0.0000"/>
    <numFmt numFmtId="167" formatCode="0.0000000"/>
    <numFmt numFmtId="168" formatCode="0.00000"/>
    <numFmt numFmtId="169" formatCode="0.000000"/>
    <numFmt numFmtId="170" formatCode="0.000E+00"/>
    <numFmt numFmtId="171" formatCode="0.00000000E+00"/>
    <numFmt numFmtId="172" formatCode="0.000000E+00"/>
    <numFmt numFmtId="173" formatCode="#,##0.00000"/>
    <numFmt numFmtId="174" formatCode="0.00000000"/>
    <numFmt numFmtId="175" formatCode="0.0000E+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8"/>
      <color rgb="FFFF0000"/>
      <name val="Calibri (Corpo)"/>
    </font>
    <font>
      <sz val="11"/>
      <color rgb="FF222222"/>
      <name val="Calibri"/>
      <family val="2"/>
      <scheme val="minor"/>
    </font>
    <font>
      <sz val="10"/>
      <color theme="1"/>
      <name val="Times New Roman"/>
      <family val="1"/>
    </font>
    <font>
      <sz val="11"/>
      <color theme="4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61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4" fillId="2" borderId="0" xfId="0" applyFont="1" applyFill="1" applyBorder="1"/>
    <xf numFmtId="1" fontId="5" fillId="2" borderId="0" xfId="0" applyNumberFormat="1" applyFont="1" applyFill="1" applyBorder="1" applyAlignment="1">
      <alignment horizontal="right"/>
    </xf>
    <xf numFmtId="1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1" fillId="2" borderId="4" xfId="0" applyFont="1" applyFill="1" applyBorder="1" applyAlignment="1">
      <alignment wrapText="1"/>
    </xf>
    <xf numFmtId="0" fontId="1" fillId="2" borderId="0" xfId="0" applyFont="1" applyFill="1" applyBorder="1"/>
    <xf numFmtId="165" fontId="0" fillId="2" borderId="0" xfId="0" applyNumberFormat="1" applyFill="1" applyBorder="1"/>
    <xf numFmtId="0" fontId="3" fillId="2" borderId="4" xfId="0" applyFont="1" applyFill="1" applyBorder="1" applyAlignment="1">
      <alignment wrapText="1"/>
    </xf>
    <xf numFmtId="2" fontId="0" fillId="2" borderId="0" xfId="0" applyNumberFormat="1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/>
    </xf>
    <xf numFmtId="2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4" fillId="2" borderId="4" xfId="0" applyFont="1" applyFill="1" applyBorder="1"/>
    <xf numFmtId="0" fontId="1" fillId="2" borderId="4" xfId="0" applyFont="1" applyFill="1" applyBorder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64" fontId="0" fillId="2" borderId="0" xfId="0" applyNumberFormat="1" applyFill="1" applyBorder="1" applyAlignment="1">
      <alignment vertical="center"/>
    </xf>
    <xf numFmtId="11" fontId="0" fillId="2" borderId="0" xfId="0" applyNumberFormat="1" applyFill="1" applyBorder="1"/>
    <xf numFmtId="166" fontId="0" fillId="2" borderId="0" xfId="0" applyNumberFormat="1" applyFill="1" applyBorder="1"/>
    <xf numFmtId="0" fontId="0" fillId="2" borderId="4" xfId="0" applyFill="1" applyBorder="1" applyAlignment="1">
      <alignment vertical="center" wrapText="1"/>
    </xf>
    <xf numFmtId="166" fontId="0" fillId="2" borderId="0" xfId="0" applyNumberFormat="1" applyFill="1" applyBorder="1" applyAlignment="1">
      <alignment vertical="center"/>
    </xf>
    <xf numFmtId="0" fontId="3" fillId="2" borderId="1" xfId="0" applyFont="1" applyFill="1" applyBorder="1"/>
    <xf numFmtId="0" fontId="5" fillId="2" borderId="7" xfId="0" applyFont="1" applyFill="1" applyBorder="1"/>
    <xf numFmtId="167" fontId="0" fillId="2" borderId="0" xfId="0" applyNumberFormat="1" applyFill="1" applyBorder="1"/>
    <xf numFmtId="0" fontId="13" fillId="2" borderId="0" xfId="0" applyFont="1" applyFill="1" applyBorder="1"/>
    <xf numFmtId="0" fontId="8" fillId="2" borderId="0" xfId="0" applyFont="1" applyFill="1" applyBorder="1"/>
    <xf numFmtId="0" fontId="0" fillId="2" borderId="0" xfId="0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10" fillId="2" borderId="4" xfId="0" applyFont="1" applyFill="1" applyBorder="1"/>
    <xf numFmtId="0" fontId="9" fillId="2" borderId="0" xfId="0" applyFont="1" applyFill="1" applyBorder="1"/>
    <xf numFmtId="0" fontId="5" fillId="2" borderId="0" xfId="0" applyFont="1" applyFill="1" applyBorder="1"/>
    <xf numFmtId="0" fontId="15" fillId="0" borderId="0" xfId="0" applyFont="1"/>
    <xf numFmtId="0" fontId="0" fillId="3" borderId="0" xfId="0" applyFill="1"/>
    <xf numFmtId="165" fontId="0" fillId="2" borderId="0" xfId="0" applyNumberFormat="1" applyFill="1" applyBorder="1" applyAlignment="1">
      <alignment horizontal="left"/>
    </xf>
    <xf numFmtId="166" fontId="0" fillId="0" borderId="0" xfId="0" applyNumberFormat="1"/>
    <xf numFmtId="11" fontId="0" fillId="0" borderId="0" xfId="0" applyNumberFormat="1"/>
    <xf numFmtId="2" fontId="0" fillId="5" borderId="0" xfId="0" applyNumberFormat="1" applyFill="1" applyBorder="1"/>
    <xf numFmtId="168" fontId="0" fillId="0" borderId="0" xfId="0" applyNumberFormat="1"/>
    <xf numFmtId="169" fontId="0" fillId="0" borderId="0" xfId="0" applyNumberFormat="1"/>
    <xf numFmtId="0" fontId="0" fillId="6" borderId="0" xfId="0" applyFill="1" applyBorder="1"/>
    <xf numFmtId="0" fontId="4" fillId="6" borderId="0" xfId="0" applyFont="1" applyFill="1" applyBorder="1"/>
    <xf numFmtId="2" fontId="0" fillId="0" borderId="0" xfId="0" applyNumberFormat="1"/>
    <xf numFmtId="167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11" fontId="0" fillId="0" borderId="0" xfId="0" applyNumberFormat="1" applyFont="1"/>
    <xf numFmtId="2" fontId="0" fillId="4" borderId="0" xfId="0" applyNumberFormat="1" applyFill="1"/>
    <xf numFmtId="165" fontId="0" fillId="0" borderId="0" xfId="0" applyNumberFormat="1" applyFont="1"/>
    <xf numFmtId="2" fontId="0" fillId="0" borderId="0" xfId="0" applyNumberFormat="1" applyFont="1"/>
    <xf numFmtId="0" fontId="17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0" xfId="0" applyFont="1" applyAlignment="1">
      <alignment horizontal="center" vertical="top"/>
    </xf>
    <xf numFmtId="172" fontId="0" fillId="0" borderId="0" xfId="0" applyNumberFormat="1"/>
    <xf numFmtId="0" fontId="0" fillId="2" borderId="0" xfId="0" applyFill="1"/>
    <xf numFmtId="0" fontId="0" fillId="4" borderId="0" xfId="0" applyFill="1" applyBorder="1"/>
    <xf numFmtId="0" fontId="0" fillId="4" borderId="5" xfId="0" applyFill="1" applyBorder="1"/>
    <xf numFmtId="0" fontId="5" fillId="4" borderId="0" xfId="0" applyFont="1" applyFill="1" applyBorder="1"/>
    <xf numFmtId="0" fontId="3" fillId="0" borderId="4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4" fillId="0" borderId="0" xfId="0" applyFont="1"/>
    <xf numFmtId="0" fontId="0" fillId="0" borderId="0" xfId="0" applyFill="1" applyBorder="1" applyAlignment="1">
      <alignment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3" fontId="0" fillId="2" borderId="0" xfId="0" applyNumberFormat="1" applyFill="1" applyBorder="1"/>
    <xf numFmtId="0" fontId="18" fillId="0" borderId="0" xfId="0" applyFont="1"/>
    <xf numFmtId="165" fontId="5" fillId="4" borderId="12" xfId="0" applyNumberFormat="1" applyFont="1" applyFill="1" applyBorder="1"/>
    <xf numFmtId="0" fontId="19" fillId="0" borderId="0" xfId="0" applyFont="1"/>
    <xf numFmtId="0" fontId="0" fillId="0" borderId="13" xfId="0" applyBorder="1"/>
    <xf numFmtId="0" fontId="1" fillId="0" borderId="13" xfId="0" applyFont="1" applyBorder="1" applyAlignment="1">
      <alignment horizontal="center" vertical="center"/>
    </xf>
    <xf numFmtId="2" fontId="0" fillId="0" borderId="13" xfId="0" applyNumberFormat="1" applyBorder="1"/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" fontId="0" fillId="0" borderId="13" xfId="0" applyNumberFormat="1" applyBorder="1"/>
    <xf numFmtId="0" fontId="0" fillId="0" borderId="13" xfId="0" applyFill="1" applyBorder="1"/>
    <xf numFmtId="1" fontId="1" fillId="0" borderId="0" xfId="0" applyNumberFormat="1" applyFont="1" applyAlignment="1">
      <alignment horizontal="center" vertical="top"/>
    </xf>
    <xf numFmtId="1" fontId="0" fillId="0" borderId="0" xfId="0" applyNumberFormat="1"/>
    <xf numFmtId="0" fontId="0" fillId="7" borderId="0" xfId="0" applyFill="1"/>
    <xf numFmtId="0" fontId="1" fillId="7" borderId="0" xfId="0" applyFont="1" applyFill="1" applyAlignment="1">
      <alignment horizontal="center"/>
    </xf>
    <xf numFmtId="1" fontId="0" fillId="7" borderId="0" xfId="0" applyNumberFormat="1" applyFill="1"/>
    <xf numFmtId="0" fontId="5" fillId="0" borderId="0" xfId="0" applyFont="1"/>
    <xf numFmtId="0" fontId="15" fillId="0" borderId="13" xfId="0" applyFont="1" applyBorder="1"/>
    <xf numFmtId="174" fontId="0" fillId="0" borderId="0" xfId="0" applyNumberFormat="1"/>
    <xf numFmtId="0" fontId="22" fillId="0" borderId="0" xfId="0" applyFont="1"/>
    <xf numFmtId="175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166" fontId="0" fillId="0" borderId="13" xfId="0" applyNumberFormat="1" applyBorder="1"/>
    <xf numFmtId="164" fontId="0" fillId="0" borderId="13" xfId="0" applyNumberFormat="1" applyBorder="1"/>
    <xf numFmtId="164" fontId="1" fillId="0" borderId="13" xfId="0" applyNumberFormat="1" applyFont="1" applyBorder="1"/>
    <xf numFmtId="164" fontId="0" fillId="0" borderId="0" xfId="0" applyNumberFormat="1"/>
    <xf numFmtId="0" fontId="0" fillId="4" borderId="13" xfId="0" applyFill="1" applyBorder="1"/>
    <xf numFmtId="2" fontId="0" fillId="4" borderId="13" xfId="0" applyNumberFormat="1" applyFill="1" applyBorder="1"/>
    <xf numFmtId="164" fontId="0" fillId="4" borderId="13" xfId="0" applyNumberFormat="1" applyFill="1" applyBorder="1"/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10" fillId="0" borderId="0" xfId="0" applyFont="1"/>
    <xf numFmtId="2" fontId="5" fillId="0" borderId="0" xfId="0" applyNumberFormat="1" applyFont="1" applyAlignment="1">
      <alignment horizontal="center"/>
    </xf>
    <xf numFmtId="0" fontId="25" fillId="0" borderId="0" xfId="0" applyFont="1"/>
    <xf numFmtId="2" fontId="0" fillId="9" borderId="16" xfId="0" applyNumberFormat="1" applyFill="1" applyBorder="1"/>
    <xf numFmtId="2" fontId="5" fillId="0" borderId="0" xfId="1" applyNumberFormat="1" applyFont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11" fontId="0" fillId="4" borderId="0" xfId="0" applyNumberFormat="1" applyFill="1"/>
    <xf numFmtId="0" fontId="28" fillId="0" borderId="1" xfId="0" applyFont="1" applyBorder="1"/>
    <xf numFmtId="0" fontId="29" fillId="0" borderId="0" xfId="0" applyFont="1"/>
    <xf numFmtId="0" fontId="29" fillId="0" borderId="2" xfId="0" applyFont="1" applyBorder="1"/>
    <xf numFmtId="0" fontId="29" fillId="0" borderId="3" xfId="0" applyFont="1" applyBorder="1"/>
    <xf numFmtId="0" fontId="29" fillId="0" borderId="4" xfId="0" applyFont="1" applyBorder="1"/>
    <xf numFmtId="0" fontId="29" fillId="0" borderId="5" xfId="0" applyFont="1" applyBorder="1"/>
    <xf numFmtId="0" fontId="29" fillId="0" borderId="19" xfId="0" applyFont="1" applyBorder="1"/>
    <xf numFmtId="0" fontId="31" fillId="0" borderId="0" xfId="0" applyFont="1" applyAlignment="1">
      <alignment horizontal="center"/>
    </xf>
    <xf numFmtId="0" fontId="29" fillId="10" borderId="19" xfId="0" applyFont="1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9" fillId="11" borderId="16" xfId="0" applyFont="1" applyFill="1" applyBorder="1"/>
    <xf numFmtId="0" fontId="29" fillId="11" borderId="20" xfId="0" applyFont="1" applyFill="1" applyBorder="1"/>
    <xf numFmtId="2" fontId="29" fillId="0" borderId="0" xfId="0" applyNumberFormat="1" applyFont="1" applyAlignment="1">
      <alignment horizontal="center"/>
    </xf>
    <xf numFmtId="0" fontId="33" fillId="0" borderId="0" xfId="0" applyFont="1"/>
    <xf numFmtId="0" fontId="29" fillId="0" borderId="0" xfId="0" applyFont="1" applyAlignment="1">
      <alignment horizontal="center"/>
    </xf>
    <xf numFmtId="0" fontId="28" fillId="0" borderId="13" xfId="0" applyFont="1" applyBorder="1" applyAlignment="1">
      <alignment horizontal="left"/>
    </xf>
    <xf numFmtId="2" fontId="29" fillId="0" borderId="17" xfId="0" applyNumberFormat="1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10" fontId="5" fillId="0" borderId="21" xfId="0" applyNumberFormat="1" applyFont="1" applyBorder="1" applyAlignment="1">
      <alignment horizontal="center"/>
    </xf>
    <xf numFmtId="9" fontId="5" fillId="0" borderId="21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29" fillId="0" borderId="13" xfId="0" applyFont="1" applyBorder="1"/>
    <xf numFmtId="10" fontId="28" fillId="0" borderId="17" xfId="0" applyNumberFormat="1" applyFont="1" applyBorder="1" applyAlignment="1">
      <alignment horizontal="center"/>
    </xf>
    <xf numFmtId="1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1" fontId="29" fillId="0" borderId="15" xfId="0" applyNumberFormat="1" applyFont="1" applyBorder="1" applyAlignment="1">
      <alignment horizontal="center"/>
    </xf>
    <xf numFmtId="1" fontId="29" fillId="0" borderId="2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9" fillId="0" borderId="6" xfId="0" applyFont="1" applyBorder="1"/>
    <xf numFmtId="0" fontId="29" fillId="0" borderId="7" xfId="0" applyFont="1" applyBorder="1"/>
    <xf numFmtId="0" fontId="29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29" fillId="0" borderId="8" xfId="0" applyFont="1" applyBorder="1"/>
    <xf numFmtId="1" fontId="0" fillId="4" borderId="0" xfId="0" applyNumberFormat="1" applyFill="1"/>
    <xf numFmtId="0" fontId="24" fillId="0" borderId="0" xfId="0" applyFont="1"/>
    <xf numFmtId="0" fontId="35" fillId="0" borderId="0" xfId="0" applyFont="1" applyAlignment="1">
      <alignment horizontal="center" vertical="center"/>
    </xf>
    <xf numFmtId="0" fontId="36" fillId="0" borderId="0" xfId="0" applyFont="1"/>
    <xf numFmtId="0" fontId="35" fillId="0" borderId="0" xfId="0" applyFont="1"/>
    <xf numFmtId="2" fontId="24" fillId="0" borderId="0" xfId="0" applyNumberFormat="1" applyFont="1"/>
    <xf numFmtId="11" fontId="24" fillId="0" borderId="0" xfId="0" applyNumberFormat="1" applyFont="1"/>
    <xf numFmtId="169" fontId="24" fillId="0" borderId="0" xfId="0" applyNumberFormat="1" applyFont="1"/>
    <xf numFmtId="1" fontId="24" fillId="0" borderId="0" xfId="0" applyNumberFormat="1" applyFont="1"/>
    <xf numFmtId="1" fontId="24" fillId="12" borderId="0" xfId="0" applyNumberFormat="1" applyFont="1" applyFill="1"/>
    <xf numFmtId="0" fontId="29" fillId="0" borderId="0" xfId="0" applyFont="1" applyBorder="1"/>
    <xf numFmtId="0" fontId="0" fillId="0" borderId="0" xfId="0" applyBorder="1"/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left"/>
    </xf>
    <xf numFmtId="165" fontId="1" fillId="0" borderId="0" xfId="0" applyNumberFormat="1" applyFont="1"/>
    <xf numFmtId="0" fontId="0" fillId="4" borderId="0" xfId="0" applyFont="1" applyFill="1"/>
    <xf numFmtId="164" fontId="0" fillId="4" borderId="0" xfId="0" applyNumberFormat="1" applyFont="1" applyFill="1"/>
    <xf numFmtId="0" fontId="14" fillId="0" borderId="0" xfId="0" applyFont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N-L-eta_ov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'Parte S'!$Y$87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'Parte S'!$X$88:$X$98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'Parte S'!$Y$88:$Y$98</c:f>
              <c:numCache>
                <c:formatCode>General</c:formatCode>
                <c:ptCount val="11"/>
                <c:pt idx="0">
                  <c:v>21.94638786682987</c:v>
                </c:pt>
                <c:pt idx="1">
                  <c:v>17.02363391458336</c:v>
                </c:pt>
                <c:pt idx="2">
                  <c:v>16.554559768784866</c:v>
                </c:pt>
                <c:pt idx="3">
                  <c:v>16.382192242679004</c:v>
                </c:pt>
                <c:pt idx="4">
                  <c:v>16.293101990241205</c:v>
                </c:pt>
                <c:pt idx="5">
                  <c:v>16.238843632746669</c:v>
                </c:pt>
                <c:pt idx="6">
                  <c:v>16.202408916069597</c:v>
                </c:pt>
                <c:pt idx="7">
                  <c:v>16.176296471484918</c:v>
                </c:pt>
                <c:pt idx="8">
                  <c:v>16.156687761674295</c:v>
                </c:pt>
                <c:pt idx="9">
                  <c:v>16.141435910474982</c:v>
                </c:pt>
                <c:pt idx="10">
                  <c:v>16.129242159845376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C-4B5D-82F4-8C63D462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94079"/>
        <c:axId val="873475743"/>
      </c:lineChart>
      <c:lineChart>
        <c:grouping val="standard"/>
        <c:varyColors val="0"/>
        <c:ser>
          <c:idx val="1"/>
          <c:order val="1"/>
          <c:tx>
            <c:strRef>
              <c:f>'Parte S'!$Z$87</c:f>
              <c:strCache>
                <c:ptCount val="1"/>
                <c:pt idx="0">
                  <c:v>eta_ov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'Parte S'!$X$88:$X$98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'Parte S'!$Z$88:$Z$98</c:f>
              <c:numCache>
                <c:formatCode>General</c:formatCode>
                <c:ptCount val="11"/>
                <c:pt idx="0">
                  <c:v>1</c:v>
                </c:pt>
                <c:pt idx="1">
                  <c:v>0.61350846731759257</c:v>
                </c:pt>
                <c:pt idx="2">
                  <c:v>0.51140148471927449</c:v>
                </c:pt>
                <c:pt idx="3">
                  <c:v>0.45983308208460727</c:v>
                </c:pt>
                <c:pt idx="4">
                  <c:v>0.42677746993537025</c:v>
                </c:pt>
                <c:pt idx="5">
                  <c:v>0.40272758697857935</c:v>
                </c:pt>
                <c:pt idx="6">
                  <c:v>0.38380276527188839</c:v>
                </c:pt>
                <c:pt idx="7">
                  <c:v>0.3681013738793848</c:v>
                </c:pt>
                <c:pt idx="8">
                  <c:v>0.35457231094866426</c:v>
                </c:pt>
                <c:pt idx="9">
                  <c:v>0.34258241246870658</c:v>
                </c:pt>
                <c:pt idx="10">
                  <c:v>0.33172471096349254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C-4B5D-82F4-8C63D462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82335"/>
        <c:axId val="679599807"/>
      </c:lineChart>
      <c:catAx>
        <c:axId val="8832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475743"/>
        <c:crosses val="autoZero"/>
        <c:auto val="1"/>
        <c:lblAlgn val="ctr"/>
        <c:lblOffset val="100"/>
        <c:noMultiLvlLbl val="0"/>
      </c:catAx>
      <c:valAx>
        <c:axId val="873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294079"/>
        <c:crosses val="autoZero"/>
        <c:crossBetween val="between"/>
      </c:valAx>
      <c:valAx>
        <c:axId val="679599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182335"/>
        <c:crosses val="max"/>
        <c:crossBetween val="between"/>
      </c:valAx>
      <c:catAx>
        <c:axId val="128418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99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di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53800652931249"/>
          <c:y val="0.17171296296296298"/>
          <c:w val="0.67073981464036636"/>
          <c:h val="0.6149843248760571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'Parte C'!$N$1</c:f>
              <c:strCache>
                <c:ptCount val="1"/>
                <c:pt idx="0">
                  <c:v>Tparete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'Parte C'!$G$2:$G$102</c:f>
              <c:numCache>
                <c:formatCode>General</c:formatCode>
                <c:ptCount val="101"/>
                <c:pt idx="0">
                  <c:v>0</c:v>
                </c:pt>
                <c:pt idx="1">
                  <c:v>9.2636974076237572E-3</c:v>
                </c:pt>
                <c:pt idx="2">
                  <c:v>2.7791092222871273E-2</c:v>
                </c:pt>
                <c:pt idx="3">
                  <c:v>4.6318487038118791E-2</c:v>
                </c:pt>
                <c:pt idx="4">
                  <c:v>6.4845881853366302E-2</c:v>
                </c:pt>
                <c:pt idx="5">
                  <c:v>8.3373276668613813E-2</c:v>
                </c:pt>
                <c:pt idx="6">
                  <c:v>0.10190067148386132</c:v>
                </c:pt>
                <c:pt idx="7">
                  <c:v>0.12042806629910884</c:v>
                </c:pt>
                <c:pt idx="8">
                  <c:v>0.13895546111435636</c:v>
                </c:pt>
                <c:pt idx="9">
                  <c:v>0.15748285592960387</c:v>
                </c:pt>
                <c:pt idx="10">
                  <c:v>0.17601025074485138</c:v>
                </c:pt>
                <c:pt idx="11">
                  <c:v>0.19453764556009889</c:v>
                </c:pt>
                <c:pt idx="12">
                  <c:v>0.2130650403753464</c:v>
                </c:pt>
                <c:pt idx="13">
                  <c:v>0.23159243519059391</c:v>
                </c:pt>
                <c:pt idx="14">
                  <c:v>0.25011983000584143</c:v>
                </c:pt>
                <c:pt idx="15">
                  <c:v>0.26864722482108894</c:v>
                </c:pt>
                <c:pt idx="16">
                  <c:v>0.28717461963633645</c:v>
                </c:pt>
                <c:pt idx="17">
                  <c:v>0.30570201445158396</c:v>
                </c:pt>
                <c:pt idx="18">
                  <c:v>0.32422940926683147</c:v>
                </c:pt>
                <c:pt idx="19">
                  <c:v>0.34275680408207898</c:v>
                </c:pt>
                <c:pt idx="20">
                  <c:v>0.36128419889732649</c:v>
                </c:pt>
                <c:pt idx="21">
                  <c:v>0.379811593712574</c:v>
                </c:pt>
                <c:pt idx="22">
                  <c:v>0.39833898852782151</c:v>
                </c:pt>
                <c:pt idx="23">
                  <c:v>0.41686638334306902</c:v>
                </c:pt>
                <c:pt idx="24">
                  <c:v>0.43539377815831654</c:v>
                </c:pt>
                <c:pt idx="25">
                  <c:v>0.45392117297356405</c:v>
                </c:pt>
                <c:pt idx="26">
                  <c:v>0.47244856778881156</c:v>
                </c:pt>
                <c:pt idx="27">
                  <c:v>0.49097596260405907</c:v>
                </c:pt>
                <c:pt idx="28">
                  <c:v>0.50950335741930664</c:v>
                </c:pt>
                <c:pt idx="29">
                  <c:v>0.5280307522345542</c:v>
                </c:pt>
                <c:pt idx="30">
                  <c:v>0.54655814704980177</c:v>
                </c:pt>
                <c:pt idx="31">
                  <c:v>0.56508554186504933</c:v>
                </c:pt>
                <c:pt idx="32">
                  <c:v>0.5836129366802969</c:v>
                </c:pt>
                <c:pt idx="33">
                  <c:v>0.60214033149554447</c:v>
                </c:pt>
                <c:pt idx="34">
                  <c:v>0.62066772631079203</c:v>
                </c:pt>
                <c:pt idx="35">
                  <c:v>0.6391951211260396</c:v>
                </c:pt>
                <c:pt idx="36">
                  <c:v>0.65772251594128717</c:v>
                </c:pt>
                <c:pt idx="37">
                  <c:v>0.67624991075653473</c:v>
                </c:pt>
                <c:pt idx="38">
                  <c:v>0.6947773055717823</c:v>
                </c:pt>
                <c:pt idx="39">
                  <c:v>0.71330470038702987</c:v>
                </c:pt>
                <c:pt idx="40">
                  <c:v>0.73183209520227743</c:v>
                </c:pt>
                <c:pt idx="41">
                  <c:v>0.750359490017525</c:v>
                </c:pt>
                <c:pt idx="42">
                  <c:v>0.76888688483277257</c:v>
                </c:pt>
                <c:pt idx="43">
                  <c:v>0.78741427964802013</c:v>
                </c:pt>
                <c:pt idx="44">
                  <c:v>0.8059416744632677</c:v>
                </c:pt>
                <c:pt idx="45">
                  <c:v>0.82446906927851527</c:v>
                </c:pt>
                <c:pt idx="46">
                  <c:v>0.84299646409376283</c:v>
                </c:pt>
                <c:pt idx="47">
                  <c:v>0.8615238589090104</c:v>
                </c:pt>
                <c:pt idx="48">
                  <c:v>0.88005125372425796</c:v>
                </c:pt>
                <c:pt idx="49">
                  <c:v>0.89857864853950553</c:v>
                </c:pt>
                <c:pt idx="50">
                  <c:v>0.9171060433547531</c:v>
                </c:pt>
                <c:pt idx="51">
                  <c:v>0.93563343817000066</c:v>
                </c:pt>
                <c:pt idx="52">
                  <c:v>0.95416083298524823</c:v>
                </c:pt>
                <c:pt idx="53">
                  <c:v>0.9726882278004958</c:v>
                </c:pt>
                <c:pt idx="54">
                  <c:v>0.99121562261574336</c:v>
                </c:pt>
                <c:pt idx="55">
                  <c:v>1.0097430174309909</c:v>
                </c:pt>
                <c:pt idx="56">
                  <c:v>1.0282704122462385</c:v>
                </c:pt>
                <c:pt idx="57">
                  <c:v>1.0467978070614861</c:v>
                </c:pt>
                <c:pt idx="58">
                  <c:v>1.0653252018767336</c:v>
                </c:pt>
                <c:pt idx="59">
                  <c:v>1.0838525966919812</c:v>
                </c:pt>
                <c:pt idx="60">
                  <c:v>1.1023799915072288</c:v>
                </c:pt>
                <c:pt idx="61">
                  <c:v>1.1209073863224763</c:v>
                </c:pt>
                <c:pt idx="62">
                  <c:v>1.1394347811377239</c:v>
                </c:pt>
                <c:pt idx="63">
                  <c:v>1.1579621759529715</c:v>
                </c:pt>
                <c:pt idx="64">
                  <c:v>1.176489570768219</c:v>
                </c:pt>
                <c:pt idx="65">
                  <c:v>1.1950169655834666</c:v>
                </c:pt>
                <c:pt idx="66">
                  <c:v>1.2135443603987142</c:v>
                </c:pt>
                <c:pt idx="67">
                  <c:v>1.2320717552139617</c:v>
                </c:pt>
                <c:pt idx="68">
                  <c:v>1.2505991500292093</c:v>
                </c:pt>
                <c:pt idx="69">
                  <c:v>1.2691265448444569</c:v>
                </c:pt>
                <c:pt idx="70">
                  <c:v>1.2876539396597044</c:v>
                </c:pt>
                <c:pt idx="71">
                  <c:v>1.306181334474952</c:v>
                </c:pt>
                <c:pt idx="72">
                  <c:v>1.3247087292901996</c:v>
                </c:pt>
                <c:pt idx="73">
                  <c:v>1.3432361241054471</c:v>
                </c:pt>
                <c:pt idx="74">
                  <c:v>1.3617635189206947</c:v>
                </c:pt>
                <c:pt idx="75">
                  <c:v>1.3802909137359423</c:v>
                </c:pt>
                <c:pt idx="76">
                  <c:v>1.3988183085511898</c:v>
                </c:pt>
                <c:pt idx="77">
                  <c:v>1.4173457033664374</c:v>
                </c:pt>
                <c:pt idx="78">
                  <c:v>1.435873098181685</c:v>
                </c:pt>
                <c:pt idx="79">
                  <c:v>1.4544004929969325</c:v>
                </c:pt>
                <c:pt idx="80">
                  <c:v>1.4729278878121801</c:v>
                </c:pt>
                <c:pt idx="81">
                  <c:v>1.4914552826274277</c:v>
                </c:pt>
                <c:pt idx="82">
                  <c:v>1.5099826774426752</c:v>
                </c:pt>
                <c:pt idx="83">
                  <c:v>1.5285100722579228</c:v>
                </c:pt>
                <c:pt idx="84">
                  <c:v>1.5470374670731704</c:v>
                </c:pt>
                <c:pt idx="85">
                  <c:v>1.5655648618884179</c:v>
                </c:pt>
                <c:pt idx="86">
                  <c:v>1.5840922567036655</c:v>
                </c:pt>
                <c:pt idx="87">
                  <c:v>1.6026196515189131</c:v>
                </c:pt>
                <c:pt idx="88">
                  <c:v>1.6211470463341606</c:v>
                </c:pt>
                <c:pt idx="89">
                  <c:v>1.6396744411494082</c:v>
                </c:pt>
                <c:pt idx="90">
                  <c:v>1.6582018359646558</c:v>
                </c:pt>
                <c:pt idx="91">
                  <c:v>1.6767292307799033</c:v>
                </c:pt>
                <c:pt idx="92">
                  <c:v>1.6952566255951509</c:v>
                </c:pt>
                <c:pt idx="93">
                  <c:v>1.7137840204103985</c:v>
                </c:pt>
                <c:pt idx="94">
                  <c:v>1.732311415225646</c:v>
                </c:pt>
                <c:pt idx="95">
                  <c:v>1.7508388100408936</c:v>
                </c:pt>
                <c:pt idx="96">
                  <c:v>1.7693662048561412</c:v>
                </c:pt>
                <c:pt idx="97">
                  <c:v>1.7878935996713887</c:v>
                </c:pt>
                <c:pt idx="98">
                  <c:v>1.8064209944866363</c:v>
                </c:pt>
                <c:pt idx="99">
                  <c:v>1.8249483893018839</c:v>
                </c:pt>
                <c:pt idx="100">
                  <c:v>1.8434757841171314</c:v>
                </c:pt>
              </c:numCache>
            </c:numRef>
          </c:xVal>
          <c:yVal>
            <c:numRef>
              <c:f>'Parte C'!$N$2:$N$102</c:f>
              <c:numCache>
                <c:formatCode>General</c:formatCode>
                <c:ptCount val="101"/>
                <c:pt idx="0">
                  <c:v>918.48652496298769</c:v>
                </c:pt>
                <c:pt idx="1">
                  <c:v>918.48652496298769</c:v>
                </c:pt>
                <c:pt idx="2">
                  <c:v>918.48652496298769</c:v>
                </c:pt>
                <c:pt idx="3">
                  <c:v>918.48652496298769</c:v>
                </c:pt>
                <c:pt idx="4">
                  <c:v>918.48652496298769</c:v>
                </c:pt>
                <c:pt idx="5">
                  <c:v>918.48652496298769</c:v>
                </c:pt>
                <c:pt idx="6">
                  <c:v>918.48652496298769</c:v>
                </c:pt>
                <c:pt idx="7">
                  <c:v>918.48652496298769</c:v>
                </c:pt>
                <c:pt idx="8">
                  <c:v>918.48652496298769</c:v>
                </c:pt>
                <c:pt idx="9">
                  <c:v>918.48652496298769</c:v>
                </c:pt>
                <c:pt idx="10">
                  <c:v>918.48652496298769</c:v>
                </c:pt>
                <c:pt idx="11">
                  <c:v>918.48652496298769</c:v>
                </c:pt>
                <c:pt idx="12">
                  <c:v>918.48652496298769</c:v>
                </c:pt>
                <c:pt idx="13">
                  <c:v>918.48652496298769</c:v>
                </c:pt>
                <c:pt idx="14">
                  <c:v>918.48652496298769</c:v>
                </c:pt>
                <c:pt idx="15">
                  <c:v>918.48652496298769</c:v>
                </c:pt>
                <c:pt idx="16">
                  <c:v>918.48652496298769</c:v>
                </c:pt>
                <c:pt idx="17">
                  <c:v>918.48652496298769</c:v>
                </c:pt>
                <c:pt idx="18">
                  <c:v>918.48652496298769</c:v>
                </c:pt>
                <c:pt idx="19">
                  <c:v>918.48652496298769</c:v>
                </c:pt>
                <c:pt idx="20">
                  <c:v>918.48652496298769</c:v>
                </c:pt>
                <c:pt idx="21">
                  <c:v>918.48652496298769</c:v>
                </c:pt>
                <c:pt idx="22">
                  <c:v>918.48652496298769</c:v>
                </c:pt>
                <c:pt idx="23">
                  <c:v>918.48652496298769</c:v>
                </c:pt>
                <c:pt idx="24">
                  <c:v>918.48652496298769</c:v>
                </c:pt>
                <c:pt idx="25">
                  <c:v>918.48652496298769</c:v>
                </c:pt>
                <c:pt idx="26">
                  <c:v>918.48652496298769</c:v>
                </c:pt>
                <c:pt idx="27">
                  <c:v>918.48652496298769</c:v>
                </c:pt>
                <c:pt idx="28">
                  <c:v>918.48652496298769</c:v>
                </c:pt>
                <c:pt idx="29">
                  <c:v>918.48652496298769</c:v>
                </c:pt>
                <c:pt idx="30">
                  <c:v>918.48652496298769</c:v>
                </c:pt>
                <c:pt idx="31">
                  <c:v>918.48652496298769</c:v>
                </c:pt>
                <c:pt idx="32">
                  <c:v>918.48652496298769</c:v>
                </c:pt>
                <c:pt idx="33">
                  <c:v>918.48652496298769</c:v>
                </c:pt>
                <c:pt idx="34">
                  <c:v>918.48652496298769</c:v>
                </c:pt>
                <c:pt idx="35">
                  <c:v>918.48652496298769</c:v>
                </c:pt>
                <c:pt idx="36">
                  <c:v>918.48652496298769</c:v>
                </c:pt>
                <c:pt idx="37">
                  <c:v>918.48652496298769</c:v>
                </c:pt>
                <c:pt idx="38">
                  <c:v>918.48652496298769</c:v>
                </c:pt>
                <c:pt idx="39">
                  <c:v>918.48652496298769</c:v>
                </c:pt>
                <c:pt idx="40">
                  <c:v>918.48652496298769</c:v>
                </c:pt>
                <c:pt idx="41">
                  <c:v>918.48652496298769</c:v>
                </c:pt>
                <c:pt idx="42">
                  <c:v>918.48652496298769</c:v>
                </c:pt>
                <c:pt idx="43">
                  <c:v>918.48652496298769</c:v>
                </c:pt>
                <c:pt idx="44">
                  <c:v>918.48652496298769</c:v>
                </c:pt>
                <c:pt idx="45">
                  <c:v>918.48652496298769</c:v>
                </c:pt>
                <c:pt idx="46">
                  <c:v>918.48652496298769</c:v>
                </c:pt>
                <c:pt idx="47">
                  <c:v>918.48652496298769</c:v>
                </c:pt>
                <c:pt idx="48">
                  <c:v>918.48652496298769</c:v>
                </c:pt>
                <c:pt idx="49">
                  <c:v>918.48652496298769</c:v>
                </c:pt>
                <c:pt idx="50">
                  <c:v>918.48652496298769</c:v>
                </c:pt>
                <c:pt idx="51">
                  <c:v>918.48652496298769</c:v>
                </c:pt>
                <c:pt idx="52">
                  <c:v>918.48652496298769</c:v>
                </c:pt>
                <c:pt idx="53">
                  <c:v>918.48652496298769</c:v>
                </c:pt>
                <c:pt idx="54">
                  <c:v>918.48652496298769</c:v>
                </c:pt>
                <c:pt idx="55">
                  <c:v>918.48652496298769</c:v>
                </c:pt>
                <c:pt idx="56">
                  <c:v>918.48652496298769</c:v>
                </c:pt>
                <c:pt idx="57">
                  <c:v>918.48652496298769</c:v>
                </c:pt>
                <c:pt idx="58">
                  <c:v>918.48652496298769</c:v>
                </c:pt>
                <c:pt idx="59">
                  <c:v>918.48652496298769</c:v>
                </c:pt>
                <c:pt idx="60">
                  <c:v>918.48652496298769</c:v>
                </c:pt>
                <c:pt idx="61">
                  <c:v>918.48652496298769</c:v>
                </c:pt>
                <c:pt idx="62">
                  <c:v>918.48652496298769</c:v>
                </c:pt>
                <c:pt idx="63">
                  <c:v>918.48652496298769</c:v>
                </c:pt>
                <c:pt idx="64">
                  <c:v>918.48652496298769</c:v>
                </c:pt>
                <c:pt idx="65">
                  <c:v>918.48652496298769</c:v>
                </c:pt>
                <c:pt idx="66">
                  <c:v>918.48652496298769</c:v>
                </c:pt>
                <c:pt idx="67">
                  <c:v>918.48652496298769</c:v>
                </c:pt>
                <c:pt idx="68">
                  <c:v>918.48652496298769</c:v>
                </c:pt>
                <c:pt idx="69">
                  <c:v>918.48652496298769</c:v>
                </c:pt>
                <c:pt idx="70">
                  <c:v>918.48652496298769</c:v>
                </c:pt>
                <c:pt idx="71">
                  <c:v>918.48652496298769</c:v>
                </c:pt>
                <c:pt idx="72">
                  <c:v>918.48652496298769</c:v>
                </c:pt>
                <c:pt idx="73">
                  <c:v>918.48652496298769</c:v>
                </c:pt>
                <c:pt idx="74">
                  <c:v>918.48652496298769</c:v>
                </c:pt>
                <c:pt idx="75">
                  <c:v>918.48652496298769</c:v>
                </c:pt>
                <c:pt idx="76">
                  <c:v>918.48652496298769</c:v>
                </c:pt>
                <c:pt idx="77">
                  <c:v>918.48652496298769</c:v>
                </c:pt>
                <c:pt idx="78">
                  <c:v>918.48652496298769</c:v>
                </c:pt>
                <c:pt idx="79">
                  <c:v>918.48652496298769</c:v>
                </c:pt>
                <c:pt idx="80">
                  <c:v>918.48652496298769</c:v>
                </c:pt>
                <c:pt idx="81">
                  <c:v>918.48652496298769</c:v>
                </c:pt>
                <c:pt idx="82">
                  <c:v>918.48652496298769</c:v>
                </c:pt>
                <c:pt idx="83">
                  <c:v>918.48652496298769</c:v>
                </c:pt>
                <c:pt idx="84">
                  <c:v>918.48652496298769</c:v>
                </c:pt>
                <c:pt idx="85">
                  <c:v>918.48652496298769</c:v>
                </c:pt>
                <c:pt idx="86">
                  <c:v>918.48652496298769</c:v>
                </c:pt>
                <c:pt idx="87">
                  <c:v>918.48652496298769</c:v>
                </c:pt>
                <c:pt idx="88">
                  <c:v>918.48652496298769</c:v>
                </c:pt>
                <c:pt idx="89">
                  <c:v>918.48652496298769</c:v>
                </c:pt>
                <c:pt idx="90">
                  <c:v>918.48652496298769</c:v>
                </c:pt>
                <c:pt idx="91">
                  <c:v>918.48652496298769</c:v>
                </c:pt>
                <c:pt idx="92">
                  <c:v>918.48652496298769</c:v>
                </c:pt>
                <c:pt idx="93">
                  <c:v>918.48652496298769</c:v>
                </c:pt>
                <c:pt idx="94">
                  <c:v>918.48652496298769</c:v>
                </c:pt>
                <c:pt idx="95">
                  <c:v>918.48652496298769</c:v>
                </c:pt>
                <c:pt idx="96">
                  <c:v>918.48652496298769</c:v>
                </c:pt>
                <c:pt idx="97">
                  <c:v>918.48652496298769</c:v>
                </c:pt>
                <c:pt idx="98">
                  <c:v>918.48652496298769</c:v>
                </c:pt>
                <c:pt idx="99">
                  <c:v>918.48652496298769</c:v>
                </c:pt>
                <c:pt idx="100">
                  <c:v>918.48652496298769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7-438E-BC07-1BF637D1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17680"/>
        <c:axId val="1073734896"/>
      </c:scatterChart>
      <c:scatterChart>
        <c:scatterStyle val="smoothMarker"/>
        <c:varyColors val="0"/>
        <c:ser>
          <c:idx val="0"/>
          <c:order val="0"/>
          <c:tx>
            <c:strRef>
              <c:f>'Parte C'!$M$1</c:f>
              <c:strCache>
                <c:ptCount val="1"/>
                <c:pt idx="0">
                  <c:v>Taria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'Parte C'!$G$2:$G$102</c:f>
              <c:numCache>
                <c:formatCode>General</c:formatCode>
                <c:ptCount val="101"/>
                <c:pt idx="0">
                  <c:v>0</c:v>
                </c:pt>
                <c:pt idx="1">
                  <c:v>9.2636974076237572E-3</c:v>
                </c:pt>
                <c:pt idx="2">
                  <c:v>2.7791092222871273E-2</c:v>
                </c:pt>
                <c:pt idx="3">
                  <c:v>4.6318487038118791E-2</c:v>
                </c:pt>
                <c:pt idx="4">
                  <c:v>6.4845881853366302E-2</c:v>
                </c:pt>
                <c:pt idx="5">
                  <c:v>8.3373276668613813E-2</c:v>
                </c:pt>
                <c:pt idx="6">
                  <c:v>0.10190067148386132</c:v>
                </c:pt>
                <c:pt idx="7">
                  <c:v>0.12042806629910884</c:v>
                </c:pt>
                <c:pt idx="8">
                  <c:v>0.13895546111435636</c:v>
                </c:pt>
                <c:pt idx="9">
                  <c:v>0.15748285592960387</c:v>
                </c:pt>
                <c:pt idx="10">
                  <c:v>0.17601025074485138</c:v>
                </c:pt>
                <c:pt idx="11">
                  <c:v>0.19453764556009889</c:v>
                </c:pt>
                <c:pt idx="12">
                  <c:v>0.2130650403753464</c:v>
                </c:pt>
                <c:pt idx="13">
                  <c:v>0.23159243519059391</c:v>
                </c:pt>
                <c:pt idx="14">
                  <c:v>0.25011983000584143</c:v>
                </c:pt>
                <c:pt idx="15">
                  <c:v>0.26864722482108894</c:v>
                </c:pt>
                <c:pt idx="16">
                  <c:v>0.28717461963633645</c:v>
                </c:pt>
                <c:pt idx="17">
                  <c:v>0.30570201445158396</c:v>
                </c:pt>
                <c:pt idx="18">
                  <c:v>0.32422940926683147</c:v>
                </c:pt>
                <c:pt idx="19">
                  <c:v>0.34275680408207898</c:v>
                </c:pt>
                <c:pt idx="20">
                  <c:v>0.36128419889732649</c:v>
                </c:pt>
                <c:pt idx="21">
                  <c:v>0.379811593712574</c:v>
                </c:pt>
                <c:pt idx="22">
                  <c:v>0.39833898852782151</c:v>
                </c:pt>
                <c:pt idx="23">
                  <c:v>0.41686638334306902</c:v>
                </c:pt>
                <c:pt idx="24">
                  <c:v>0.43539377815831654</c:v>
                </c:pt>
                <c:pt idx="25">
                  <c:v>0.45392117297356405</c:v>
                </c:pt>
                <c:pt idx="26">
                  <c:v>0.47244856778881156</c:v>
                </c:pt>
                <c:pt idx="27">
                  <c:v>0.49097596260405907</c:v>
                </c:pt>
                <c:pt idx="28">
                  <c:v>0.50950335741930664</c:v>
                </c:pt>
                <c:pt idx="29">
                  <c:v>0.5280307522345542</c:v>
                </c:pt>
                <c:pt idx="30">
                  <c:v>0.54655814704980177</c:v>
                </c:pt>
                <c:pt idx="31">
                  <c:v>0.56508554186504933</c:v>
                </c:pt>
                <c:pt idx="32">
                  <c:v>0.5836129366802969</c:v>
                </c:pt>
                <c:pt idx="33">
                  <c:v>0.60214033149554447</c:v>
                </c:pt>
                <c:pt idx="34">
                  <c:v>0.62066772631079203</c:v>
                </c:pt>
                <c:pt idx="35">
                  <c:v>0.6391951211260396</c:v>
                </c:pt>
                <c:pt idx="36">
                  <c:v>0.65772251594128717</c:v>
                </c:pt>
                <c:pt idx="37">
                  <c:v>0.67624991075653473</c:v>
                </c:pt>
                <c:pt idx="38">
                  <c:v>0.6947773055717823</c:v>
                </c:pt>
                <c:pt idx="39">
                  <c:v>0.71330470038702987</c:v>
                </c:pt>
                <c:pt idx="40">
                  <c:v>0.73183209520227743</c:v>
                </c:pt>
                <c:pt idx="41">
                  <c:v>0.750359490017525</c:v>
                </c:pt>
                <c:pt idx="42">
                  <c:v>0.76888688483277257</c:v>
                </c:pt>
                <c:pt idx="43">
                  <c:v>0.78741427964802013</c:v>
                </c:pt>
                <c:pt idx="44">
                  <c:v>0.8059416744632677</c:v>
                </c:pt>
                <c:pt idx="45">
                  <c:v>0.82446906927851527</c:v>
                </c:pt>
                <c:pt idx="46">
                  <c:v>0.84299646409376283</c:v>
                </c:pt>
                <c:pt idx="47">
                  <c:v>0.8615238589090104</c:v>
                </c:pt>
                <c:pt idx="48">
                  <c:v>0.88005125372425796</c:v>
                </c:pt>
                <c:pt idx="49">
                  <c:v>0.89857864853950553</c:v>
                </c:pt>
                <c:pt idx="50">
                  <c:v>0.9171060433547531</c:v>
                </c:pt>
                <c:pt idx="51">
                  <c:v>0.93563343817000066</c:v>
                </c:pt>
                <c:pt idx="52">
                  <c:v>0.95416083298524823</c:v>
                </c:pt>
                <c:pt idx="53">
                  <c:v>0.9726882278004958</c:v>
                </c:pt>
                <c:pt idx="54">
                  <c:v>0.99121562261574336</c:v>
                </c:pt>
                <c:pt idx="55">
                  <c:v>1.0097430174309909</c:v>
                </c:pt>
                <c:pt idx="56">
                  <c:v>1.0282704122462385</c:v>
                </c:pt>
                <c:pt idx="57">
                  <c:v>1.0467978070614861</c:v>
                </c:pt>
                <c:pt idx="58">
                  <c:v>1.0653252018767336</c:v>
                </c:pt>
                <c:pt idx="59">
                  <c:v>1.0838525966919812</c:v>
                </c:pt>
                <c:pt idx="60">
                  <c:v>1.1023799915072288</c:v>
                </c:pt>
                <c:pt idx="61">
                  <c:v>1.1209073863224763</c:v>
                </c:pt>
                <c:pt idx="62">
                  <c:v>1.1394347811377239</c:v>
                </c:pt>
                <c:pt idx="63">
                  <c:v>1.1579621759529715</c:v>
                </c:pt>
                <c:pt idx="64">
                  <c:v>1.176489570768219</c:v>
                </c:pt>
                <c:pt idx="65">
                  <c:v>1.1950169655834666</c:v>
                </c:pt>
                <c:pt idx="66">
                  <c:v>1.2135443603987142</c:v>
                </c:pt>
                <c:pt idx="67">
                  <c:v>1.2320717552139617</c:v>
                </c:pt>
                <c:pt idx="68">
                  <c:v>1.2505991500292093</c:v>
                </c:pt>
                <c:pt idx="69">
                  <c:v>1.2691265448444569</c:v>
                </c:pt>
                <c:pt idx="70">
                  <c:v>1.2876539396597044</c:v>
                </c:pt>
                <c:pt idx="71">
                  <c:v>1.306181334474952</c:v>
                </c:pt>
                <c:pt idx="72">
                  <c:v>1.3247087292901996</c:v>
                </c:pt>
                <c:pt idx="73">
                  <c:v>1.3432361241054471</c:v>
                </c:pt>
                <c:pt idx="74">
                  <c:v>1.3617635189206947</c:v>
                </c:pt>
                <c:pt idx="75">
                  <c:v>1.3802909137359423</c:v>
                </c:pt>
                <c:pt idx="76">
                  <c:v>1.3988183085511898</c:v>
                </c:pt>
                <c:pt idx="77">
                  <c:v>1.4173457033664374</c:v>
                </c:pt>
                <c:pt idx="78">
                  <c:v>1.435873098181685</c:v>
                </c:pt>
                <c:pt idx="79">
                  <c:v>1.4544004929969325</c:v>
                </c:pt>
                <c:pt idx="80">
                  <c:v>1.4729278878121801</c:v>
                </c:pt>
                <c:pt idx="81">
                  <c:v>1.4914552826274277</c:v>
                </c:pt>
                <c:pt idx="82">
                  <c:v>1.5099826774426752</c:v>
                </c:pt>
                <c:pt idx="83">
                  <c:v>1.5285100722579228</c:v>
                </c:pt>
                <c:pt idx="84">
                  <c:v>1.5470374670731704</c:v>
                </c:pt>
                <c:pt idx="85">
                  <c:v>1.5655648618884179</c:v>
                </c:pt>
                <c:pt idx="86">
                  <c:v>1.5840922567036655</c:v>
                </c:pt>
                <c:pt idx="87">
                  <c:v>1.6026196515189131</c:v>
                </c:pt>
                <c:pt idx="88">
                  <c:v>1.6211470463341606</c:v>
                </c:pt>
                <c:pt idx="89">
                  <c:v>1.6396744411494082</c:v>
                </c:pt>
                <c:pt idx="90">
                  <c:v>1.6582018359646558</c:v>
                </c:pt>
                <c:pt idx="91">
                  <c:v>1.6767292307799033</c:v>
                </c:pt>
                <c:pt idx="92">
                  <c:v>1.6952566255951509</c:v>
                </c:pt>
                <c:pt idx="93">
                  <c:v>1.7137840204103985</c:v>
                </c:pt>
                <c:pt idx="94">
                  <c:v>1.732311415225646</c:v>
                </c:pt>
                <c:pt idx="95">
                  <c:v>1.7508388100408936</c:v>
                </c:pt>
                <c:pt idx="96">
                  <c:v>1.7693662048561412</c:v>
                </c:pt>
                <c:pt idx="97">
                  <c:v>1.7878935996713887</c:v>
                </c:pt>
                <c:pt idx="98">
                  <c:v>1.8064209944866363</c:v>
                </c:pt>
                <c:pt idx="99">
                  <c:v>1.8249483893018839</c:v>
                </c:pt>
                <c:pt idx="100">
                  <c:v>1.8434757841171314</c:v>
                </c:pt>
              </c:numCache>
            </c:numRef>
          </c:xVal>
          <c:yVal>
            <c:numRef>
              <c:f>'Parte C'!$M$2:$M$102</c:f>
              <c:numCache>
                <c:formatCode>General</c:formatCode>
                <c:ptCount val="101"/>
                <c:pt idx="0">
                  <c:v>289.86470000000003</c:v>
                </c:pt>
                <c:pt idx="1">
                  <c:v>289.93849653036835</c:v>
                </c:pt>
                <c:pt idx="2">
                  <c:v>290.08608384670742</c:v>
                </c:pt>
                <c:pt idx="3">
                  <c:v>290.23365967301282</c:v>
                </c:pt>
                <c:pt idx="4">
                  <c:v>290.38122400680635</c:v>
                </c:pt>
                <c:pt idx="5">
                  <c:v>290.52877684560735</c:v>
                </c:pt>
                <c:pt idx="6">
                  <c:v>290.67631818693269</c:v>
                </c:pt>
                <c:pt idx="7">
                  <c:v>290.82384802829688</c:v>
                </c:pt>
                <c:pt idx="8">
                  <c:v>290.97136636721183</c:v>
                </c:pt>
                <c:pt idx="9">
                  <c:v>291.11887320118706</c:v>
                </c:pt>
                <c:pt idx="10">
                  <c:v>291.2663685277297</c:v>
                </c:pt>
                <c:pt idx="11">
                  <c:v>291.41385234434438</c:v>
                </c:pt>
                <c:pt idx="12">
                  <c:v>291.56132464853334</c:v>
                </c:pt>
                <c:pt idx="13">
                  <c:v>291.70878543779622</c:v>
                </c:pt>
                <c:pt idx="14">
                  <c:v>291.85623470963037</c:v>
                </c:pt>
                <c:pt idx="15">
                  <c:v>292.00367246153064</c:v>
                </c:pt>
                <c:pt idx="16">
                  <c:v>292.15109869098939</c:v>
                </c:pt>
                <c:pt idx="17">
                  <c:v>292.29851339549657</c:v>
                </c:pt>
                <c:pt idx="18">
                  <c:v>292.44591657253966</c:v>
                </c:pt>
                <c:pt idx="19">
                  <c:v>292.59330821960378</c:v>
                </c:pt>
                <c:pt idx="20">
                  <c:v>292.74068833417141</c:v>
                </c:pt>
                <c:pt idx="21">
                  <c:v>292.88805691372283</c:v>
                </c:pt>
                <c:pt idx="22">
                  <c:v>293.03541395573569</c:v>
                </c:pt>
                <c:pt idx="23">
                  <c:v>293.18275945768522</c:v>
                </c:pt>
                <c:pt idx="24">
                  <c:v>293.33009341704428</c:v>
                </c:pt>
                <c:pt idx="25">
                  <c:v>293.47741583128317</c:v>
                </c:pt>
                <c:pt idx="26">
                  <c:v>293.62472669786985</c:v>
                </c:pt>
                <c:pt idx="27">
                  <c:v>293.77202601426973</c:v>
                </c:pt>
                <c:pt idx="28">
                  <c:v>293.91931377794594</c:v>
                </c:pt>
                <c:pt idx="29">
                  <c:v>294.06658998635902</c:v>
                </c:pt>
                <c:pt idx="30">
                  <c:v>294.21385463696708</c:v>
                </c:pt>
                <c:pt idx="31">
                  <c:v>294.36110772722589</c:v>
                </c:pt>
                <c:pt idx="32">
                  <c:v>294.50834925458855</c:v>
                </c:pt>
                <c:pt idx="33">
                  <c:v>294.655579216506</c:v>
                </c:pt>
                <c:pt idx="34">
                  <c:v>294.80279761042658</c:v>
                </c:pt>
                <c:pt idx="35">
                  <c:v>294.95000443379615</c:v>
                </c:pt>
                <c:pt idx="36">
                  <c:v>295.09719968405818</c:v>
                </c:pt>
                <c:pt idx="37">
                  <c:v>295.24438335865369</c:v>
                </c:pt>
                <c:pt idx="38">
                  <c:v>295.39155545502132</c:v>
                </c:pt>
                <c:pt idx="39">
                  <c:v>295.5387159705972</c:v>
                </c:pt>
                <c:pt idx="40">
                  <c:v>295.68586490281496</c:v>
                </c:pt>
                <c:pt idx="41">
                  <c:v>295.83300224910596</c:v>
                </c:pt>
                <c:pt idx="42">
                  <c:v>295.98012800689895</c:v>
                </c:pt>
                <c:pt idx="43">
                  <c:v>296.12724217362029</c:v>
                </c:pt>
                <c:pt idx="44">
                  <c:v>296.274344746694</c:v>
                </c:pt>
                <c:pt idx="45">
                  <c:v>296.42143572354144</c:v>
                </c:pt>
                <c:pt idx="46">
                  <c:v>296.56851510158174</c:v>
                </c:pt>
                <c:pt idx="47">
                  <c:v>296.71558287823154</c:v>
                </c:pt>
                <c:pt idx="48">
                  <c:v>296.86263905090487</c:v>
                </c:pt>
                <c:pt idx="49">
                  <c:v>297.00968361701359</c:v>
                </c:pt>
                <c:pt idx="50">
                  <c:v>297.15671657396695</c:v>
                </c:pt>
                <c:pt idx="51">
                  <c:v>297.30373791917179</c:v>
                </c:pt>
                <c:pt idx="52">
                  <c:v>297.45074765003255</c:v>
                </c:pt>
                <c:pt idx="53">
                  <c:v>297.5977457639512</c:v>
                </c:pt>
                <c:pt idx="54">
                  <c:v>297.74473225832725</c:v>
                </c:pt>
                <c:pt idx="55">
                  <c:v>297.89170713055779</c:v>
                </c:pt>
                <c:pt idx="56">
                  <c:v>298.03867037803752</c:v>
                </c:pt>
                <c:pt idx="57">
                  <c:v>298.18562199815858</c:v>
                </c:pt>
                <c:pt idx="58">
                  <c:v>298.33256198831083</c:v>
                </c:pt>
                <c:pt idx="59">
                  <c:v>298.47949034588157</c:v>
                </c:pt>
                <c:pt idx="60">
                  <c:v>298.62640706825573</c:v>
                </c:pt>
                <c:pt idx="61">
                  <c:v>298.77331215281578</c:v>
                </c:pt>
                <c:pt idx="62">
                  <c:v>298.92020559694174</c:v>
                </c:pt>
                <c:pt idx="63">
                  <c:v>299.06708739801127</c:v>
                </c:pt>
                <c:pt idx="64">
                  <c:v>299.21395755339944</c:v>
                </c:pt>
                <c:pt idx="65">
                  <c:v>299.36081606047907</c:v>
                </c:pt>
                <c:pt idx="66">
                  <c:v>299.50766291662046</c:v>
                </c:pt>
                <c:pt idx="67">
                  <c:v>299.65449811919143</c:v>
                </c:pt>
                <c:pt idx="68">
                  <c:v>299.80132166555734</c:v>
                </c:pt>
                <c:pt idx="69">
                  <c:v>299.94813355308133</c:v>
                </c:pt>
                <c:pt idx="70">
                  <c:v>300.09493377912389</c:v>
                </c:pt>
                <c:pt idx="71">
                  <c:v>300.24172234104316</c:v>
                </c:pt>
                <c:pt idx="72">
                  <c:v>300.38849923619478</c:v>
                </c:pt>
                <c:pt idx="73">
                  <c:v>300.53526446193212</c:v>
                </c:pt>
                <c:pt idx="74">
                  <c:v>300.68201801560593</c:v>
                </c:pt>
                <c:pt idx="75">
                  <c:v>300.82875989456466</c:v>
                </c:pt>
                <c:pt idx="76">
                  <c:v>300.9754900961542</c:v>
                </c:pt>
                <c:pt idx="77">
                  <c:v>301.12220861771812</c:v>
                </c:pt>
                <c:pt idx="78">
                  <c:v>301.2689154565976</c:v>
                </c:pt>
                <c:pt idx="79">
                  <c:v>301.41561061013124</c:v>
                </c:pt>
                <c:pt idx="80">
                  <c:v>301.56229407565536</c:v>
                </c:pt>
                <c:pt idx="81">
                  <c:v>301.70896585050366</c:v>
                </c:pt>
                <c:pt idx="82">
                  <c:v>301.85562593200763</c:v>
                </c:pt>
                <c:pt idx="83">
                  <c:v>302.00227431749619</c:v>
                </c:pt>
                <c:pt idx="84">
                  <c:v>302.14891100429588</c:v>
                </c:pt>
                <c:pt idx="85">
                  <c:v>302.29553598973081</c:v>
                </c:pt>
                <c:pt idx="86">
                  <c:v>302.44214927112262</c:v>
                </c:pt>
                <c:pt idx="87">
                  <c:v>302.58875084579063</c:v>
                </c:pt>
                <c:pt idx="88">
                  <c:v>302.73534071105166</c:v>
                </c:pt>
                <c:pt idx="89">
                  <c:v>302.88191886422004</c:v>
                </c:pt>
                <c:pt idx="90">
                  <c:v>303.02848530260775</c:v>
                </c:pt>
                <c:pt idx="91">
                  <c:v>303.17504002352433</c:v>
                </c:pt>
                <c:pt idx="92">
                  <c:v>303.32158302427695</c:v>
                </c:pt>
                <c:pt idx="93">
                  <c:v>303.46811430217019</c:v>
                </c:pt>
                <c:pt idx="94">
                  <c:v>303.61463385450645</c:v>
                </c:pt>
                <c:pt idx="95">
                  <c:v>303.76114167858543</c:v>
                </c:pt>
                <c:pt idx="96">
                  <c:v>303.90763777170469</c:v>
                </c:pt>
                <c:pt idx="97">
                  <c:v>304.05412213115915</c:v>
                </c:pt>
                <c:pt idx="98">
                  <c:v>304.20059475424148</c:v>
                </c:pt>
                <c:pt idx="99">
                  <c:v>304.34705563824167</c:v>
                </c:pt>
                <c:pt idx="100">
                  <c:v>304.49350478044755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7-438E-BC07-1BF637D1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33696"/>
        <c:axId val="1673287536"/>
      </c:scatterChart>
      <c:valAx>
        <c:axId val="12501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Distanza</a:t>
                </a:r>
                <a:r>
                  <a:rPr lang="it-IT" baseline="0"/>
                  <a:t> dall'ingresso  [m]</a:t>
                </a:r>
              </a:p>
            </c:rich>
          </c:tx>
          <c:layout>
            <c:manualLayout>
              <c:xMode val="edge"/>
              <c:yMode val="edge"/>
              <c:x val="0.31501807514854979"/>
              <c:y val="0.8766022148639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734896"/>
        <c:crosses val="autoZero"/>
        <c:crossBetween val="midCat"/>
        <c:majorUnit val="0.1"/>
      </c:valAx>
      <c:valAx>
        <c:axId val="107373489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</a:t>
                </a:r>
                <a:r>
                  <a:rPr lang="it-IT" baseline="0"/>
                  <a:t> parete [K]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4.0626607507347652E-2"/>
              <c:y val="0.24492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0117680"/>
        <c:crosses val="autoZero"/>
        <c:crossBetween val="midCat"/>
        <c:majorUnit val="100"/>
      </c:valAx>
      <c:valAx>
        <c:axId val="1673287536"/>
        <c:scaling>
          <c:orientation val="minMax"/>
          <c:max val="35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</a:t>
                </a:r>
                <a:r>
                  <a:rPr lang="it-IT" baseline="0"/>
                  <a:t> dell'aria [K]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91998411470257846"/>
              <c:y val="0.2304666083406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133696"/>
        <c:crosses val="max"/>
        <c:crossBetween val="midCat"/>
      </c:valAx>
      <c:valAx>
        <c:axId val="14291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203144900810619"/>
          <c:y val="0.88403335094877311"/>
          <c:w val="0.29735539623752733"/>
          <c:h val="6.672050448987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80699</xdr:colOff>
      <xdr:row>33</xdr:row>
      <xdr:rowOff>179294</xdr:rowOff>
    </xdr:from>
    <xdr:to>
      <xdr:col>40</xdr:col>
      <xdr:colOff>81351</xdr:colOff>
      <xdr:row>50</xdr:row>
      <xdr:rowOff>100691</xdr:rowOff>
    </xdr:to>
    <xdr:pic>
      <xdr:nvPicPr>
        <xdr:cNvPr id="3" name="Immagine 4" descr="tabella densità aria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4793" r="2160"/>
        <a:stretch/>
      </xdr:blipFill>
      <xdr:spPr>
        <a:xfrm>
          <a:off x="35060981" y="6261847"/>
          <a:ext cx="6577047" cy="3324996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561974</xdr:colOff>
      <xdr:row>73</xdr:row>
      <xdr:rowOff>285750</xdr:rowOff>
    </xdr:from>
    <xdr:to>
      <xdr:col>11</xdr:col>
      <xdr:colOff>91325</xdr:colOff>
      <xdr:row>96</xdr:row>
      <xdr:rowOff>11429</xdr:rowOff>
    </xdr:to>
    <xdr:pic>
      <xdr:nvPicPr>
        <xdr:cNvPr id="7" name="Immagin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4" y="13696950"/>
          <a:ext cx="4124325" cy="4114800"/>
        </a:xfrm>
        <a:prstGeom prst="rect">
          <a:avLst/>
        </a:prstGeom>
      </xdr:spPr>
    </xdr:pic>
    <xdr:clientData/>
  </xdr:twoCellAnchor>
  <xdr:twoCellAnchor editAs="oneCell">
    <xdr:from>
      <xdr:col>6</xdr:col>
      <xdr:colOff>457199</xdr:colOff>
      <xdr:row>371</xdr:row>
      <xdr:rowOff>35859</xdr:rowOff>
    </xdr:from>
    <xdr:to>
      <xdr:col>10</xdr:col>
      <xdr:colOff>1518970</xdr:colOff>
      <xdr:row>388</xdr:row>
      <xdr:rowOff>122354</xdr:rowOff>
    </xdr:to>
    <xdr:pic>
      <xdr:nvPicPr>
        <xdr:cNvPr id="4" name="Immagine 4" descr="tabella densità aria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4793" r="2160"/>
        <a:stretch/>
      </xdr:blipFill>
      <xdr:spPr>
        <a:xfrm>
          <a:off x="6992470" y="71856600"/>
          <a:ext cx="6577047" cy="3324996"/>
        </a:xfrm>
        <a:prstGeom prst="rect">
          <a:avLst/>
        </a:prstGeom>
      </xdr:spPr>
    </xdr:pic>
    <xdr:clientData/>
  </xdr:twoCellAnchor>
  <xdr:twoCellAnchor>
    <xdr:from>
      <xdr:col>16</xdr:col>
      <xdr:colOff>1359958</xdr:colOff>
      <xdr:row>84</xdr:row>
      <xdr:rowOff>35983</xdr:rowOff>
    </xdr:from>
    <xdr:to>
      <xdr:col>22</xdr:col>
      <xdr:colOff>343958</xdr:colOff>
      <xdr:row>99</xdr:row>
      <xdr:rowOff>80433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519683</xdr:colOff>
      <xdr:row>70</xdr:row>
      <xdr:rowOff>47625</xdr:rowOff>
    </xdr:from>
    <xdr:to>
      <xdr:col>31</xdr:col>
      <xdr:colOff>598129</xdr:colOff>
      <xdr:row>73</xdr:row>
      <xdr:rowOff>37843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733" y="11157585"/>
          <a:ext cx="4022047" cy="5298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26</xdr:col>
      <xdr:colOff>504825</xdr:colOff>
      <xdr:row>73</xdr:row>
      <xdr:rowOff>85650</xdr:rowOff>
    </xdr:from>
    <xdr:to>
      <xdr:col>31</xdr:col>
      <xdr:colOff>418540</xdr:colOff>
      <xdr:row>82</xdr:row>
      <xdr:rowOff>82978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1721390"/>
          <a:ext cx="3862027" cy="16163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26</xdr:col>
      <xdr:colOff>482600</xdr:colOff>
      <xdr:row>77</xdr:row>
      <xdr:rowOff>52536</xdr:rowOff>
    </xdr:from>
    <xdr:to>
      <xdr:col>32</xdr:col>
      <xdr:colOff>454025</xdr:colOff>
      <xdr:row>77</xdr:row>
      <xdr:rowOff>155575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645650" y="12396936"/>
          <a:ext cx="3949065" cy="103039"/>
        </a:xfrm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14348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28694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43042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57390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571738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086084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600432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114780" algn="l" defTabSz="1028694" rtl="0" eaLnBrk="1" latinLnBrk="0" hangingPunct="1">
            <a:defRPr sz="20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it-IT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434340</xdr:colOff>
          <xdr:row>84</xdr:row>
          <xdr:rowOff>38100</xdr:rowOff>
        </xdr:from>
        <xdr:to>
          <xdr:col>30</xdr:col>
          <xdr:colOff>327660</xdr:colOff>
          <xdr:row>92</xdr:row>
          <xdr:rowOff>129540</xdr:rowOff>
        </xdr:to>
        <xdr:sp macro="" textlink="">
          <xdr:nvSpPr>
            <xdr:cNvPr id="2049" name="Object 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D16349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C5D1D7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15679</xdr:colOff>
      <xdr:row>114</xdr:row>
      <xdr:rowOff>125433</xdr:rowOff>
    </xdr:from>
    <xdr:to>
      <xdr:col>7</xdr:col>
      <xdr:colOff>371122</xdr:colOff>
      <xdr:row>119</xdr:row>
      <xdr:rowOff>137192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642" y="21981976"/>
          <a:ext cx="26289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408232</xdr:colOff>
      <xdr:row>2</xdr:row>
      <xdr:rowOff>87675</xdr:rowOff>
    </xdr:from>
    <xdr:to>
      <xdr:col>22</xdr:col>
      <xdr:colOff>175512</xdr:colOff>
      <xdr:row>19</xdr:row>
      <xdr:rowOff>89453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4"/>
  <sheetViews>
    <sheetView topLeftCell="A323" zoomScale="57" zoomScaleNormal="60" workbookViewId="0">
      <selection activeCell="C465" sqref="C465"/>
    </sheetView>
  </sheetViews>
  <sheetFormatPr defaultColWidth="8.77734375" defaultRowHeight="14.4"/>
  <cols>
    <col min="1" max="1" width="32.77734375" customWidth="1"/>
    <col min="2" max="2" width="17.109375" bestFit="1" customWidth="1"/>
    <col min="3" max="3" width="22.33203125" bestFit="1" customWidth="1"/>
    <col min="4" max="4" width="21.77734375" bestFit="1" customWidth="1"/>
    <col min="5" max="5" width="24.77734375" customWidth="1"/>
    <col min="6" max="6" width="62.44140625" bestFit="1" customWidth="1"/>
    <col min="7" max="7" width="21.44140625" bestFit="1" customWidth="1"/>
    <col min="8" max="8" width="22.33203125" bestFit="1" customWidth="1"/>
    <col min="9" max="10" width="12.77734375" bestFit="1" customWidth="1"/>
    <col min="11" max="11" width="50.6640625" customWidth="1"/>
    <col min="12" max="12" width="36.77734375" bestFit="1" customWidth="1"/>
    <col min="13" max="13" width="14.109375" bestFit="1" customWidth="1"/>
    <col min="14" max="14" width="20" bestFit="1" customWidth="1"/>
    <col min="15" max="15" width="12.33203125" bestFit="1" customWidth="1"/>
    <col min="16" max="16" width="30.6640625" customWidth="1"/>
    <col min="17" max="17" width="30" customWidth="1"/>
    <col min="18" max="18" width="12.44140625" bestFit="1" customWidth="1"/>
    <col min="19" max="19" width="9.33203125" bestFit="1" customWidth="1"/>
    <col min="20" max="20" width="8.77734375" bestFit="1" customWidth="1"/>
    <col min="21" max="21" width="9.33203125" bestFit="1" customWidth="1"/>
    <col min="22" max="22" width="9.77734375" bestFit="1" customWidth="1"/>
    <col min="23" max="23" width="32.77734375" bestFit="1" customWidth="1"/>
    <col min="24" max="24" width="8.77734375" bestFit="1" customWidth="1"/>
    <col min="25" max="25" width="10.77734375" bestFit="1" customWidth="1"/>
    <col min="26" max="26" width="8.77734375" bestFit="1" customWidth="1"/>
    <col min="28" max="28" width="22" bestFit="1" customWidth="1"/>
    <col min="29" max="29" width="11.77734375" bestFit="1" customWidth="1"/>
    <col min="30" max="31" width="10.6640625" customWidth="1"/>
    <col min="32" max="34" width="9" bestFit="1" customWidth="1"/>
    <col min="35" max="35" width="9.77734375" bestFit="1" customWidth="1"/>
    <col min="36" max="38" width="10.6640625" customWidth="1"/>
    <col min="41" max="41" width="9" bestFit="1" customWidth="1"/>
    <col min="42" max="43" width="10.77734375" bestFit="1" customWidth="1"/>
    <col min="44" max="44" width="12" bestFit="1" customWidth="1"/>
    <col min="47" max="47" width="18.77734375" bestFit="1" customWidth="1"/>
    <col min="48" max="49" width="8.77734375" bestFit="1" customWidth="1"/>
    <col min="50" max="50" width="13" bestFit="1" customWidth="1"/>
    <col min="51" max="51" width="12.77734375" bestFit="1" customWidth="1"/>
    <col min="52" max="52" width="11.77734375" bestFit="1" customWidth="1"/>
    <col min="53" max="53" width="13" bestFit="1" customWidth="1"/>
    <col min="54" max="54" width="12.44140625" bestFit="1" customWidth="1"/>
    <col min="55" max="55" width="12.109375" bestFit="1" customWidth="1"/>
    <col min="56" max="56" width="17.6640625" bestFit="1" customWidth="1"/>
  </cols>
  <sheetData>
    <row r="1" spans="1:16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16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</row>
    <row r="3" spans="1:16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</row>
    <row r="4" spans="1:16" ht="15" thickBot="1"/>
    <row r="5" spans="1:16">
      <c r="A5" s="232" t="s">
        <v>1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</row>
    <row r="6" spans="1:16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</row>
    <row r="7" spans="1:16" ht="15.3" customHeight="1">
      <c r="A7" s="10" t="s">
        <v>2</v>
      </c>
      <c r="B7" s="11"/>
      <c r="C7" s="11"/>
      <c r="D7" s="11"/>
      <c r="E7" s="11"/>
      <c r="F7" s="11"/>
      <c r="G7" s="239" t="s">
        <v>3</v>
      </c>
      <c r="H7" s="239"/>
      <c r="I7" s="239"/>
      <c r="J7" s="11"/>
      <c r="K7" s="11"/>
      <c r="L7" s="11"/>
      <c r="M7" s="12"/>
    </row>
    <row r="8" spans="1:16">
      <c r="A8" s="13"/>
      <c r="B8" s="11"/>
      <c r="C8" s="11"/>
      <c r="D8" s="11"/>
      <c r="E8" s="11"/>
      <c r="F8" s="11"/>
      <c r="G8" s="239"/>
      <c r="H8" s="239"/>
      <c r="I8" s="239"/>
      <c r="J8" s="11"/>
      <c r="K8" s="11"/>
      <c r="L8" s="11"/>
      <c r="M8" s="12"/>
    </row>
    <row r="9" spans="1:16">
      <c r="A9" s="14" t="s">
        <v>4</v>
      </c>
      <c r="B9" s="15" t="s">
        <v>5</v>
      </c>
      <c r="C9" s="16">
        <f>30000</f>
        <v>30000</v>
      </c>
      <c r="D9" s="11" t="s">
        <v>6</v>
      </c>
      <c r="E9" s="11">
        <f>4.184*C9/3600</f>
        <v>34.866666666666667</v>
      </c>
      <c r="F9" s="11" t="s">
        <v>7</v>
      </c>
      <c r="G9" s="11">
        <f>E9*1.05</f>
        <v>36.61</v>
      </c>
      <c r="H9" s="11" t="s">
        <v>7</v>
      </c>
      <c r="I9" s="11"/>
      <c r="J9" s="11"/>
      <c r="K9" s="11"/>
      <c r="L9" s="11"/>
      <c r="M9" s="12"/>
    </row>
    <row r="10" spans="1:16">
      <c r="A10" s="14" t="s">
        <v>8</v>
      </c>
      <c r="B10" s="15" t="s">
        <v>9</v>
      </c>
      <c r="C10" s="16">
        <v>50020</v>
      </c>
      <c r="D10" s="11" t="s">
        <v>10</v>
      </c>
      <c r="E10" s="11"/>
      <c r="F10" s="11"/>
      <c r="G10" s="11"/>
      <c r="H10" s="11"/>
      <c r="I10" s="11"/>
      <c r="J10" s="11"/>
      <c r="K10" s="11"/>
      <c r="L10" s="11"/>
      <c r="M10" s="12"/>
    </row>
    <row r="11" spans="1:16">
      <c r="A11" s="14" t="s">
        <v>11</v>
      </c>
      <c r="B11" s="15" t="s">
        <v>12</v>
      </c>
      <c r="C11" s="16">
        <v>18</v>
      </c>
      <c r="D11" s="11" t="s">
        <v>13</v>
      </c>
      <c r="E11" s="11">
        <f>C11+273.15</f>
        <v>291.14999999999998</v>
      </c>
      <c r="F11" s="11" t="s">
        <v>14</v>
      </c>
      <c r="G11" s="11"/>
      <c r="H11" s="11">
        <f>101325/(287*(E11))</f>
        <v>1.2126009977255878</v>
      </c>
      <c r="I11" s="11"/>
      <c r="J11" s="11"/>
      <c r="K11" s="11"/>
      <c r="L11" s="11"/>
      <c r="M11" s="12"/>
    </row>
    <row r="12" spans="1:16">
      <c r="A12" s="14" t="s">
        <v>15</v>
      </c>
      <c r="B12" s="15" t="s">
        <v>16</v>
      </c>
      <c r="C12" s="16">
        <v>-8</v>
      </c>
      <c r="D12" s="11" t="s">
        <v>13</v>
      </c>
      <c r="E12" s="11">
        <f>C12+273.15</f>
        <v>265.14999999999998</v>
      </c>
      <c r="F12" s="11" t="s">
        <v>14</v>
      </c>
      <c r="G12" s="11"/>
      <c r="H12" s="11">
        <f>101325/(287*(E12))</f>
        <v>1.3315058664446726</v>
      </c>
      <c r="I12" s="11"/>
      <c r="J12" s="11"/>
      <c r="K12" s="11"/>
      <c r="L12" s="11"/>
      <c r="M12" s="12"/>
    </row>
    <row r="13" spans="1:16">
      <c r="A13" s="14" t="s">
        <v>17</v>
      </c>
      <c r="B13" s="15" t="s">
        <v>18</v>
      </c>
      <c r="C13" s="16">
        <v>32</v>
      </c>
      <c r="D13" s="11" t="s">
        <v>13</v>
      </c>
      <c r="E13" s="11">
        <f>C13+273.15</f>
        <v>305.14999999999998</v>
      </c>
      <c r="F13" s="11" t="s">
        <v>14</v>
      </c>
      <c r="G13" s="11"/>
      <c r="H13" s="11"/>
      <c r="I13" s="11"/>
      <c r="J13" s="11"/>
      <c r="K13" s="11"/>
      <c r="L13" s="11"/>
      <c r="M13" s="12"/>
    </row>
    <row r="14" spans="1:16">
      <c r="A14" s="14" t="s">
        <v>19</v>
      </c>
      <c r="B14" s="15" t="s">
        <v>20</v>
      </c>
      <c r="C14" s="16">
        <v>0.87</v>
      </c>
      <c r="D14" s="11"/>
      <c r="E14" s="11"/>
      <c r="F14" s="11"/>
      <c r="G14" s="11" t="s">
        <v>21</v>
      </c>
      <c r="H14" s="11">
        <f>(1.0031+1.0038)/2</f>
        <v>1.00345</v>
      </c>
      <c r="I14" s="11"/>
      <c r="J14" s="11"/>
      <c r="K14" s="11"/>
      <c r="L14" s="11"/>
      <c r="M14" s="12"/>
    </row>
    <row r="15" spans="1:16">
      <c r="A15" s="14" t="s">
        <v>22</v>
      </c>
      <c r="B15" s="15" t="s">
        <v>23</v>
      </c>
      <c r="C15" s="16">
        <v>0.5</v>
      </c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 spans="1:16">
      <c r="A16" s="14"/>
      <c r="B16" s="15"/>
      <c r="C16" s="16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57" ht="28.8">
      <c r="A17" s="14" t="s">
        <v>24</v>
      </c>
      <c r="B17" s="15" t="s">
        <v>25</v>
      </c>
      <c r="C17" s="17">
        <f>(2*79/21*28 + 2*32)/16</f>
        <v>17.166666666666664</v>
      </c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57">
      <c r="A18" s="14" t="s">
        <v>26</v>
      </c>
      <c r="B18" s="15" t="s">
        <v>27</v>
      </c>
      <c r="C18" s="16">
        <f>(1+C15)*C17</f>
        <v>25.749999999999996</v>
      </c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1:57">
      <c r="A19" s="14"/>
      <c r="B19" s="15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57">
      <c r="A20" s="10" t="s">
        <v>28</v>
      </c>
      <c r="B20" s="15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57">
      <c r="A21" s="10"/>
      <c r="B21" s="15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57">
      <c r="A22" s="14" t="s">
        <v>29</v>
      </c>
      <c r="B22" s="15" t="s">
        <v>30</v>
      </c>
      <c r="C22" s="16">
        <v>1005</v>
      </c>
      <c r="D22" s="11" t="s">
        <v>31</v>
      </c>
      <c r="E22" s="11"/>
      <c r="F22" s="11"/>
      <c r="G22" s="11"/>
      <c r="H22" s="11"/>
      <c r="I22" s="11"/>
      <c r="J22" s="11"/>
      <c r="K22" s="11"/>
      <c r="L22" s="11"/>
      <c r="M22" s="12"/>
    </row>
    <row r="23" spans="1:57">
      <c r="A23" s="14" t="s">
        <v>32</v>
      </c>
      <c r="B23" s="15" t="s">
        <v>33</v>
      </c>
      <c r="C23" s="16">
        <v>2080</v>
      </c>
      <c r="D23" s="11" t="s">
        <v>31</v>
      </c>
      <c r="E23" s="11"/>
      <c r="F23" s="11"/>
      <c r="G23" s="11"/>
      <c r="H23" s="11"/>
      <c r="I23" s="11"/>
      <c r="J23" s="11"/>
      <c r="K23" s="11"/>
      <c r="L23" s="11"/>
      <c r="M23" s="12"/>
    </row>
    <row r="24" spans="1:57">
      <c r="A24" s="14" t="s">
        <v>34</v>
      </c>
      <c r="B24" s="15" t="s">
        <v>35</v>
      </c>
      <c r="C24" s="16">
        <f>(2*(1+C15)+2*(1+C15)*79/21)/(2*(1+C15)+2*(1+C15)*79/21+1)</f>
        <v>0.93457943925233644</v>
      </c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57">
      <c r="A25" s="14" t="s">
        <v>36</v>
      </c>
      <c r="B25" s="15" t="s">
        <v>37</v>
      </c>
      <c r="C25" s="16">
        <f>1-C24</f>
        <v>6.5420560747663559E-2</v>
      </c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57">
      <c r="A26" s="14"/>
      <c r="B26" s="15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57">
      <c r="A27" s="14" t="s">
        <v>38</v>
      </c>
      <c r="B27" s="15" t="s">
        <v>39</v>
      </c>
      <c r="C27" s="16">
        <f>C22*C24+C23*C25</f>
        <v>1075.3271028037384</v>
      </c>
      <c r="D27" s="11" t="s">
        <v>31</v>
      </c>
      <c r="E27" s="11"/>
      <c r="F27" s="11"/>
      <c r="G27" s="11"/>
      <c r="H27" s="11"/>
      <c r="I27" s="11"/>
      <c r="J27" s="11"/>
      <c r="K27" s="11"/>
      <c r="L27" s="11"/>
      <c r="M27" s="12"/>
    </row>
    <row r="28" spans="1:57">
      <c r="A28" s="14"/>
      <c r="B28" s="15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57">
      <c r="A29" s="10" t="s">
        <v>40</v>
      </c>
      <c r="B29" s="15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57" ht="15" thickBot="1">
      <c r="A30" s="14"/>
      <c r="B30" s="15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57" ht="15.3" customHeight="1">
      <c r="A31" s="14" t="s">
        <v>41</v>
      </c>
      <c r="B31" s="15" t="s">
        <v>42</v>
      </c>
      <c r="C31" s="16">
        <f>G9*10^3/(C10*10^3*C14)</f>
        <v>8.4127268632776774E-4</v>
      </c>
      <c r="D31" s="11" t="s">
        <v>43</v>
      </c>
      <c r="E31" s="11"/>
      <c r="F31" s="11"/>
      <c r="G31" s="11"/>
      <c r="H31" s="11"/>
      <c r="I31" s="11"/>
      <c r="J31" s="11"/>
      <c r="K31" s="11"/>
      <c r="L31" s="11"/>
      <c r="M31" s="12"/>
      <c r="N31" s="233" t="s">
        <v>44</v>
      </c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9"/>
    </row>
    <row r="32" spans="1:57" ht="15.3" customHeight="1">
      <c r="A32" s="14" t="s">
        <v>45</v>
      </c>
      <c r="B32" s="15" t="s">
        <v>46</v>
      </c>
      <c r="C32" s="16">
        <f>(1+C15)*C17*C31</f>
        <v>2.1662771672940017E-2</v>
      </c>
      <c r="D32" s="11" t="s">
        <v>43</v>
      </c>
      <c r="E32" s="11"/>
      <c r="F32" s="11"/>
      <c r="G32" s="11"/>
      <c r="H32" s="11"/>
      <c r="I32" s="11"/>
      <c r="J32" s="11"/>
      <c r="K32" s="11"/>
      <c r="L32" s="11"/>
      <c r="M32" s="12"/>
      <c r="N32" s="235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2"/>
    </row>
    <row r="33" spans="1:57" ht="15" customHeight="1">
      <c r="A33" s="14" t="s">
        <v>47</v>
      </c>
      <c r="B33" s="15" t="s">
        <v>48</v>
      </c>
      <c r="C33" s="16">
        <f>C32+C31</f>
        <v>2.2504044359267783E-2</v>
      </c>
      <c r="D33" s="11" t="s">
        <v>43</v>
      </c>
      <c r="E33" s="11"/>
      <c r="F33" s="11"/>
      <c r="G33" s="11"/>
      <c r="H33" s="11"/>
      <c r="I33" s="11"/>
      <c r="J33" s="11"/>
      <c r="K33" s="11"/>
      <c r="L33" s="11"/>
      <c r="M33" s="12"/>
      <c r="N33" s="235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2"/>
    </row>
    <row r="34" spans="1:57">
      <c r="A34" s="14" t="s">
        <v>49</v>
      </c>
      <c r="B34" s="15" t="s">
        <v>50</v>
      </c>
      <c r="C34" s="18">
        <f>0.6 * 550 * 1.224 / 3600</f>
        <v>0.11220000000000001</v>
      </c>
      <c r="D34" s="11"/>
      <c r="E34" s="19" t="s">
        <v>51</v>
      </c>
      <c r="F34" s="11"/>
      <c r="G34" s="11"/>
      <c r="H34" s="11"/>
      <c r="I34" s="11"/>
      <c r="J34" s="11"/>
      <c r="K34" s="11"/>
      <c r="L34" s="11"/>
      <c r="M34" s="12"/>
      <c r="N34" s="1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2"/>
    </row>
    <row r="35" spans="1:57">
      <c r="A35" s="14" t="s">
        <v>52</v>
      </c>
      <c r="B35" s="15" t="s">
        <v>53</v>
      </c>
      <c r="C35" s="18">
        <f>C34-C32</f>
        <v>9.0537228327059988E-2</v>
      </c>
      <c r="D35" s="11" t="s">
        <v>43</v>
      </c>
      <c r="E35" s="11"/>
      <c r="F35" s="11"/>
      <c r="G35" s="11"/>
      <c r="H35" s="11"/>
      <c r="I35" s="11"/>
      <c r="J35" s="11"/>
      <c r="K35" s="11"/>
      <c r="L35" s="11"/>
      <c r="M35" s="12"/>
      <c r="N35" s="13"/>
      <c r="O35" s="11"/>
      <c r="P35" s="11"/>
      <c r="Q35" s="11" t="s">
        <v>54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85" t="s">
        <v>55</v>
      </c>
      <c r="AU35" s="85"/>
      <c r="AV35" s="85"/>
      <c r="AW35" s="85"/>
      <c r="AX35" s="85"/>
      <c r="AY35" s="85"/>
      <c r="AZ35" s="11"/>
      <c r="BA35" s="11"/>
      <c r="BB35" s="11"/>
      <c r="BC35" s="11"/>
      <c r="BD35" s="11"/>
      <c r="BE35" s="12"/>
    </row>
    <row r="36" spans="1:57">
      <c r="A36" s="14" t="s">
        <v>56</v>
      </c>
      <c r="B36" s="15" t="s">
        <v>57</v>
      </c>
      <c r="C36" s="18">
        <v>2.1575095948827161</v>
      </c>
      <c r="D36" s="11"/>
      <c r="E36" s="238" t="s">
        <v>58</v>
      </c>
      <c r="F36" s="238"/>
      <c r="G36" s="238"/>
      <c r="H36" s="11"/>
      <c r="I36" s="11"/>
      <c r="J36" s="11"/>
      <c r="K36" s="11"/>
      <c r="L36" s="11"/>
      <c r="M36" s="12"/>
      <c r="N36" s="13"/>
      <c r="O36" s="11"/>
      <c r="P36" s="11"/>
      <c r="Q36" s="11" t="s">
        <v>59</v>
      </c>
      <c r="R36" s="11"/>
      <c r="S36" s="11"/>
      <c r="T36" s="11"/>
      <c r="U36" s="11"/>
      <c r="V36" s="11" t="s">
        <v>60</v>
      </c>
      <c r="W36" s="11"/>
      <c r="X36" s="11"/>
      <c r="Y36" s="11" t="s">
        <v>61</v>
      </c>
      <c r="Z36" s="11"/>
      <c r="AA36" s="11"/>
      <c r="AB36" s="11"/>
      <c r="AC36" s="11" t="s">
        <v>62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85" t="s">
        <v>59</v>
      </c>
      <c r="AU36" s="85"/>
      <c r="AV36" s="85"/>
      <c r="AW36" s="85"/>
      <c r="AX36" s="85"/>
      <c r="AY36" s="85"/>
      <c r="AZ36" s="11" t="s">
        <v>63</v>
      </c>
      <c r="BA36" s="11"/>
      <c r="BB36" s="11"/>
      <c r="BC36" s="11"/>
      <c r="BD36" s="11"/>
      <c r="BE36" s="12"/>
    </row>
    <row r="37" spans="1:57">
      <c r="A37" s="14" t="s">
        <v>64</v>
      </c>
      <c r="B37" s="15" t="s">
        <v>65</v>
      </c>
      <c r="C37" s="18">
        <f>C36+C34</f>
        <v>2.2697095948827162</v>
      </c>
      <c r="D37" s="11" t="s">
        <v>43</v>
      </c>
      <c r="E37" s="11"/>
      <c r="F37" s="11"/>
      <c r="G37" s="11"/>
      <c r="H37" s="11"/>
      <c r="I37" s="11"/>
      <c r="J37" s="11"/>
      <c r="K37" s="11"/>
      <c r="L37" s="11"/>
      <c r="M37" s="12"/>
      <c r="N37" s="13"/>
      <c r="O37" s="11"/>
      <c r="P37" s="11"/>
      <c r="Q37" s="11" t="s">
        <v>66</v>
      </c>
      <c r="R37" s="11" t="s">
        <v>67</v>
      </c>
      <c r="S37" s="11">
        <f>C66</f>
        <v>2030.0688249608897</v>
      </c>
      <c r="T37" s="11" t="s">
        <v>14</v>
      </c>
      <c r="U37" s="11"/>
      <c r="V37" s="11" t="s">
        <v>68</v>
      </c>
      <c r="W37" s="11"/>
      <c r="X37" s="11"/>
      <c r="Y37" s="11">
        <f>(S39+S40)/2</f>
        <v>297.50736272019617</v>
      </c>
      <c r="Z37" s="11" t="s">
        <v>14</v>
      </c>
      <c r="AA37" s="11"/>
      <c r="AB37" s="11"/>
      <c r="AC37" s="11">
        <f>(S37+S38)/2</f>
        <v>1309.6595974770926</v>
      </c>
      <c r="AD37" s="11" t="s">
        <v>14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85" t="s">
        <v>69</v>
      </c>
      <c r="AU37" s="85"/>
      <c r="AV37" s="85"/>
      <c r="AW37" s="85" t="s">
        <v>70</v>
      </c>
      <c r="AX37" s="85">
        <f>AC37</f>
        <v>1309.6595974770926</v>
      </c>
      <c r="AY37" s="85" t="s">
        <v>14</v>
      </c>
      <c r="AZ37" s="11" t="s">
        <v>71</v>
      </c>
      <c r="BA37" s="11"/>
      <c r="BB37" s="11"/>
      <c r="BC37" s="11" t="s">
        <v>72</v>
      </c>
      <c r="BD37" s="11">
        <v>1070.3987320054566</v>
      </c>
      <c r="BE37" s="12" t="s">
        <v>14</v>
      </c>
    </row>
    <row r="38" spans="1:57">
      <c r="A38" s="14" t="s">
        <v>73</v>
      </c>
      <c r="B38" s="15" t="s">
        <v>74</v>
      </c>
      <c r="C38" s="18">
        <f>(E11*C36+E12*C34)/C37</f>
        <v>289.86472544039236</v>
      </c>
      <c r="D38" s="11" t="s">
        <v>14</v>
      </c>
      <c r="E38" s="11"/>
      <c r="F38" s="11"/>
      <c r="G38" s="11"/>
      <c r="H38" s="11"/>
      <c r="I38" s="11"/>
      <c r="J38" s="11"/>
      <c r="K38" s="11"/>
      <c r="L38" s="11"/>
      <c r="M38" s="12"/>
      <c r="N38" s="13"/>
      <c r="O38" s="11"/>
      <c r="P38" s="11"/>
      <c r="Q38" s="11" t="s">
        <v>75</v>
      </c>
      <c r="R38" s="11" t="s">
        <v>76</v>
      </c>
      <c r="S38" s="11">
        <f>C68</f>
        <v>589.25036999329518</v>
      </c>
      <c r="T38" s="11" t="s">
        <v>14</v>
      </c>
      <c r="U38" s="11"/>
      <c r="V38" s="11" t="s">
        <v>77</v>
      </c>
      <c r="W38" s="11"/>
      <c r="X38" s="11"/>
      <c r="Y38" s="11">
        <f>_xlfn.CEILING.MATH(Y37,1)</f>
        <v>298</v>
      </c>
      <c r="Z38" s="11" t="s">
        <v>14</v>
      </c>
      <c r="AA38" s="11"/>
      <c r="AB38" s="11"/>
      <c r="AC38" s="11">
        <f>_xlfn.CEILING.MATH(AC37,1)</f>
        <v>1310</v>
      </c>
      <c r="AD38" s="11" t="s">
        <v>14</v>
      </c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85" t="s">
        <v>78</v>
      </c>
      <c r="AU38" s="85"/>
      <c r="AV38" s="85"/>
      <c r="AW38" s="85" t="s">
        <v>79</v>
      </c>
      <c r="AX38" s="85">
        <f>Y37</f>
        <v>297.50736272019617</v>
      </c>
      <c r="AY38" s="85" t="s">
        <v>14</v>
      </c>
      <c r="AZ38" s="11" t="s">
        <v>80</v>
      </c>
      <c r="BA38" s="11"/>
      <c r="BB38" s="11"/>
      <c r="BC38" s="86" t="s">
        <v>81</v>
      </c>
      <c r="BD38" s="86">
        <v>1.2330067845096067</v>
      </c>
      <c r="BE38" s="87" t="s">
        <v>82</v>
      </c>
    </row>
    <row r="39" spans="1:57" ht="15.3" customHeight="1">
      <c r="A39" s="14"/>
      <c r="B39" s="15" t="s">
        <v>5</v>
      </c>
      <c r="C39" s="20">
        <f>C37*C22*(E13-C38)</f>
        <v>34866.599999999882</v>
      </c>
      <c r="D39" s="237" t="str">
        <f>IF(TRUNC(C39,0)=TRUNC(E9*10^3,0), "Conv. OK", "RIFAI conv.")</f>
        <v>Conv. OK</v>
      </c>
      <c r="E39" s="238" t="s">
        <v>83</v>
      </c>
      <c r="F39" s="238"/>
      <c r="G39" s="238"/>
      <c r="H39" s="21">
        <f>E9*10^3</f>
        <v>34866.666666666664</v>
      </c>
      <c r="I39" s="11"/>
      <c r="J39" s="11"/>
      <c r="K39" s="11"/>
      <c r="L39" s="11"/>
      <c r="M39" s="12"/>
      <c r="N39" s="13"/>
      <c r="O39" s="11"/>
      <c r="P39" s="11"/>
      <c r="Q39" s="11" t="s">
        <v>84</v>
      </c>
      <c r="R39" s="11" t="s">
        <v>74</v>
      </c>
      <c r="S39" s="11">
        <f>C46</f>
        <v>289.86472544039236</v>
      </c>
      <c r="T39" s="11" t="s">
        <v>14</v>
      </c>
      <c r="U39" s="11"/>
      <c r="V39" s="11" t="s">
        <v>85</v>
      </c>
      <c r="W39" s="11"/>
      <c r="X39" s="11" t="s">
        <v>86</v>
      </c>
      <c r="Y39" s="11">
        <f>AK57</f>
        <v>1.1864000000000001</v>
      </c>
      <c r="Z39" s="11" t="s">
        <v>87</v>
      </c>
      <c r="AA39" s="11"/>
      <c r="AB39" s="11" t="s">
        <v>88</v>
      </c>
      <c r="AC39" s="11">
        <f>AR57</f>
        <v>0.27089999999999997</v>
      </c>
      <c r="AD39" s="11" t="s">
        <v>87</v>
      </c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85" t="s">
        <v>89</v>
      </c>
      <c r="AU39" s="85"/>
      <c r="AV39" s="85"/>
      <c r="AW39" s="85" t="s">
        <v>90</v>
      </c>
      <c r="AX39" s="85">
        <f>AC55</f>
        <v>4.4647955795512368</v>
      </c>
      <c r="AY39" s="85" t="s">
        <v>91</v>
      </c>
      <c r="AZ39" s="11"/>
      <c r="BA39" s="11"/>
      <c r="BB39" s="11"/>
      <c r="BC39" s="11"/>
      <c r="BD39" s="11"/>
      <c r="BE39" s="12"/>
    </row>
    <row r="40" spans="1:57">
      <c r="A40" s="14"/>
      <c r="B40" s="15"/>
      <c r="C40" s="18"/>
      <c r="D40" s="237"/>
      <c r="E40" s="11"/>
      <c r="F40" s="11"/>
      <c r="G40" s="11"/>
      <c r="H40" s="11"/>
      <c r="I40" s="11"/>
      <c r="J40" s="11"/>
      <c r="K40" s="11"/>
      <c r="L40" s="11"/>
      <c r="M40" s="12"/>
      <c r="N40" s="13"/>
      <c r="O40" s="11"/>
      <c r="P40" s="11"/>
      <c r="Q40" s="11" t="s">
        <v>92</v>
      </c>
      <c r="R40" s="11" t="s">
        <v>18</v>
      </c>
      <c r="S40" s="11">
        <f>E47</f>
        <v>305.14999999999998</v>
      </c>
      <c r="T40" s="11" t="s">
        <v>14</v>
      </c>
      <c r="U40" s="11"/>
      <c r="V40" s="11" t="s">
        <v>93</v>
      </c>
      <c r="W40" s="11"/>
      <c r="X40" s="11" t="s">
        <v>94</v>
      </c>
      <c r="Y40" s="11">
        <f>AK58</f>
        <v>1.8400000000000003E-5</v>
      </c>
      <c r="Z40" s="11" t="s">
        <v>95</v>
      </c>
      <c r="AA40" s="11"/>
      <c r="AB40" s="11" t="s">
        <v>96</v>
      </c>
      <c r="AC40" s="11">
        <f>AR58</f>
        <v>4.8920000000000006E-5</v>
      </c>
      <c r="AD40" s="11" t="s">
        <v>95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85" t="s">
        <v>97</v>
      </c>
      <c r="AU40" s="85"/>
      <c r="AV40" s="85"/>
      <c r="AW40" s="85" t="s">
        <v>98</v>
      </c>
      <c r="AX40" s="85">
        <f>Y55</f>
        <v>11.647211135619099</v>
      </c>
      <c r="AY40" s="11" t="s">
        <v>91</v>
      </c>
      <c r="AZ40" s="11" t="s">
        <v>99</v>
      </c>
      <c r="BA40" s="11"/>
      <c r="BB40" s="11"/>
      <c r="BC40" s="11"/>
      <c r="BD40" s="11"/>
      <c r="BE40" s="12"/>
    </row>
    <row r="41" spans="1:57">
      <c r="A41" s="10" t="s">
        <v>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3"/>
      <c r="O41" s="11"/>
      <c r="P41" s="11"/>
      <c r="Q41" s="11" t="s">
        <v>100</v>
      </c>
      <c r="R41" s="11" t="s">
        <v>65</v>
      </c>
      <c r="S41" s="11">
        <f>C37</f>
        <v>2.2697095948827162</v>
      </c>
      <c r="T41" s="11" t="s">
        <v>43</v>
      </c>
      <c r="U41" s="11"/>
      <c r="V41" s="11" t="s">
        <v>101</v>
      </c>
      <c r="W41" s="11"/>
      <c r="X41" s="11" t="s">
        <v>102</v>
      </c>
      <c r="Y41" s="11">
        <f>AK59</f>
        <v>1005</v>
      </c>
      <c r="Z41" s="11" t="s">
        <v>103</v>
      </c>
      <c r="AA41" s="11"/>
      <c r="AB41" s="11" t="s">
        <v>104</v>
      </c>
      <c r="AC41" s="11">
        <f>AR59</f>
        <v>1189.3</v>
      </c>
      <c r="AD41" s="11" t="s">
        <v>103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85" t="s">
        <v>105</v>
      </c>
      <c r="AU41" s="85"/>
      <c r="AV41" s="85"/>
      <c r="AW41" s="85" t="s">
        <v>106</v>
      </c>
      <c r="AX41" s="85">
        <f>S44</f>
        <v>49.8</v>
      </c>
      <c r="AY41" s="85" t="s">
        <v>107</v>
      </c>
      <c r="AZ41" s="11" t="s">
        <v>108</v>
      </c>
      <c r="BA41" s="11"/>
      <c r="BB41" s="11"/>
      <c r="BC41" s="11" t="s">
        <v>109</v>
      </c>
      <c r="BD41" s="11">
        <f>BD37-AX46*LN(AX43/AX42)/(2*PI()*AX41*BD38)</f>
        <v>1066.6770390731403</v>
      </c>
      <c r="BE41" s="12" t="s">
        <v>14</v>
      </c>
    </row>
    <row r="42" spans="1:57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3"/>
      <c r="O42" s="11"/>
      <c r="P42" s="11"/>
      <c r="Q42" s="11" t="s">
        <v>110</v>
      </c>
      <c r="R42" s="11" t="s">
        <v>48</v>
      </c>
      <c r="S42" s="11">
        <f>C33</f>
        <v>2.2504044359267783E-2</v>
      </c>
      <c r="T42" s="11" t="s">
        <v>43</v>
      </c>
      <c r="U42" s="11"/>
      <c r="V42" s="11" t="s">
        <v>111</v>
      </c>
      <c r="W42" s="11"/>
      <c r="X42" s="11" t="s">
        <v>112</v>
      </c>
      <c r="Y42" s="11">
        <f>AK60</f>
        <v>2.5940000000000001E-2</v>
      </c>
      <c r="Z42" s="11" t="s">
        <v>107</v>
      </c>
      <c r="AA42" s="11"/>
      <c r="AB42" s="11" t="s">
        <v>113</v>
      </c>
      <c r="AC42" s="11">
        <f>AR60</f>
        <v>8.0079999999999998E-2</v>
      </c>
      <c r="AD42" s="11" t="s">
        <v>107</v>
      </c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85" t="s">
        <v>114</v>
      </c>
      <c r="AU42" s="85"/>
      <c r="AV42" s="85"/>
      <c r="AW42" s="11" t="s">
        <v>115</v>
      </c>
      <c r="AX42" s="11">
        <f>S47</f>
        <v>0.2</v>
      </c>
      <c r="AY42" s="11" t="s">
        <v>82</v>
      </c>
      <c r="AZ42" s="11" t="s">
        <v>116</v>
      </c>
      <c r="BA42" s="11"/>
      <c r="BB42" s="11"/>
      <c r="BC42" s="11" t="s">
        <v>117</v>
      </c>
      <c r="BD42" s="11">
        <f>AX47*AX48*(AX37+BD37)*(AX37^2+BD37^2)</f>
        <v>193.04240024214562</v>
      </c>
      <c r="BE42" s="12" t="s">
        <v>91</v>
      </c>
    </row>
    <row r="43" spans="1:57">
      <c r="A43" s="14" t="s">
        <v>4</v>
      </c>
      <c r="B43" s="15" t="s">
        <v>5</v>
      </c>
      <c r="C43" s="16">
        <f>30000</f>
        <v>30000</v>
      </c>
      <c r="D43" s="11" t="s">
        <v>6</v>
      </c>
      <c r="E43" s="11">
        <f>4.184*C43/3600</f>
        <v>34.866666666666667</v>
      </c>
      <c r="F43" s="11" t="s">
        <v>118</v>
      </c>
      <c r="G43" s="11"/>
      <c r="H43" s="11"/>
      <c r="I43" s="11"/>
      <c r="J43" s="11"/>
      <c r="K43" s="11"/>
      <c r="L43" s="11"/>
      <c r="M43" s="12"/>
      <c r="N43" s="13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85" t="s">
        <v>119</v>
      </c>
      <c r="AU43" s="85"/>
      <c r="AV43" s="85"/>
      <c r="AW43" s="11" t="s">
        <v>120</v>
      </c>
      <c r="AX43" s="11">
        <f>S48</f>
        <v>0.20799999999999999</v>
      </c>
      <c r="AY43" s="11" t="s">
        <v>82</v>
      </c>
      <c r="AZ43" s="11" t="s">
        <v>121</v>
      </c>
      <c r="BA43" s="11"/>
      <c r="BB43" s="11"/>
      <c r="BC43" s="11" t="s">
        <v>122</v>
      </c>
      <c r="BD43" s="11">
        <f>AX47*AX48*(BD41+AX38)*(BD41^2+AX38^2)</f>
        <v>47.427103557389252</v>
      </c>
      <c r="BE43" s="12" t="s">
        <v>91</v>
      </c>
    </row>
    <row r="44" spans="1:57">
      <c r="A44" s="14" t="s">
        <v>8</v>
      </c>
      <c r="B44" s="15" t="s">
        <v>9</v>
      </c>
      <c r="C44" s="16">
        <v>50020</v>
      </c>
      <c r="D44" s="11" t="s">
        <v>10</v>
      </c>
      <c r="E44" s="11"/>
      <c r="F44" s="11"/>
      <c r="G44" s="11"/>
      <c r="H44" s="11"/>
      <c r="I44" s="11"/>
      <c r="J44" s="11"/>
      <c r="K44" s="11"/>
      <c r="L44" s="11"/>
      <c r="M44" s="12"/>
      <c r="N44" s="13"/>
      <c r="O44" s="11"/>
      <c r="P44" s="11"/>
      <c r="Q44" s="11" t="s">
        <v>123</v>
      </c>
      <c r="R44" s="11" t="s">
        <v>124</v>
      </c>
      <c r="S44" s="11">
        <f>49.8</f>
        <v>49.8</v>
      </c>
      <c r="T44" s="11" t="s">
        <v>107</v>
      </c>
      <c r="U44" s="11" t="s">
        <v>125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85" t="s">
        <v>126</v>
      </c>
      <c r="AU44" s="85"/>
      <c r="AV44" s="85"/>
      <c r="AW44" s="85" t="s">
        <v>127</v>
      </c>
      <c r="AX44" s="85">
        <f>PI()*AX42</f>
        <v>0.62831853071795862</v>
      </c>
      <c r="AY44" s="85" t="s">
        <v>82</v>
      </c>
      <c r="AZ44" s="11"/>
      <c r="BA44" s="11"/>
      <c r="BB44" s="11"/>
      <c r="BC44" s="11"/>
      <c r="BD44" s="11"/>
      <c r="BE44" s="12"/>
    </row>
    <row r="45" spans="1:57">
      <c r="A45" s="14" t="s">
        <v>11</v>
      </c>
      <c r="B45" s="15" t="s">
        <v>12</v>
      </c>
      <c r="C45" s="16">
        <v>18</v>
      </c>
      <c r="D45" s="11" t="s">
        <v>13</v>
      </c>
      <c r="E45" s="11">
        <f>C45+273.15</f>
        <v>291.14999999999998</v>
      </c>
      <c r="F45" s="11" t="s">
        <v>14</v>
      </c>
      <c r="G45" s="11"/>
      <c r="H45" s="11"/>
      <c r="I45" s="11"/>
      <c r="J45" s="11"/>
      <c r="K45" s="11"/>
      <c r="L45" s="11"/>
      <c r="M45" s="12"/>
      <c r="N45" s="13"/>
      <c r="O45" s="11"/>
      <c r="P45" s="11"/>
      <c r="Q45" s="11" t="s">
        <v>128</v>
      </c>
      <c r="R45" s="11" t="s">
        <v>129</v>
      </c>
      <c r="S45" s="28">
        <f>C100</f>
        <v>2.7001060146631315</v>
      </c>
      <c r="T45" s="11" t="s">
        <v>130</v>
      </c>
      <c r="U45" s="11"/>
      <c r="V45" s="11" t="s">
        <v>131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85" t="s">
        <v>132</v>
      </c>
      <c r="AU45" s="85"/>
      <c r="AV45" s="85"/>
      <c r="AW45" s="85" t="s">
        <v>133</v>
      </c>
      <c r="AX45" s="85">
        <f>PI()*AX43</f>
        <v>0.65345127194667696</v>
      </c>
      <c r="AY45" s="85" t="s">
        <v>82</v>
      </c>
      <c r="AZ45" s="11"/>
      <c r="BA45" s="11"/>
      <c r="BB45" s="11"/>
      <c r="BC45" s="11"/>
      <c r="BD45" s="11"/>
      <c r="BE45" s="12"/>
    </row>
    <row r="46" spans="1:57">
      <c r="A46" s="14" t="s">
        <v>84</v>
      </c>
      <c r="B46" s="15" t="s">
        <v>74</v>
      </c>
      <c r="C46" s="16">
        <f>C38</f>
        <v>289.86472544039236</v>
      </c>
      <c r="D46" s="11" t="s">
        <v>14</v>
      </c>
      <c r="E46" s="11"/>
      <c r="F46" s="11"/>
      <c r="G46" s="11"/>
      <c r="H46" s="11"/>
      <c r="I46" s="11"/>
      <c r="J46" s="11"/>
      <c r="K46" s="11"/>
      <c r="L46" s="11"/>
      <c r="M46" s="12"/>
      <c r="N46" s="13"/>
      <c r="O46" s="11"/>
      <c r="P46" s="11"/>
      <c r="Q46" s="11" t="s">
        <v>134</v>
      </c>
      <c r="R46" s="11" t="s">
        <v>135</v>
      </c>
      <c r="S46" s="28">
        <f>C99</f>
        <v>14.466455161003086</v>
      </c>
      <c r="T46" s="11" t="s">
        <v>130</v>
      </c>
      <c r="U46" s="11"/>
      <c r="V46" s="11"/>
      <c r="W46" s="11" t="s">
        <v>136</v>
      </c>
      <c r="X46" s="11"/>
      <c r="Y46" s="11"/>
      <c r="Z46" s="11" t="s">
        <v>137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85" t="s">
        <v>138</v>
      </c>
      <c r="AU46" s="85"/>
      <c r="AV46" s="85"/>
      <c r="AW46" s="85" t="s">
        <v>139</v>
      </c>
      <c r="AX46" s="85">
        <f>S56</f>
        <v>36610</v>
      </c>
      <c r="AY46" s="85" t="s">
        <v>140</v>
      </c>
      <c r="AZ46" s="11" t="s">
        <v>1080</v>
      </c>
      <c r="BA46" s="11"/>
      <c r="BB46" s="11"/>
      <c r="BC46" s="11"/>
      <c r="BD46" s="11"/>
      <c r="BE46" s="12"/>
    </row>
    <row r="47" spans="1:57">
      <c r="A47" s="14" t="s">
        <v>92</v>
      </c>
      <c r="B47" s="15" t="s">
        <v>18</v>
      </c>
      <c r="C47" s="16">
        <v>32</v>
      </c>
      <c r="D47" s="11" t="s">
        <v>13</v>
      </c>
      <c r="E47" s="11">
        <f>273.15+C47</f>
        <v>305.14999999999998</v>
      </c>
      <c r="F47" s="11" t="s">
        <v>14</v>
      </c>
      <c r="G47" s="11"/>
      <c r="H47" s="11"/>
      <c r="I47" s="11"/>
      <c r="J47" s="11"/>
      <c r="K47" s="11"/>
      <c r="L47" s="11"/>
      <c r="M47" s="12"/>
      <c r="N47" s="13"/>
      <c r="O47" s="11"/>
      <c r="P47" s="11"/>
      <c r="Q47" s="11" t="s">
        <v>114</v>
      </c>
      <c r="R47" s="11" t="s">
        <v>115</v>
      </c>
      <c r="S47" s="11">
        <f>C84</f>
        <v>0.2</v>
      </c>
      <c r="T47" s="11" t="s">
        <v>82</v>
      </c>
      <c r="U47" s="11"/>
      <c r="V47" s="11" t="s">
        <v>141</v>
      </c>
      <c r="W47" s="11">
        <f>C76</f>
        <v>803.39856162369176</v>
      </c>
      <c r="X47" s="11" t="s">
        <v>14</v>
      </c>
      <c r="Y47" s="11"/>
      <c r="Z47" s="11">
        <f>F76</f>
        <v>814.03091841902403</v>
      </c>
      <c r="AA47" s="11" t="s">
        <v>14</v>
      </c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 t="s">
        <v>142</v>
      </c>
      <c r="AU47" s="11"/>
      <c r="AV47" s="11"/>
      <c r="AW47" s="11" t="s">
        <v>143</v>
      </c>
      <c r="AX47" s="11">
        <v>0.5</v>
      </c>
      <c r="AY47" s="11"/>
      <c r="AZ47" s="11" t="s">
        <v>1087</v>
      </c>
      <c r="BA47" s="11"/>
      <c r="BB47" s="11"/>
      <c r="BC47" s="11" t="s">
        <v>1081</v>
      </c>
      <c r="BD47" s="11">
        <f>AC41*S42</f>
        <v>26.764059956477173</v>
      </c>
      <c r="BE47" s="12" t="s">
        <v>1086</v>
      </c>
    </row>
    <row r="48" spans="1:57">
      <c r="A48" s="14" t="s">
        <v>22</v>
      </c>
      <c r="B48" s="15" t="s">
        <v>23</v>
      </c>
      <c r="C48" s="16">
        <f>C15</f>
        <v>0.5</v>
      </c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3"/>
      <c r="O48" s="11"/>
      <c r="P48" s="11"/>
      <c r="Q48" s="11" t="s">
        <v>119</v>
      </c>
      <c r="R48" s="11" t="s">
        <v>120</v>
      </c>
      <c r="S48" s="11">
        <f>C92/1000</f>
        <v>0.20799999999999999</v>
      </c>
      <c r="T48" s="11" t="s">
        <v>82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 t="s">
        <v>144</v>
      </c>
      <c r="AU48" s="11"/>
      <c r="AV48" s="11"/>
      <c r="AW48" s="11" t="s">
        <v>145</v>
      </c>
      <c r="AX48" s="11">
        <f>5.67*10^-8</f>
        <v>5.6699999999999998E-8</v>
      </c>
      <c r="AY48" s="11" t="s">
        <v>146</v>
      </c>
      <c r="AZ48" s="11" t="s">
        <v>1088</v>
      </c>
      <c r="BA48" s="11"/>
      <c r="BB48" s="11"/>
      <c r="BC48" s="11" t="s">
        <v>1082</v>
      </c>
      <c r="BD48" s="11">
        <f>Y41*S41</f>
        <v>2281.05814285713</v>
      </c>
      <c r="BE48" s="12" t="s">
        <v>1086</v>
      </c>
    </row>
    <row r="49" spans="1:57">
      <c r="A49" s="14" t="s">
        <v>147</v>
      </c>
      <c r="B49" s="15" t="s">
        <v>42</v>
      </c>
      <c r="C49" s="16">
        <f>C31</f>
        <v>8.4127268632776774E-4</v>
      </c>
      <c r="D49" s="11" t="s">
        <v>43</v>
      </c>
      <c r="E49" s="11"/>
      <c r="F49" s="11"/>
      <c r="G49" s="11"/>
      <c r="H49" s="11"/>
      <c r="I49" s="11"/>
      <c r="J49" s="11"/>
      <c r="K49" s="11"/>
      <c r="L49" s="11"/>
      <c r="M49" s="12"/>
      <c r="N49" s="13"/>
      <c r="O49" s="11"/>
      <c r="P49" s="11"/>
      <c r="Q49" s="11" t="s">
        <v>148</v>
      </c>
      <c r="R49" s="11" t="s">
        <v>149</v>
      </c>
      <c r="S49" s="11">
        <f>C94/1000</f>
        <v>0.46</v>
      </c>
      <c r="T49" s="11" t="s">
        <v>82</v>
      </c>
      <c r="U49" s="11"/>
      <c r="V49" s="11" t="s">
        <v>150</v>
      </c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 t="s">
        <v>1089</v>
      </c>
      <c r="BA49" s="11"/>
      <c r="BB49" s="11"/>
      <c r="BC49" s="11" t="s">
        <v>1083</v>
      </c>
      <c r="BD49" s="11">
        <f>S39</f>
        <v>289.86472544039236</v>
      </c>
      <c r="BE49" s="12" t="s">
        <v>14</v>
      </c>
    </row>
    <row r="50" spans="1:57">
      <c r="A50" s="14" t="s">
        <v>151</v>
      </c>
      <c r="B50" s="15" t="s">
        <v>152</v>
      </c>
      <c r="C50" s="16">
        <f>C52*C49</f>
        <v>2.1662771672940017E-2</v>
      </c>
      <c r="D50" s="11" t="s">
        <v>43</v>
      </c>
      <c r="E50" s="11"/>
      <c r="F50" s="11"/>
      <c r="G50" s="11"/>
      <c r="H50" s="11"/>
      <c r="I50" s="11"/>
      <c r="J50" s="11"/>
      <c r="K50" s="11"/>
      <c r="L50" s="11"/>
      <c r="M50" s="12"/>
      <c r="N50" s="13"/>
      <c r="O50" s="11"/>
      <c r="P50" s="11"/>
      <c r="Q50" s="11" t="s">
        <v>153</v>
      </c>
      <c r="R50" s="11" t="s">
        <v>154</v>
      </c>
      <c r="S50" s="11">
        <f>C85</f>
        <v>3.1415926535897934E-2</v>
      </c>
      <c r="T50" s="11" t="s">
        <v>155</v>
      </c>
      <c r="U50" s="11"/>
      <c r="V50" s="11"/>
      <c r="W50" s="11"/>
      <c r="X50" s="11" t="s">
        <v>156</v>
      </c>
      <c r="Y50" s="11"/>
      <c r="Z50" s="11"/>
      <c r="AA50" s="11"/>
      <c r="AB50" s="11" t="s">
        <v>62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 t="s">
        <v>157</v>
      </c>
      <c r="AU50" s="85"/>
      <c r="AV50" s="85"/>
      <c r="AW50" s="85"/>
      <c r="AX50" s="85"/>
      <c r="AY50" s="11"/>
      <c r="AZ50" s="11" t="s">
        <v>1090</v>
      </c>
      <c r="BA50" s="11"/>
      <c r="BB50" s="11"/>
      <c r="BC50" s="11" t="s">
        <v>1084</v>
      </c>
      <c r="BD50" s="11">
        <f>S37</f>
        <v>2030.0688249608897</v>
      </c>
      <c r="BE50" s="12" t="s">
        <v>14</v>
      </c>
    </row>
    <row r="51" spans="1:57">
      <c r="A51" s="14" t="s">
        <v>110</v>
      </c>
      <c r="B51" s="15" t="s">
        <v>48</v>
      </c>
      <c r="C51" s="16">
        <f>C50+C49</f>
        <v>2.2504044359267783E-2</v>
      </c>
      <c r="D51" s="11" t="s">
        <v>43</v>
      </c>
      <c r="E51" s="11"/>
      <c r="F51" s="11">
        <f>C55*C22*(E13-C38)</f>
        <v>34866.599999999882</v>
      </c>
      <c r="G51" s="11"/>
      <c r="H51" s="11"/>
      <c r="I51" s="11"/>
      <c r="J51" s="11"/>
      <c r="K51" s="11"/>
      <c r="L51" s="11"/>
      <c r="M51" s="12"/>
      <c r="N51" s="13"/>
      <c r="O51" s="11"/>
      <c r="P51" s="11"/>
      <c r="Q51" s="11" t="s">
        <v>158</v>
      </c>
      <c r="R51" s="11" t="s">
        <v>159</v>
      </c>
      <c r="S51" s="11">
        <f>C95</f>
        <v>0.13221078523367286</v>
      </c>
      <c r="T51" s="11" t="s">
        <v>155</v>
      </c>
      <c r="U51" s="11"/>
      <c r="V51" s="11" t="s">
        <v>160</v>
      </c>
      <c r="W51" s="11"/>
      <c r="X51" s="11" t="s">
        <v>161</v>
      </c>
      <c r="Y51" s="11">
        <f>Y39*S46*S53/Y40</f>
        <v>235058.51117171432</v>
      </c>
      <c r="Z51" s="11"/>
      <c r="AA51" s="11"/>
      <c r="AB51" s="11" t="s">
        <v>162</v>
      </c>
      <c r="AC51" s="11">
        <f>AC39*S45*S52/AC40</f>
        <v>2990.4281249887254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 t="s">
        <v>163</v>
      </c>
      <c r="AU51" s="11"/>
      <c r="AV51" s="11"/>
      <c r="AW51" s="11"/>
      <c r="AX51" s="11">
        <f>(AX37-BD37)/(1/((AX39+BD42)*AX44*BD38))-AX46</f>
        <v>1.6699581654393114E-2</v>
      </c>
      <c r="AY51" s="11"/>
      <c r="AZ51" s="11" t="s">
        <v>530</v>
      </c>
      <c r="BA51" s="11"/>
      <c r="BB51" s="11"/>
      <c r="BC51" s="11" t="s">
        <v>215</v>
      </c>
      <c r="BD51" s="11">
        <f>(1/((AX39+BD56)*AX44*BD59))+(LN(AX43/AX42)/(2*PI()*AX41*BD59))+(1/((AX40+BD57)*AX45*BD59))</f>
        <v>2.4091206547814586E-2</v>
      </c>
      <c r="BE51" s="12" t="s">
        <v>656</v>
      </c>
    </row>
    <row r="52" spans="1:57">
      <c r="A52" s="14" t="s">
        <v>164</v>
      </c>
      <c r="B52" s="15" t="s">
        <v>25</v>
      </c>
      <c r="C52" s="16">
        <f>C18</f>
        <v>25.749999999999996</v>
      </c>
      <c r="D52" s="11" t="s">
        <v>31</v>
      </c>
      <c r="E52" s="11"/>
      <c r="F52" s="11"/>
      <c r="G52" s="11"/>
      <c r="H52" s="11"/>
      <c r="I52" s="11"/>
      <c r="J52" s="11"/>
      <c r="K52" s="11"/>
      <c r="L52" s="11"/>
      <c r="M52" s="12"/>
      <c r="N52" s="13"/>
      <c r="O52" s="11"/>
      <c r="P52" s="11"/>
      <c r="Q52" s="11" t="s">
        <v>165</v>
      </c>
      <c r="R52" s="11" t="s">
        <v>166</v>
      </c>
      <c r="S52" s="11">
        <f>S47</f>
        <v>0.2</v>
      </c>
      <c r="T52" s="11" t="s">
        <v>82</v>
      </c>
      <c r="U52" s="11"/>
      <c r="V52" s="11" t="s">
        <v>167</v>
      </c>
      <c r="W52" s="11"/>
      <c r="X52" s="11" t="s">
        <v>168</v>
      </c>
      <c r="Y52" s="11">
        <f>Y41*Y40/Y42</f>
        <v>0.71287586738627617</v>
      </c>
      <c r="Z52" s="11"/>
      <c r="AA52" s="11"/>
      <c r="AB52" s="11" t="s">
        <v>169</v>
      </c>
      <c r="AC52" s="11">
        <f>AC41*AC40/AC42</f>
        <v>0.72653041958041975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 t="s">
        <v>170</v>
      </c>
      <c r="AU52" s="11"/>
      <c r="AV52" s="11"/>
      <c r="AW52" s="11"/>
      <c r="AX52" s="11">
        <f>(BD37-BD41)/(LN(AX43/AX42)/(2*PI()*AX41*BD38))-AX46</f>
        <v>8.6583895608782768E-10</v>
      </c>
      <c r="AY52" s="11"/>
      <c r="AZ52" s="11" t="s">
        <v>1094</v>
      </c>
      <c r="BA52" s="11"/>
      <c r="BB52" s="11"/>
      <c r="BC52" s="11" t="s">
        <v>1030</v>
      </c>
      <c r="BD52" s="11">
        <f>BD47/BD48</f>
        <v>1.1733177446741431E-2</v>
      </c>
      <c r="BE52" s="12"/>
    </row>
    <row r="53" spans="1:57">
      <c r="A53" s="14" t="s">
        <v>171</v>
      </c>
      <c r="B53" s="15" t="s">
        <v>129</v>
      </c>
      <c r="C53" s="16">
        <v>10</v>
      </c>
      <c r="D53" s="11" t="s">
        <v>130</v>
      </c>
      <c r="E53" s="11"/>
      <c r="F53" s="11"/>
      <c r="G53" s="11"/>
      <c r="H53" s="11"/>
      <c r="I53" s="11"/>
      <c r="J53" s="11"/>
      <c r="K53" s="11"/>
      <c r="L53" s="11"/>
      <c r="M53" s="12"/>
      <c r="N53" s="13"/>
      <c r="O53" s="11"/>
      <c r="P53" s="11"/>
      <c r="Q53" s="11" t="s">
        <v>172</v>
      </c>
      <c r="R53" s="11" t="s">
        <v>173</v>
      </c>
      <c r="S53" s="11">
        <f>S49-S48</f>
        <v>0.252</v>
      </c>
      <c r="T53" s="11" t="s">
        <v>82</v>
      </c>
      <c r="U53" s="11"/>
      <c r="V53" s="11" t="s">
        <v>174</v>
      </c>
      <c r="W53" s="11"/>
      <c r="X53" s="11" t="s">
        <v>175</v>
      </c>
      <c r="Y53" s="11">
        <f>(1.58*LN(Y51)-3.28)^(-2)</f>
        <v>3.7819573040949704E-3</v>
      </c>
      <c r="Z53" s="11"/>
      <c r="AA53" s="11"/>
      <c r="AB53" s="11" t="s">
        <v>176</v>
      </c>
      <c r="AC53" s="11">
        <f>(1.58*LN(AC51)-3.28)^-2</f>
        <v>1.1402061234618342E-2</v>
      </c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 t="s">
        <v>177</v>
      </c>
      <c r="AU53" s="11"/>
      <c r="AV53" s="11"/>
      <c r="AW53" s="11"/>
      <c r="AX53" s="11">
        <f>(BD41-AX38)/(1/((AX40+BD43)*AX45*BD38))-AX46</f>
        <v>-1.7570554104167968E-2</v>
      </c>
      <c r="AY53" s="11"/>
      <c r="AZ53" s="11" t="s">
        <v>1091</v>
      </c>
      <c r="BA53" s="11"/>
      <c r="BB53" s="11"/>
      <c r="BC53" s="11" t="s">
        <v>1029</v>
      </c>
      <c r="BD53" s="11">
        <f>(1/BD51)/BD47</f>
        <v>1.5509202082193991</v>
      </c>
      <c r="BE53" s="12"/>
    </row>
    <row r="54" spans="1:57">
      <c r="A54" s="14" t="s">
        <v>178</v>
      </c>
      <c r="B54" s="15" t="s">
        <v>135</v>
      </c>
      <c r="C54" s="16">
        <v>15</v>
      </c>
      <c r="D54" s="11" t="s">
        <v>130</v>
      </c>
      <c r="E54" s="11"/>
      <c r="F54" s="11"/>
      <c r="G54" s="11"/>
      <c r="H54" s="11"/>
      <c r="I54" s="11"/>
      <c r="J54" s="11"/>
      <c r="K54" s="11"/>
      <c r="L54" s="11"/>
      <c r="M54" s="12"/>
      <c r="N54" s="13"/>
      <c r="O54" s="11"/>
      <c r="P54" s="11"/>
      <c r="Q54" s="11" t="s">
        <v>179</v>
      </c>
      <c r="R54" s="11" t="s">
        <v>180</v>
      </c>
      <c r="S54" s="11">
        <f>S47</f>
        <v>0.2</v>
      </c>
      <c r="T54" s="11" t="s">
        <v>82</v>
      </c>
      <c r="U54" s="11"/>
      <c r="V54" s="11" t="s">
        <v>181</v>
      </c>
      <c r="W54" s="11"/>
      <c r="X54" s="11" t="s">
        <v>182</v>
      </c>
      <c r="Y54" s="11">
        <f>0.021*Y52^(0.4)*Y51^(0.8)</f>
        <v>363.38386915914998</v>
      </c>
      <c r="Z54" s="11"/>
      <c r="AA54" s="11"/>
      <c r="AB54" s="11" t="s">
        <v>183</v>
      </c>
      <c r="AC54" s="11">
        <f>0.021*AC52^0.4*(AC51^0.8)</f>
        <v>11.150838110767324</v>
      </c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 t="s">
        <v>184</v>
      </c>
      <c r="AU54" s="11"/>
      <c r="AV54" s="11"/>
      <c r="AW54" s="11"/>
      <c r="AX54" s="11">
        <f>AX51^2+AX52^2+AX53^2</f>
        <v>5.8760039895923769E-4</v>
      </c>
      <c r="AY54" s="11"/>
      <c r="AZ54" s="11" t="s">
        <v>1092</v>
      </c>
      <c r="BA54" s="11"/>
      <c r="BB54" s="11"/>
      <c r="BC54" s="11" t="s">
        <v>1085</v>
      </c>
      <c r="BD54" s="11">
        <f>BD47*(BD50-BD49)</f>
        <v>46574.926856073966</v>
      </c>
      <c r="BE54" s="12" t="s">
        <v>140</v>
      </c>
    </row>
    <row r="55" spans="1:57">
      <c r="A55" s="14" t="s">
        <v>100</v>
      </c>
      <c r="B55" s="15" t="s">
        <v>65</v>
      </c>
      <c r="C55" s="16">
        <f>C37</f>
        <v>2.2697095948827162</v>
      </c>
      <c r="D55" s="11" t="s">
        <v>43</v>
      </c>
      <c r="E55" s="11"/>
      <c r="F55" s="11"/>
      <c r="G55" s="11"/>
      <c r="H55" s="11"/>
      <c r="I55" s="11"/>
      <c r="J55" s="11"/>
      <c r="K55" s="11"/>
      <c r="L55" s="11"/>
      <c r="M55" s="12"/>
      <c r="N55" s="13"/>
      <c r="O55" s="11"/>
      <c r="P55" s="11"/>
      <c r="Q55" s="11" t="s">
        <v>185</v>
      </c>
      <c r="R55" s="11" t="s">
        <v>186</v>
      </c>
      <c r="S55" s="11">
        <f>(S49^2-S48^2)/S48</f>
        <v>0.80930769230769239</v>
      </c>
      <c r="T55" s="11" t="s">
        <v>82</v>
      </c>
      <c r="U55" s="11"/>
      <c r="V55" s="11" t="s">
        <v>187</v>
      </c>
      <c r="W55" s="11"/>
      <c r="X55" s="11" t="s">
        <v>98</v>
      </c>
      <c r="Y55" s="11">
        <f>Y54*Y42/S55</f>
        <v>11.647211135619099</v>
      </c>
      <c r="Z55" s="11" t="s">
        <v>91</v>
      </c>
      <c r="AA55" s="11"/>
      <c r="AB55" s="11" t="s">
        <v>90</v>
      </c>
      <c r="AC55" s="11">
        <f>AC54*AC42/S54</f>
        <v>4.4647955795512368</v>
      </c>
      <c r="AD55" s="11" t="s">
        <v>91</v>
      </c>
      <c r="AE55" s="11"/>
      <c r="AF55" s="11" t="s">
        <v>188</v>
      </c>
      <c r="AG55" s="11"/>
      <c r="AH55" s="11"/>
      <c r="AI55" s="11">
        <v>290</v>
      </c>
      <c r="AJ55" s="11">
        <v>300</v>
      </c>
      <c r="AK55" s="11">
        <f>_xlfn.CEILING.MATH(Y37,1)</f>
        <v>298</v>
      </c>
      <c r="AL55" s="11"/>
      <c r="AM55" s="11"/>
      <c r="AN55" s="11"/>
      <c r="AO55" s="11"/>
      <c r="AP55" s="11">
        <v>1200</v>
      </c>
      <c r="AQ55" s="11">
        <v>1400</v>
      </c>
      <c r="AR55" s="11">
        <f>_xlfn.CEILING.MATH(AC37,1)</f>
        <v>1310</v>
      </c>
      <c r="AS55" s="11"/>
      <c r="AT55" s="11"/>
      <c r="AU55" s="11"/>
      <c r="AV55" s="11"/>
      <c r="AW55" s="11"/>
      <c r="AX55" s="11"/>
      <c r="AY55" s="11"/>
      <c r="AZ55" s="11" t="s">
        <v>1095</v>
      </c>
      <c r="BA55" s="11"/>
      <c r="BB55" s="11"/>
      <c r="BC55" s="11" t="s">
        <v>143</v>
      </c>
      <c r="BD55" s="11">
        <f>(1-EXP(-BD53*(1-BD52)))/(1-BD52*EXP(-BD53*(1-BD52)))</f>
        <v>0.78604478949557011</v>
      </c>
      <c r="BE55" s="12"/>
    </row>
    <row r="56" spans="1:57">
      <c r="A56" s="14"/>
      <c r="B56" s="15"/>
      <c r="C56" s="16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3"/>
      <c r="O56" s="11"/>
      <c r="P56" s="11"/>
      <c r="Q56" s="11" t="s">
        <v>138</v>
      </c>
      <c r="R56" s="11" t="s">
        <v>139</v>
      </c>
      <c r="S56" s="11">
        <f>G9*1000</f>
        <v>36610</v>
      </c>
      <c r="T56" s="11" t="s">
        <v>140</v>
      </c>
      <c r="U56" s="11"/>
      <c r="V56" s="11" t="s">
        <v>189</v>
      </c>
      <c r="W56" s="11"/>
      <c r="X56" s="11" t="s">
        <v>190</v>
      </c>
      <c r="Y56" s="11">
        <f>1/(Y55*PI()*S48)+1/(AC55*PI()*S47)+LN(S48/S47)/(2*PI()*S44)</f>
        <v>0.48798247121594218</v>
      </c>
      <c r="Z56" s="11" t="s">
        <v>191</v>
      </c>
      <c r="AA56" s="11"/>
      <c r="AB56" s="11"/>
      <c r="AC56" s="11"/>
      <c r="AD56" s="11"/>
      <c r="AE56" s="11"/>
      <c r="AF56" s="11" t="s">
        <v>156</v>
      </c>
      <c r="AG56" s="11"/>
      <c r="AH56" s="11"/>
      <c r="AI56" s="11"/>
      <c r="AJ56" s="11"/>
      <c r="AK56" s="11"/>
      <c r="AL56" s="11"/>
      <c r="AM56" s="11" t="s">
        <v>62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 t="s">
        <v>116</v>
      </c>
      <c r="BA56" s="11"/>
      <c r="BB56" s="11"/>
      <c r="BC56" s="11" t="s">
        <v>117</v>
      </c>
      <c r="BD56" s="11">
        <f>AX47*AX48*(AX37+BD60)*(AX37^2+BD60^2)</f>
        <v>162.10354292333818</v>
      </c>
      <c r="BE56" s="12" t="s">
        <v>91</v>
      </c>
    </row>
    <row r="57" spans="1:57">
      <c r="A57" s="10" t="s">
        <v>28</v>
      </c>
      <c r="B57" s="15"/>
      <c r="C57" s="16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3"/>
      <c r="O57" s="11"/>
      <c r="P57" s="11"/>
      <c r="Q57" s="11"/>
      <c r="R57" s="11"/>
      <c r="S57" s="11"/>
      <c r="T57" s="11"/>
      <c r="U57" s="11"/>
      <c r="V57" s="25"/>
      <c r="W57" s="11"/>
      <c r="X57" s="11"/>
      <c r="Y57" s="11"/>
      <c r="Z57" s="11"/>
      <c r="AA57" s="11"/>
      <c r="AB57" s="11"/>
      <c r="AC57" s="11"/>
      <c r="AD57" s="11"/>
      <c r="AE57" s="11"/>
      <c r="AF57" s="11" t="s">
        <v>192</v>
      </c>
      <c r="AG57" s="11"/>
      <c r="AH57" s="11"/>
      <c r="AI57" s="11">
        <v>1.224</v>
      </c>
      <c r="AJ57" s="11">
        <v>1.177</v>
      </c>
      <c r="AK57" s="11">
        <f>AI57+((AK55-AI55)/(AJ55-AI55))*(AJ57-AI57)</f>
        <v>1.1864000000000001</v>
      </c>
      <c r="AL57" s="11"/>
      <c r="AM57" s="11" t="s">
        <v>192</v>
      </c>
      <c r="AN57" s="11"/>
      <c r="AO57" s="11"/>
      <c r="AP57" s="11">
        <v>0.29399999999999998</v>
      </c>
      <c r="AQ57" s="11">
        <v>0.252</v>
      </c>
      <c r="AR57" s="11">
        <f>AP57+((AR55-AP55)/(AQ55-AP55))*(AQ57-AP57)</f>
        <v>0.27089999999999997</v>
      </c>
      <c r="AS57" s="11"/>
      <c r="AT57" s="11"/>
      <c r="AU57" s="11"/>
      <c r="AV57" s="11"/>
      <c r="AW57" s="11"/>
      <c r="AX57" s="11"/>
      <c r="AY57" s="11"/>
      <c r="AZ57" s="11" t="s">
        <v>121</v>
      </c>
      <c r="BA57" s="11"/>
      <c r="BB57" s="11"/>
      <c r="BC57" s="11" t="s">
        <v>122</v>
      </c>
      <c r="BD57" s="11">
        <f>AX47*AX48*(BD61+AX38)*(BD61^2+AX38^2)</f>
        <v>32.133650690066744</v>
      </c>
      <c r="BE57" s="12" t="s">
        <v>91</v>
      </c>
    </row>
    <row r="58" spans="1:57">
      <c r="A58" s="10"/>
      <c r="B58" s="15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3"/>
      <c r="O58" s="11"/>
      <c r="P58" s="11"/>
      <c r="Q58" s="11" t="s">
        <v>194</v>
      </c>
      <c r="R58" s="11" t="s">
        <v>195</v>
      </c>
      <c r="S58" s="11"/>
      <c r="T58" s="11" t="s">
        <v>196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 t="s">
        <v>93</v>
      </c>
      <c r="AG58" s="11"/>
      <c r="AH58" s="11"/>
      <c r="AI58" s="11">
        <f>1.8*10^-5</f>
        <v>1.8E-5</v>
      </c>
      <c r="AJ58" s="11">
        <f>1.85*10^-5</f>
        <v>1.8500000000000002E-5</v>
      </c>
      <c r="AK58" s="11">
        <f>AI58+((AK55-AI55)/(AJ55-AI55))*(AJ58-AI58)</f>
        <v>1.8400000000000003E-5</v>
      </c>
      <c r="AL58" s="11"/>
      <c r="AM58" s="11" t="s">
        <v>93</v>
      </c>
      <c r="AN58" s="11"/>
      <c r="AO58" s="11"/>
      <c r="AP58" s="11">
        <f>4.65*10^-5</f>
        <v>4.6500000000000005E-5</v>
      </c>
      <c r="AQ58" s="11">
        <f>5.09*10^-5</f>
        <v>5.0900000000000004E-5</v>
      </c>
      <c r="AR58" s="11">
        <f>AP58+((AR55-AP55)/(AQ55-AP55))*(AQ58-AP58)</f>
        <v>4.8920000000000006E-5</v>
      </c>
      <c r="AS58" s="11"/>
      <c r="AT58" s="11"/>
      <c r="AU58" s="11"/>
      <c r="AV58" s="11"/>
      <c r="AW58" s="11"/>
      <c r="AX58" s="11"/>
      <c r="AY58" s="11"/>
      <c r="AZ58" s="11" t="s">
        <v>1093</v>
      </c>
      <c r="BA58" s="11"/>
      <c r="BB58" s="11"/>
      <c r="BC58" s="11" t="s">
        <v>139</v>
      </c>
      <c r="BD58" s="11">
        <f>BD55*BD54</f>
        <v>36609.978576354239</v>
      </c>
      <c r="BE58" s="12" t="s">
        <v>140</v>
      </c>
    </row>
    <row r="59" spans="1:57">
      <c r="A59" s="14" t="s">
        <v>29</v>
      </c>
      <c r="B59" s="15" t="s">
        <v>30</v>
      </c>
      <c r="C59" s="16">
        <v>1005</v>
      </c>
      <c r="D59" s="11" t="s">
        <v>31</v>
      </c>
      <c r="E59" s="11"/>
      <c r="F59" s="11"/>
      <c r="G59" s="11"/>
      <c r="H59" s="11"/>
      <c r="I59" s="11"/>
      <c r="J59" s="11"/>
      <c r="K59" s="11"/>
      <c r="L59" s="11"/>
      <c r="M59" s="12"/>
      <c r="N59" s="13"/>
      <c r="O59" s="11"/>
      <c r="P59" s="11"/>
      <c r="Q59" s="11" t="s">
        <v>81</v>
      </c>
      <c r="R59" s="11">
        <f>S56*Y56/W47</f>
        <v>22.236831287213015</v>
      </c>
      <c r="S59" s="11" t="s">
        <v>82</v>
      </c>
      <c r="T59" s="11">
        <f>S56*Y56/Z47</f>
        <v>21.946387866829866</v>
      </c>
      <c r="U59" s="11" t="s">
        <v>82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 t="s">
        <v>101</v>
      </c>
      <c r="AG59" s="11"/>
      <c r="AH59" s="11"/>
      <c r="AI59" s="11">
        <v>1005</v>
      </c>
      <c r="AJ59" s="11">
        <v>1005</v>
      </c>
      <c r="AK59" s="11">
        <v>1005</v>
      </c>
      <c r="AL59" s="11"/>
      <c r="AM59" s="11" t="s">
        <v>101</v>
      </c>
      <c r="AN59" s="11"/>
      <c r="AO59" s="11"/>
      <c r="AP59" s="11">
        <v>1175</v>
      </c>
      <c r="AQ59" s="11">
        <v>1201</v>
      </c>
      <c r="AR59" s="11">
        <f>AP59+((AR55-AP55)/(AQ55-AP55))*(AQ59-AP59)</f>
        <v>1189.3</v>
      </c>
      <c r="AS59" s="11"/>
      <c r="AT59" s="11"/>
      <c r="AU59" s="11"/>
      <c r="AV59" s="11"/>
      <c r="AW59" s="11"/>
      <c r="AX59" s="11"/>
      <c r="AY59" s="11"/>
      <c r="AZ59" s="11" t="s">
        <v>271</v>
      </c>
      <c r="BA59" s="11"/>
      <c r="BB59" s="11"/>
      <c r="BC59" s="86" t="s">
        <v>81</v>
      </c>
      <c r="BD59" s="86">
        <v>1.8527394815247513</v>
      </c>
      <c r="BE59" s="87" t="s">
        <v>82</v>
      </c>
    </row>
    <row r="60" spans="1:57">
      <c r="A60" s="14" t="s">
        <v>32</v>
      </c>
      <c r="B60" s="15" t="s">
        <v>33</v>
      </c>
      <c r="C60" s="16">
        <v>2080</v>
      </c>
      <c r="D60" s="11" t="s">
        <v>31</v>
      </c>
      <c r="E60" s="11"/>
      <c r="F60" s="11"/>
      <c r="G60" s="11"/>
      <c r="H60" s="11"/>
      <c r="I60" s="11"/>
      <c r="J60" s="11"/>
      <c r="K60" s="11"/>
      <c r="L60" s="11"/>
      <c r="M60" s="12"/>
      <c r="N60" s="13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 t="s">
        <v>199</v>
      </c>
      <c r="AG60" s="11"/>
      <c r="AH60" s="11"/>
      <c r="AI60" s="11">
        <v>2.53E-2</v>
      </c>
      <c r="AJ60" s="11">
        <v>2.6100000000000002E-2</v>
      </c>
      <c r="AK60" s="11">
        <f>AI60+((AK55-AI55)/(AJ55-AI55))*(AJ60-AI60)</f>
        <v>2.5940000000000001E-2</v>
      </c>
      <c r="AL60" s="11"/>
      <c r="AM60" s="11" t="s">
        <v>199</v>
      </c>
      <c r="AN60" s="11"/>
      <c r="AO60" s="11"/>
      <c r="AP60" s="11">
        <v>7.5899999999999995E-2</v>
      </c>
      <c r="AQ60" s="11">
        <f>0.0835</f>
        <v>8.3500000000000005E-2</v>
      </c>
      <c r="AR60" s="11">
        <f>AP60+((AR55-AP55)/(AQ55-AP55))*(AQ60-AP60)</f>
        <v>8.0079999999999998E-2</v>
      </c>
      <c r="AS60" s="11"/>
      <c r="AT60" s="11"/>
      <c r="AU60" s="11"/>
      <c r="AV60" s="11"/>
      <c r="AW60" s="11"/>
      <c r="AX60" s="11"/>
      <c r="AY60" s="11"/>
      <c r="AZ60" s="11" t="s">
        <v>71</v>
      </c>
      <c r="BA60" s="11"/>
      <c r="BB60" s="11"/>
      <c r="BC60" s="11" t="s">
        <v>72</v>
      </c>
      <c r="BD60" s="11">
        <v>920.96332900433663</v>
      </c>
      <c r="BE60" s="12" t="s">
        <v>14</v>
      </c>
    </row>
    <row r="61" spans="1:57" ht="16.2" customHeight="1">
      <c r="A61" s="14" t="s">
        <v>34</v>
      </c>
      <c r="B61" s="15" t="s">
        <v>35</v>
      </c>
      <c r="C61" s="16">
        <f>(2*(1+C48)+2*(1+C48)*79/21)/(2*(1+C48)+2*(1+C48)*79/21+1)</f>
        <v>0.93457943925233644</v>
      </c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3"/>
      <c r="O61" s="11"/>
      <c r="P61" s="230" t="s">
        <v>202</v>
      </c>
      <c r="Q61" s="23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 t="s">
        <v>108</v>
      </c>
      <c r="BA61" s="11"/>
      <c r="BB61" s="11"/>
      <c r="BC61" s="11" t="s">
        <v>109</v>
      </c>
      <c r="BD61" s="11">
        <f>BD60-AX46*LN(AX43/AX42)/(2*PI()*AX41*BD59)</f>
        <v>918.48652496298769</v>
      </c>
      <c r="BE61" s="12" t="s">
        <v>14</v>
      </c>
    </row>
    <row r="62" spans="1:57" ht="15" thickBot="1">
      <c r="A62" s="14" t="s">
        <v>36</v>
      </c>
      <c r="B62" s="15" t="s">
        <v>37</v>
      </c>
      <c r="C62" s="16">
        <f>1-C61</f>
        <v>6.5420560747663559E-2</v>
      </c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3"/>
      <c r="O62" s="11"/>
      <c r="P62" s="230"/>
      <c r="Q62" s="230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85" t="s">
        <v>193</v>
      </c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2"/>
    </row>
    <row r="63" spans="1:57">
      <c r="A63" s="14"/>
      <c r="B63" s="15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3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03" t="s">
        <v>207</v>
      </c>
      <c r="AC63" s="8">
        <f>(C66+C68)/2</f>
        <v>1309.6595974770926</v>
      </c>
      <c r="AD63" s="8"/>
      <c r="AE63" s="8" t="s">
        <v>208</v>
      </c>
      <c r="AF63" s="8" t="s">
        <v>209</v>
      </c>
      <c r="AG63" s="8" t="s">
        <v>210</v>
      </c>
      <c r="AH63" s="8" t="s">
        <v>211</v>
      </c>
      <c r="AI63" s="8">
        <f>8.314472</f>
        <v>8.3144720000000003</v>
      </c>
      <c r="AJ63" s="8"/>
      <c r="AK63" s="8"/>
      <c r="AL63" s="9"/>
      <c r="AM63" s="11"/>
      <c r="AN63" s="11"/>
      <c r="AO63" s="11"/>
      <c r="AP63" s="11"/>
      <c r="AQ63" s="11"/>
      <c r="AR63" s="11"/>
      <c r="AS63" s="11"/>
      <c r="AT63" s="11" t="s">
        <v>59</v>
      </c>
      <c r="AU63" s="11"/>
      <c r="AV63" s="11"/>
      <c r="AW63" s="11"/>
      <c r="AX63" s="11"/>
      <c r="AY63" s="11"/>
      <c r="AZ63" s="11" t="s">
        <v>63</v>
      </c>
      <c r="BA63" s="11"/>
      <c r="BB63" s="11"/>
      <c r="BC63" s="11"/>
      <c r="BD63" s="11"/>
      <c r="BE63" s="12"/>
    </row>
    <row r="64" spans="1:57" ht="15" thickBot="1">
      <c r="A64" s="14" t="s">
        <v>38</v>
      </c>
      <c r="B64" s="15" t="s">
        <v>39</v>
      </c>
      <c r="C64" s="22">
        <f>C59*C61+C60*C62</f>
        <v>1075.3271028037384</v>
      </c>
      <c r="D64" s="11" t="s">
        <v>31</v>
      </c>
      <c r="E64" s="11"/>
      <c r="F64" s="11"/>
      <c r="G64" s="11"/>
      <c r="H64" s="11"/>
      <c r="I64" s="11"/>
      <c r="J64" s="11"/>
      <c r="K64" s="11"/>
      <c r="L64" s="11"/>
      <c r="M64" s="12"/>
      <c r="N64" s="13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3"/>
      <c r="AC64" s="11"/>
      <c r="AD64" s="11"/>
      <c r="AE64" s="11" t="s">
        <v>212</v>
      </c>
      <c r="AF64" s="11">
        <v>44.01</v>
      </c>
      <c r="AG64" s="11">
        <f>$AI$63/AF64*1000</f>
        <v>188.9223358327653</v>
      </c>
      <c r="AH64" s="11">
        <v>1</v>
      </c>
      <c r="AI64" s="11"/>
      <c r="AJ64" s="11"/>
      <c r="AK64" s="11"/>
      <c r="AL64" s="12"/>
      <c r="AM64" s="11"/>
      <c r="AN64" s="11"/>
      <c r="AO64" s="11"/>
      <c r="AP64" s="11"/>
      <c r="AQ64" s="11"/>
      <c r="AR64" s="11"/>
      <c r="AS64" s="11"/>
      <c r="AT64" s="11" t="s">
        <v>197</v>
      </c>
      <c r="AU64" s="85"/>
      <c r="AV64" s="85"/>
      <c r="AW64" s="11" t="s">
        <v>198</v>
      </c>
      <c r="AX64" s="11">
        <f>S71</f>
        <v>30</v>
      </c>
      <c r="AY64" s="11"/>
      <c r="AZ64" s="11" t="s">
        <v>71</v>
      </c>
      <c r="BA64" s="11"/>
      <c r="BB64" s="11"/>
      <c r="BC64" s="11" t="s">
        <v>72</v>
      </c>
      <c r="BD64" s="105">
        <v>669.40197006413405</v>
      </c>
      <c r="BE64" s="12" t="s">
        <v>14</v>
      </c>
    </row>
    <row r="65" spans="1:57" ht="15" thickBot="1">
      <c r="A65" s="14"/>
      <c r="B65" s="15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213" t="s">
        <v>213</v>
      </c>
      <c r="O65" s="213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3"/>
      <c r="AC65" s="11"/>
      <c r="AD65" s="11"/>
      <c r="AE65" s="11" t="s">
        <v>214</v>
      </c>
      <c r="AF65" s="11">
        <v>18.02</v>
      </c>
      <c r="AG65" s="11">
        <f>$AI$63/AF65*1000</f>
        <v>461.40244173140962</v>
      </c>
      <c r="AH65" s="11">
        <v>2</v>
      </c>
      <c r="AI65" s="11"/>
      <c r="AJ65" s="11"/>
      <c r="AK65" s="15" t="s">
        <v>215</v>
      </c>
      <c r="AL65" s="12">
        <f>(AF64*AG64*AH64+AF65*AG65*AH65+AF66*AG66*AH66+AF67*AG67*AH67+AF66*AH67*AG66)/(AF64*AH64+AF65*AH65+AF66*AH66+AF67*AH67+AF66*AH67)</f>
        <v>292.81566171168458</v>
      </c>
      <c r="AM65" s="11"/>
      <c r="AN65" s="11"/>
      <c r="AO65" s="11"/>
      <c r="AP65" s="11"/>
      <c r="AQ65" s="11"/>
      <c r="AR65" s="11"/>
      <c r="AS65" s="11"/>
      <c r="AT65" s="11" t="s">
        <v>200</v>
      </c>
      <c r="AU65" s="85"/>
      <c r="AV65" s="85"/>
      <c r="AW65" s="11" t="s">
        <v>201</v>
      </c>
      <c r="AX65" s="11">
        <f>S72</f>
        <v>3.0000000000000001E-3</v>
      </c>
      <c r="AY65" s="11" t="s">
        <v>82</v>
      </c>
      <c r="AZ65" s="11" t="s">
        <v>80</v>
      </c>
      <c r="BA65" s="11"/>
      <c r="BB65" s="11"/>
      <c r="BC65" s="86" t="s">
        <v>81</v>
      </c>
      <c r="BD65" s="86">
        <v>0.723179019634142</v>
      </c>
      <c r="BE65" s="87" t="s">
        <v>82</v>
      </c>
    </row>
    <row r="66" spans="1:57">
      <c r="A66" s="14" t="s">
        <v>66</v>
      </c>
      <c r="B66" s="15" t="s">
        <v>67</v>
      </c>
      <c r="C66" s="22">
        <f>((C44*1000)/((1+C52)*C64))+E45</f>
        <v>2030.0688249608897</v>
      </c>
      <c r="D66" s="11" t="s">
        <v>14</v>
      </c>
      <c r="E66" s="11"/>
      <c r="F66" s="11"/>
      <c r="G66" s="11"/>
      <c r="H66" s="11"/>
      <c r="I66" s="11"/>
      <c r="J66" s="11"/>
      <c r="K66" s="11"/>
      <c r="L66" s="11"/>
      <c r="M66" s="12"/>
      <c r="N66" s="13" t="s">
        <v>217</v>
      </c>
      <c r="O66" s="12">
        <f>1/((O77/(AC55*O74)+(LN(S48/S47)*O77/(2*PI()*S44))+(1/(Y78*S78))))</f>
        <v>0.41826790879259401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3"/>
      <c r="AC66" s="11"/>
      <c r="AD66" s="11"/>
      <c r="AE66" s="11" t="s">
        <v>218</v>
      </c>
      <c r="AF66" s="11">
        <v>28.81</v>
      </c>
      <c r="AG66" s="11">
        <f>$AI$63/AF66*1000</f>
        <v>288.5967372440125</v>
      </c>
      <c r="AH66" s="11">
        <f>2*79/21</f>
        <v>7.5238095238095237</v>
      </c>
      <c r="AI66" s="11"/>
      <c r="AJ66" s="11"/>
      <c r="AK66" s="15"/>
      <c r="AL66" s="12"/>
      <c r="AM66" s="11"/>
      <c r="AN66" s="11"/>
      <c r="AO66" s="11"/>
      <c r="AP66" s="11"/>
      <c r="AQ66" s="11"/>
      <c r="AR66" s="11"/>
      <c r="AS66" s="11"/>
      <c r="AT66" s="11" t="s">
        <v>203</v>
      </c>
      <c r="AU66" s="85"/>
      <c r="AV66" s="85"/>
      <c r="AW66" s="11" t="s">
        <v>204</v>
      </c>
      <c r="AX66" s="11">
        <f>S73</f>
        <v>0.1</v>
      </c>
      <c r="AY66" s="11" t="s">
        <v>82</v>
      </c>
      <c r="AZ66" s="11"/>
      <c r="BA66" s="11"/>
      <c r="BB66" s="11"/>
      <c r="BC66" s="11"/>
      <c r="BD66" s="11"/>
      <c r="BE66" s="12"/>
    </row>
    <row r="67" spans="1:57" ht="15" thickBot="1">
      <c r="A67" s="14"/>
      <c r="B67" s="15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29" t="s">
        <v>81</v>
      </c>
      <c r="O67" s="33">
        <f>S56/(O66*O77*Z47)</f>
        <v>16.382192242679004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3"/>
      <c r="AC67" s="11"/>
      <c r="AD67" s="11"/>
      <c r="AE67" s="11" t="s">
        <v>221</v>
      </c>
      <c r="AF67" s="11">
        <v>32</v>
      </c>
      <c r="AG67" s="11">
        <v>259.8</v>
      </c>
      <c r="AH67" s="11">
        <v>0.5</v>
      </c>
      <c r="AI67" s="11"/>
      <c r="AJ67" s="11"/>
      <c r="AK67" s="15" t="s">
        <v>222</v>
      </c>
      <c r="AL67" s="12">
        <f>101325/(AL65*AC63)</f>
        <v>0.26421890025125</v>
      </c>
      <c r="AM67" s="11"/>
      <c r="AN67" s="11"/>
      <c r="AO67" s="11"/>
      <c r="AP67" s="11"/>
      <c r="AQ67" s="11"/>
      <c r="AR67" s="11"/>
      <c r="AS67" s="11"/>
      <c r="AT67" s="11" t="s">
        <v>205</v>
      </c>
      <c r="AU67" s="85"/>
      <c r="AV67" s="85"/>
      <c r="AW67" s="11" t="s">
        <v>206</v>
      </c>
      <c r="AX67" s="11">
        <f>S78</f>
        <v>0.45983308208460727</v>
      </c>
      <c r="AY67" s="11"/>
      <c r="AZ67" s="11" t="s">
        <v>99</v>
      </c>
      <c r="BA67" s="11"/>
      <c r="BB67" s="11"/>
      <c r="BC67" s="11"/>
      <c r="BD67" s="11"/>
      <c r="BE67" s="12"/>
    </row>
    <row r="68" spans="1:57" ht="29.4" thickBot="1">
      <c r="A68" s="14" t="s">
        <v>75</v>
      </c>
      <c r="B68" s="15" t="s">
        <v>76</v>
      </c>
      <c r="C68" s="22">
        <f>C66-(E43*1000)/((C49+C50)*C64)</f>
        <v>589.25036999329518</v>
      </c>
      <c r="D68" s="11" t="s">
        <v>14</v>
      </c>
      <c r="E68" s="23">
        <f>C68-273.15</f>
        <v>316.1003699932952</v>
      </c>
      <c r="F68" s="11" t="s">
        <v>13</v>
      </c>
      <c r="G68" s="11"/>
      <c r="H68" s="11"/>
      <c r="I68" s="11"/>
      <c r="J68" s="11"/>
      <c r="K68" s="11"/>
      <c r="L68" s="11"/>
      <c r="M68" s="12"/>
      <c r="N68" s="1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29"/>
      <c r="AC68" s="32" t="s">
        <v>223</v>
      </c>
      <c r="AD68" s="32"/>
      <c r="AE68" s="32"/>
      <c r="AF68" s="32"/>
      <c r="AG68" s="32"/>
      <c r="AH68" s="32"/>
      <c r="AI68" s="32"/>
      <c r="AJ68" s="32"/>
      <c r="AK68" s="32"/>
      <c r="AL68" s="33"/>
      <c r="AM68" s="11"/>
      <c r="AN68" s="11"/>
      <c r="AO68" s="11"/>
      <c r="AP68" s="11"/>
      <c r="AQ68" s="11"/>
      <c r="AR68" s="11"/>
      <c r="AS68" s="11"/>
      <c r="AT68" s="85" t="s">
        <v>97</v>
      </c>
      <c r="AU68" s="85"/>
      <c r="AV68" s="85"/>
      <c r="AW68" s="85" t="s">
        <v>98</v>
      </c>
      <c r="AX68" s="85">
        <f>Y78</f>
        <v>43.200391266381793</v>
      </c>
      <c r="AY68" s="11" t="s">
        <v>91</v>
      </c>
      <c r="AZ68" s="11" t="s">
        <v>108</v>
      </c>
      <c r="BA68" s="11"/>
      <c r="BB68" s="11"/>
      <c r="BC68" s="11" t="s">
        <v>109</v>
      </c>
      <c r="BD68" s="11">
        <f>BD64-AX46*LN(AX43/AX42)/(2*PI()*AX41*BD65)</f>
        <v>663.0565528011598</v>
      </c>
      <c r="BE68" s="12" t="s">
        <v>14</v>
      </c>
    </row>
    <row r="69" spans="1:57" ht="15" thickBot="1">
      <c r="A69" s="14"/>
      <c r="B69" s="15"/>
      <c r="C69" s="16"/>
      <c r="D69" s="11"/>
      <c r="E69" s="16"/>
      <c r="F69" s="11"/>
      <c r="G69" s="11"/>
      <c r="H69" s="11"/>
      <c r="I69" s="11"/>
      <c r="J69" s="11"/>
      <c r="K69" s="11"/>
      <c r="L69" s="11"/>
      <c r="M69" s="12"/>
      <c r="N69" s="213" t="s">
        <v>224</v>
      </c>
      <c r="O69" s="213"/>
      <c r="P69" s="11"/>
      <c r="Q69" s="11" t="s">
        <v>225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 t="s">
        <v>226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85" t="s">
        <v>126</v>
      </c>
      <c r="AU69" s="85"/>
      <c r="AV69" s="85"/>
      <c r="AW69" s="85" t="s">
        <v>127</v>
      </c>
      <c r="AX69" s="85">
        <f>O74</f>
        <v>0.62831853071795862</v>
      </c>
      <c r="AY69" s="85" t="s">
        <v>82</v>
      </c>
      <c r="AZ69" s="11" t="s">
        <v>116</v>
      </c>
      <c r="BA69" s="11"/>
      <c r="BB69" s="11"/>
      <c r="BC69" s="11" t="s">
        <v>117</v>
      </c>
      <c r="BD69" s="11">
        <f>AX47*AX48*(AX37+BD64)*(AX37^2+BD64^2)</f>
        <v>121.37537251942581</v>
      </c>
      <c r="BE69" s="12" t="s">
        <v>91</v>
      </c>
    </row>
    <row r="70" spans="1:57" ht="15" thickBot="1">
      <c r="A70" s="10" t="s">
        <v>227</v>
      </c>
      <c r="B70" s="15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3" t="s">
        <v>204</v>
      </c>
      <c r="O70" s="12" t="str">
        <f>IF(S73&lt;(S49-S48)/2,"b OK","CALA b")</f>
        <v>b OK</v>
      </c>
      <c r="P70" s="11"/>
      <c r="Q70" s="11" t="s">
        <v>228</v>
      </c>
      <c r="R70" s="11"/>
      <c r="S70" s="11"/>
      <c r="T70" s="11"/>
      <c r="U70" s="11"/>
      <c r="V70" s="11" t="s">
        <v>229</v>
      </c>
      <c r="W70" s="11"/>
      <c r="X70" s="11"/>
      <c r="Y70" s="11"/>
      <c r="Z70" s="11"/>
      <c r="AA70" s="11"/>
      <c r="AB70" s="11"/>
      <c r="AC70" s="11" t="s">
        <v>228</v>
      </c>
      <c r="AD70" s="11"/>
      <c r="AE70" s="11"/>
      <c r="AF70" s="11"/>
      <c r="AG70" s="11"/>
      <c r="AH70" s="11" t="s">
        <v>229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85" t="s">
        <v>216</v>
      </c>
      <c r="AU70" s="85"/>
      <c r="AV70" s="85"/>
      <c r="AW70" s="85" t="s">
        <v>133</v>
      </c>
      <c r="AX70" s="85">
        <f>O77</f>
        <v>6.5634512719466773</v>
      </c>
      <c r="AY70" s="85" t="s">
        <v>82</v>
      </c>
      <c r="AZ70" s="11" t="s">
        <v>121</v>
      </c>
      <c r="BA70" s="11"/>
      <c r="BB70" s="11"/>
      <c r="BC70" s="11" t="s">
        <v>122</v>
      </c>
      <c r="BD70" s="11">
        <f>AX47*AX48*(BD68+AX38)*(BD68^2+AX38^2)</f>
        <v>14.382699832505192</v>
      </c>
      <c r="BE70" s="12" t="s">
        <v>91</v>
      </c>
    </row>
    <row r="71" spans="1:57" ht="15" thickBot="1">
      <c r="A71" s="14"/>
      <c r="B71" s="15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29" t="s">
        <v>230</v>
      </c>
      <c r="O71" s="33" t="str">
        <f>IF(S71&lt;O72,"Nf OK", "CAMBIA Nf")</f>
        <v>Nf OK</v>
      </c>
      <c r="P71" s="11"/>
      <c r="Q71" s="11" t="s">
        <v>197</v>
      </c>
      <c r="R71" s="11" t="s">
        <v>198</v>
      </c>
      <c r="S71" s="11">
        <v>30</v>
      </c>
      <c r="T71" s="11"/>
      <c r="U71" s="11"/>
      <c r="V71" s="11" t="s">
        <v>172</v>
      </c>
      <c r="W71" s="11"/>
      <c r="X71" s="11" t="s">
        <v>173</v>
      </c>
      <c r="Y71" s="11">
        <f>4*(PI()*(S49^2/4)-PI()*(S48^2/4)-S71*S72*S73)/(PI()*S49+PI()*S48+2*S71*S73)</f>
        <v>6.0855471459046649E-2</v>
      </c>
      <c r="Z71" s="11" t="s">
        <v>82</v>
      </c>
      <c r="AA71" s="11"/>
      <c r="AB71" s="11"/>
      <c r="AC71" s="11" t="s">
        <v>197</v>
      </c>
      <c r="AD71" s="11" t="s">
        <v>198</v>
      </c>
      <c r="AE71" s="11">
        <v>75</v>
      </c>
      <c r="AF71" s="11"/>
      <c r="AG71" s="11"/>
      <c r="AH71" s="11" t="s">
        <v>165</v>
      </c>
      <c r="AI71" s="11"/>
      <c r="AJ71" s="11" t="s">
        <v>166</v>
      </c>
      <c r="AK71" s="11">
        <f>4*(PI()/4*S47^2-AE71*AE72*AE73)/(PI()*S47-AE72*AE71+AE73*AE71*2)</f>
        <v>1.1990459615678328E-2</v>
      </c>
      <c r="AL71" s="11" t="s">
        <v>82</v>
      </c>
      <c r="AM71" s="11"/>
      <c r="AN71" s="7" t="s">
        <v>231</v>
      </c>
      <c r="AO71" s="9">
        <f>PI()*(S47-2*AE73)/AE72</f>
        <v>157.07963267948966</v>
      </c>
      <c r="AP71" s="11"/>
      <c r="AQ71" s="11"/>
      <c r="AR71" s="11"/>
      <c r="AS71" s="11"/>
      <c r="AT71" s="85" t="s">
        <v>219</v>
      </c>
      <c r="AU71" s="85"/>
      <c r="AV71" s="85"/>
      <c r="AW71" s="85" t="s">
        <v>220</v>
      </c>
      <c r="AX71" s="85">
        <f>O75</f>
        <v>0.56345127194667699</v>
      </c>
      <c r="AY71" s="85" t="s">
        <v>82</v>
      </c>
      <c r="AZ71" s="11"/>
      <c r="BA71" s="11"/>
      <c r="BB71" s="11"/>
      <c r="BC71" s="11"/>
      <c r="BD71" s="11"/>
      <c r="BE71" s="12"/>
    </row>
    <row r="72" spans="1:57" ht="15" thickBot="1">
      <c r="A72" s="24" t="s">
        <v>232</v>
      </c>
      <c r="B72" s="15"/>
      <c r="C72" s="16"/>
      <c r="D72" s="11"/>
      <c r="E72" s="25" t="s">
        <v>233</v>
      </c>
      <c r="F72" s="11"/>
      <c r="G72" s="11"/>
      <c r="H72" s="11"/>
      <c r="I72" s="11"/>
      <c r="J72" s="11"/>
      <c r="K72" s="11"/>
      <c r="L72" s="11"/>
      <c r="M72" s="12"/>
      <c r="N72" s="13" t="s">
        <v>231</v>
      </c>
      <c r="O72" s="11">
        <f>PI()*S48/S72</f>
        <v>217.8170906488923</v>
      </c>
      <c r="P72" s="11"/>
      <c r="Q72" s="11" t="s">
        <v>200</v>
      </c>
      <c r="R72" s="11" t="s">
        <v>201</v>
      </c>
      <c r="S72" s="11">
        <v>3.0000000000000001E-3</v>
      </c>
      <c r="T72" s="11" t="s">
        <v>82</v>
      </c>
      <c r="U72" s="11"/>
      <c r="V72" s="11" t="s">
        <v>185</v>
      </c>
      <c r="W72" s="11"/>
      <c r="X72" s="11" t="s">
        <v>186</v>
      </c>
      <c r="Y72" s="11">
        <f>4*(PI()*((S49^2)/4-(S48^2)/4)-S71*S72*S73)/(PI()*S48+2*S71*S73)</f>
        <v>7.4073307339409519E-2</v>
      </c>
      <c r="Z72" s="11" t="s">
        <v>82</v>
      </c>
      <c r="AA72" s="11"/>
      <c r="AB72" s="11"/>
      <c r="AC72" s="11" t="s">
        <v>200</v>
      </c>
      <c r="AD72" s="11" t="s">
        <v>201</v>
      </c>
      <c r="AE72" s="11">
        <v>2E-3</v>
      </c>
      <c r="AF72" s="11" t="s">
        <v>82</v>
      </c>
      <c r="AG72" s="11"/>
      <c r="AH72" s="11" t="s">
        <v>179</v>
      </c>
      <c r="AI72" s="11"/>
      <c r="AJ72" s="11" t="s">
        <v>180</v>
      </c>
      <c r="AK72" s="11">
        <f>AK71</f>
        <v>1.1990459615678328E-2</v>
      </c>
      <c r="AL72" s="11" t="s">
        <v>82</v>
      </c>
      <c r="AM72" s="11"/>
      <c r="AN72" s="213" t="s">
        <v>234</v>
      </c>
      <c r="AO72" s="213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2"/>
    </row>
    <row r="73" spans="1:57" ht="15" thickBot="1">
      <c r="A73" s="14" t="s">
        <v>235</v>
      </c>
      <c r="B73" s="15" t="s">
        <v>236</v>
      </c>
      <c r="C73" s="22">
        <f>C66-C46</f>
        <v>1740.2040995204975</v>
      </c>
      <c r="D73" s="11" t="s">
        <v>14</v>
      </c>
      <c r="E73" s="15" t="s">
        <v>236</v>
      </c>
      <c r="F73" s="22">
        <f>C66-E47</f>
        <v>1724.9188249608897</v>
      </c>
      <c r="G73" s="11" t="s">
        <v>14</v>
      </c>
      <c r="H73" s="11"/>
      <c r="I73" s="11"/>
      <c r="J73" s="11"/>
      <c r="K73" s="11"/>
      <c r="L73" s="11"/>
      <c r="M73" s="12"/>
      <c r="N73" s="213" t="s">
        <v>234</v>
      </c>
      <c r="O73" s="213"/>
      <c r="P73" s="11"/>
      <c r="Q73" s="11" t="s">
        <v>203</v>
      </c>
      <c r="R73" s="11" t="s">
        <v>204</v>
      </c>
      <c r="S73" s="11">
        <v>0.1</v>
      </c>
      <c r="T73" s="11" t="s">
        <v>82</v>
      </c>
      <c r="U73" s="11"/>
      <c r="V73" s="11" t="s">
        <v>237</v>
      </c>
      <c r="W73" s="11"/>
      <c r="X73" s="11" t="s">
        <v>238</v>
      </c>
      <c r="Y73" s="11">
        <f>S51-S73*S72*S71</f>
        <v>0.12321078523367285</v>
      </c>
      <c r="Z73" s="11" t="s">
        <v>155</v>
      </c>
      <c r="AA73" s="11"/>
      <c r="AB73" s="11"/>
      <c r="AC73" s="11" t="s">
        <v>203</v>
      </c>
      <c r="AD73" s="11" t="s">
        <v>204</v>
      </c>
      <c r="AE73" s="11">
        <v>0.05</v>
      </c>
      <c r="AF73" s="11" t="s">
        <v>82</v>
      </c>
      <c r="AG73" s="11"/>
      <c r="AH73" s="11" t="s">
        <v>239</v>
      </c>
      <c r="AI73" s="11"/>
      <c r="AJ73" s="11" t="s">
        <v>240</v>
      </c>
      <c r="AK73" s="11">
        <f>S50-AE73*AE72*AE71</f>
        <v>2.3915926535897934E-2</v>
      </c>
      <c r="AL73" s="11" t="s">
        <v>155</v>
      </c>
      <c r="AM73" s="11"/>
      <c r="AN73" s="13" t="s">
        <v>241</v>
      </c>
      <c r="AO73" s="12">
        <f>PI()*S47-AE71*AE72+AE71*AE73*2</f>
        <v>7.9783185307179583</v>
      </c>
      <c r="AP73" s="11" t="s">
        <v>82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2"/>
    </row>
    <row r="74" spans="1:57" ht="28.8">
      <c r="A74" s="14" t="s">
        <v>243</v>
      </c>
      <c r="B74" s="15" t="s">
        <v>244</v>
      </c>
      <c r="C74" s="22">
        <f>C68-E47</f>
        <v>284.1003699932952</v>
      </c>
      <c r="D74" s="11" t="s">
        <v>14</v>
      </c>
      <c r="E74" s="15" t="s">
        <v>244</v>
      </c>
      <c r="F74" s="22">
        <f>C68-C46</f>
        <v>299.38564455290282</v>
      </c>
      <c r="G74" s="11" t="s">
        <v>14</v>
      </c>
      <c r="H74" s="11"/>
      <c r="I74" s="11"/>
      <c r="J74" s="11"/>
      <c r="K74" s="11"/>
      <c r="L74" s="11"/>
      <c r="M74" s="12"/>
      <c r="N74" s="13" t="s">
        <v>241</v>
      </c>
      <c r="O74" s="12">
        <f>PI()*S47</f>
        <v>0.62831853071795862</v>
      </c>
      <c r="P74" s="11"/>
      <c r="Q74" s="11"/>
      <c r="R74" s="11"/>
      <c r="S74" s="11"/>
      <c r="T74" s="11"/>
      <c r="U74" s="11"/>
      <c r="V74" s="11" t="s">
        <v>245</v>
      </c>
      <c r="W74" s="11"/>
      <c r="X74" s="11" t="s">
        <v>246</v>
      </c>
      <c r="Y74" s="11">
        <f>S46*(S51/Y73)</f>
        <v>15.523165384885708</v>
      </c>
      <c r="Z74" s="11" t="s">
        <v>130</v>
      </c>
      <c r="AA74" s="11"/>
      <c r="AB74" s="11"/>
      <c r="AC74" s="11"/>
      <c r="AD74" s="11"/>
      <c r="AE74" s="11"/>
      <c r="AF74" s="11"/>
      <c r="AG74" s="11"/>
      <c r="AH74" s="11" t="s">
        <v>247</v>
      </c>
      <c r="AI74" s="11"/>
      <c r="AJ74" s="11" t="s">
        <v>248</v>
      </c>
      <c r="AK74" s="11">
        <f>S45*(S50/AK73)</f>
        <v>3.5468553588533696</v>
      </c>
      <c r="AL74" s="11" t="s">
        <v>130</v>
      </c>
      <c r="AM74" s="11"/>
      <c r="AN74" s="13" t="s">
        <v>249</v>
      </c>
      <c r="AO74" s="12">
        <f>PI()*S48-S72*S71+2*S71*S73</f>
        <v>6.5634512719466773</v>
      </c>
      <c r="AP74" s="11"/>
      <c r="AQ74" s="11"/>
      <c r="AR74" s="11"/>
      <c r="AS74" s="11"/>
      <c r="AT74" s="11" t="s">
        <v>157</v>
      </c>
      <c r="AU74" s="85"/>
      <c r="AV74" s="85"/>
      <c r="AW74" s="85"/>
      <c r="AX74" s="11"/>
      <c r="AY74" s="11"/>
      <c r="AZ74" s="11"/>
      <c r="BA74" s="11"/>
      <c r="BB74" s="11"/>
      <c r="BC74" s="11"/>
      <c r="BD74" s="11"/>
      <c r="BE74" s="12"/>
    </row>
    <row r="75" spans="1:57" ht="15" thickBot="1">
      <c r="A75" s="14"/>
      <c r="B75" s="11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3" t="s">
        <v>250</v>
      </c>
      <c r="O75" s="12">
        <f>PI()*S48-S71*S72</f>
        <v>0.56345127194667699</v>
      </c>
      <c r="P75" s="11"/>
      <c r="Q75" s="34" t="s">
        <v>251</v>
      </c>
      <c r="R75" s="11"/>
      <c r="S75" s="11"/>
      <c r="T75" s="11"/>
      <c r="U75" s="11"/>
      <c r="V75" s="11" t="s">
        <v>252</v>
      </c>
      <c r="W75" s="11"/>
      <c r="X75" s="11" t="s">
        <v>161</v>
      </c>
      <c r="Y75" s="11">
        <f>Y39*Y74*Y71/Y40</f>
        <v>60910.649553668773</v>
      </c>
      <c r="Z75" s="11"/>
      <c r="AA75" s="11"/>
      <c r="AB75" s="11"/>
      <c r="AC75" s="34" t="s">
        <v>251</v>
      </c>
      <c r="AD75" s="11"/>
      <c r="AE75" s="11"/>
      <c r="AF75" s="11"/>
      <c r="AG75" s="11"/>
      <c r="AH75" s="11" t="s">
        <v>253</v>
      </c>
      <c r="AI75" s="11"/>
      <c r="AJ75" s="11" t="s">
        <v>162</v>
      </c>
      <c r="AK75" s="11">
        <f>AC39*AK74*AK71/AC40</f>
        <v>235.50594006447776</v>
      </c>
      <c r="AL75" s="11"/>
      <c r="AM75" s="11"/>
      <c r="AN75" s="13"/>
      <c r="AO75" s="12"/>
      <c r="AP75" s="11"/>
      <c r="AQ75" s="11"/>
      <c r="AR75" s="11"/>
      <c r="AS75" s="11"/>
      <c r="AT75" s="11" t="s">
        <v>163</v>
      </c>
      <c r="AU75" s="11"/>
      <c r="AV75" s="11"/>
      <c r="AW75" s="11"/>
      <c r="AX75" s="11">
        <f>(AX37-BD64)/(1/((AX39+BD69)*AX69*BD65))-AX46</f>
        <v>7.0534658152610064E-4</v>
      </c>
      <c r="AY75" s="11"/>
      <c r="AZ75" s="11" t="s">
        <v>1080</v>
      </c>
      <c r="BA75" s="11"/>
      <c r="BB75" s="11"/>
      <c r="BC75" s="11"/>
      <c r="BD75" s="11"/>
      <c r="BE75" s="12"/>
    </row>
    <row r="76" spans="1:57" ht="15" thickBot="1">
      <c r="A76" s="14" t="s">
        <v>254</v>
      </c>
      <c r="B76" s="15" t="s">
        <v>141</v>
      </c>
      <c r="C76" s="17">
        <f>(C73-C74)/LN(C73/C74)</f>
        <v>803.39856162369176</v>
      </c>
      <c r="D76" s="11" t="s">
        <v>14</v>
      </c>
      <c r="E76" s="25" t="s">
        <v>141</v>
      </c>
      <c r="F76" s="17">
        <f>(F73-F74)/LN(F73/F74)</f>
        <v>814.03091841902403</v>
      </c>
      <c r="G76" s="11" t="s">
        <v>14</v>
      </c>
      <c r="H76" s="11"/>
      <c r="I76" s="11"/>
      <c r="J76" s="11"/>
      <c r="K76" s="11"/>
      <c r="L76" s="11"/>
      <c r="M76" s="12"/>
      <c r="N76" s="13" t="s">
        <v>255</v>
      </c>
      <c r="O76" s="12">
        <f>2*S73*S71</f>
        <v>6</v>
      </c>
      <c r="P76" s="11"/>
      <c r="Q76" s="11" t="s">
        <v>256</v>
      </c>
      <c r="R76" s="11" t="s">
        <v>82</v>
      </c>
      <c r="S76" s="11">
        <f>SQRT((2*Y78)/(S72*S44))</f>
        <v>24.048253384570042</v>
      </c>
      <c r="T76" s="11"/>
      <c r="U76" s="11"/>
      <c r="V76" s="11" t="s">
        <v>257</v>
      </c>
      <c r="W76" s="11"/>
      <c r="X76" s="11" t="s">
        <v>175</v>
      </c>
      <c r="Y76" s="11">
        <f>(1.58*LN(Y75)-3.28)^-2</f>
        <v>5.0106359834177642E-3</v>
      </c>
      <c r="Z76" s="11"/>
      <c r="AA76" s="11"/>
      <c r="AB76" s="11"/>
      <c r="AC76" s="11" t="s">
        <v>256</v>
      </c>
      <c r="AD76" s="11" t="s">
        <v>82</v>
      </c>
      <c r="AE76" s="11">
        <f>SQRT((2*AK78)/(AE72*AC42))</f>
        <v>603.011131577784</v>
      </c>
      <c r="AF76" s="11"/>
      <c r="AG76" s="11"/>
      <c r="AH76" s="11" t="s">
        <v>258</v>
      </c>
      <c r="AI76" s="11"/>
      <c r="AJ76" s="11" t="s">
        <v>176</v>
      </c>
      <c r="AK76" s="11">
        <f>(1.58*LN(AK75)-3.28)^-2</f>
        <v>3.4943517419290457E-2</v>
      </c>
      <c r="AL76" s="11"/>
      <c r="AM76" s="11"/>
      <c r="AN76" s="213" t="s">
        <v>224</v>
      </c>
      <c r="AO76" s="213"/>
      <c r="AP76" s="11"/>
      <c r="AQ76" s="11"/>
      <c r="AR76" s="11"/>
      <c r="AS76" s="11"/>
      <c r="AT76" s="11" t="s">
        <v>170</v>
      </c>
      <c r="AU76" s="11"/>
      <c r="AV76" s="11"/>
      <c r="AW76" s="11"/>
      <c r="AX76" s="11">
        <f>(BD64-BD68)/(LN(AX43/AX42)/(2*PI()*AX41*BD65))-AX46</f>
        <v>-2.3283064365386963E-10</v>
      </c>
      <c r="AY76" s="11"/>
      <c r="AZ76" s="11" t="s">
        <v>1087</v>
      </c>
      <c r="BA76" s="11"/>
      <c r="BB76" s="11"/>
      <c r="BC76" s="11" t="s">
        <v>1081</v>
      </c>
      <c r="BD76" s="11">
        <f>BD47</f>
        <v>26.764059956477173</v>
      </c>
      <c r="BE76" s="12" t="s">
        <v>1086</v>
      </c>
    </row>
    <row r="77" spans="1:57" ht="15" thickBot="1">
      <c r="A77" s="14"/>
      <c r="B77" s="11"/>
      <c r="C77" s="16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29" t="s">
        <v>249</v>
      </c>
      <c r="O77" s="33">
        <f>PI()*S48-S71*S72+2*S71*S73</f>
        <v>6.5634512719466773</v>
      </c>
      <c r="P77" s="11"/>
      <c r="Q77" s="11" t="s">
        <v>251</v>
      </c>
      <c r="R77" s="11" t="s">
        <v>20</v>
      </c>
      <c r="S77" s="11">
        <f>(TANH(S76*S73))/(S76*S73)</f>
        <v>0.40910679259078314</v>
      </c>
      <c r="T77" s="11"/>
      <c r="U77" s="11"/>
      <c r="V77" s="11" t="s">
        <v>259</v>
      </c>
      <c r="W77" s="11"/>
      <c r="X77" s="11" t="s">
        <v>182</v>
      </c>
      <c r="Y77" s="11">
        <f>0.021*Y52^0.4*Y75^0.8</f>
        <v>123.3614440808574</v>
      </c>
      <c r="Z77" s="11"/>
      <c r="AA77" s="11"/>
      <c r="AB77" s="11"/>
      <c r="AC77" s="11" t="s">
        <v>251</v>
      </c>
      <c r="AD77" s="11" t="s">
        <v>20</v>
      </c>
      <c r="AE77" s="11">
        <f>(TANH(AE76*AE73))/(AE76*AE73)</f>
        <v>3.3166883582513344E-2</v>
      </c>
      <c r="AF77" s="11"/>
      <c r="AG77" s="11"/>
      <c r="AH77" s="11" t="s">
        <v>260</v>
      </c>
      <c r="AI77" s="11"/>
      <c r="AJ77" s="11" t="s">
        <v>183</v>
      </c>
      <c r="AK77" s="11">
        <v>4.3600000000000003</v>
      </c>
      <c r="AL77" s="11"/>
      <c r="AM77" s="11"/>
      <c r="AN77" s="13" t="s">
        <v>204</v>
      </c>
      <c r="AO77" s="12" t="str">
        <f>IF(AE73&lt;S47/2,"b OK","CALA b")</f>
        <v>b OK</v>
      </c>
      <c r="AP77" s="11"/>
      <c r="AQ77" s="11"/>
      <c r="AR77" s="11"/>
      <c r="AS77" s="11"/>
      <c r="AT77" s="11" t="s">
        <v>177</v>
      </c>
      <c r="AU77" s="11"/>
      <c r="AV77" s="11"/>
      <c r="AW77" s="11"/>
      <c r="AX77" s="11">
        <f>(BD68-AX38)/(1/(AX68*AX70*AX67*BD65+BD70*AX71*BD65))-AX46</f>
        <v>3.2060677767731249E-4</v>
      </c>
      <c r="AY77" s="11"/>
      <c r="AZ77" s="11" t="s">
        <v>1088</v>
      </c>
      <c r="BA77" s="11"/>
      <c r="BB77" s="11"/>
      <c r="BC77" s="11" t="s">
        <v>1082</v>
      </c>
      <c r="BD77" s="11">
        <f>BD48</f>
        <v>2281.05814285713</v>
      </c>
      <c r="BE77" s="12" t="s">
        <v>1086</v>
      </c>
    </row>
    <row r="78" spans="1:57" ht="15" thickBot="1">
      <c r="A78" s="10" t="s">
        <v>261</v>
      </c>
      <c r="B78" s="11"/>
      <c r="C78" s="16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3"/>
      <c r="O78" s="11"/>
      <c r="P78" s="11"/>
      <c r="Q78" s="11" t="s">
        <v>205</v>
      </c>
      <c r="R78" s="11" t="s">
        <v>206</v>
      </c>
      <c r="S78" s="11">
        <f>1-(2*S73*S71*(1-S77))/(PI()*S48-S72*S71+2*S73*S71)</f>
        <v>0.45983308208460727</v>
      </c>
      <c r="T78" s="11"/>
      <c r="U78" s="11"/>
      <c r="V78" s="11" t="s">
        <v>262</v>
      </c>
      <c r="W78" s="11"/>
      <c r="X78" s="11" t="s">
        <v>98</v>
      </c>
      <c r="Y78" s="11">
        <f>Y77*Y42/Y72</f>
        <v>43.200391266381793</v>
      </c>
      <c r="Z78" s="11" t="s">
        <v>91</v>
      </c>
      <c r="AA78" s="11"/>
      <c r="AB78" s="11"/>
      <c r="AC78" s="11" t="s">
        <v>205</v>
      </c>
      <c r="AD78" s="11" t="s">
        <v>206</v>
      </c>
      <c r="AE78" s="11">
        <f>1-(2*AE73*AE71*(1-AE77))/(PI()*S47-AE72*AE71+2*AE73*AE71)</f>
        <v>9.1130750770034741E-2</v>
      </c>
      <c r="AF78" s="11"/>
      <c r="AG78" s="11"/>
      <c r="AH78" s="11" t="s">
        <v>263</v>
      </c>
      <c r="AI78" s="11"/>
      <c r="AJ78" s="11" t="s">
        <v>90</v>
      </c>
      <c r="AK78" s="11">
        <f>AK77*AC42/AK72</f>
        <v>29.118883778522104</v>
      </c>
      <c r="AL78" s="11" t="s">
        <v>91</v>
      </c>
      <c r="AM78" s="11"/>
      <c r="AN78" s="29" t="s">
        <v>230</v>
      </c>
      <c r="AO78" s="33" t="str">
        <f>IF(AO71&gt;AE71,"Nf OK", "CAMBIA Nf")</f>
        <v>Nf OK</v>
      </c>
      <c r="AP78" s="11"/>
      <c r="AQ78" s="11"/>
      <c r="AR78" s="11"/>
      <c r="AS78" s="11"/>
      <c r="AT78" s="11" t="s">
        <v>184</v>
      </c>
      <c r="AU78" s="11"/>
      <c r="AV78" s="11"/>
      <c r="AW78" s="11"/>
      <c r="AX78" s="11">
        <f>AX75^2+AX76^2+AX77^2</f>
        <v>6.0030250596324002E-7</v>
      </c>
      <c r="AY78" s="11"/>
      <c r="AZ78" s="11" t="s">
        <v>1089</v>
      </c>
      <c r="BA78" s="11"/>
      <c r="BB78" s="11"/>
      <c r="BC78" s="11" t="s">
        <v>1083</v>
      </c>
      <c r="BD78" s="11">
        <f>BD49</f>
        <v>289.86472544039236</v>
      </c>
      <c r="BE78" s="12" t="s">
        <v>14</v>
      </c>
    </row>
    <row r="79" spans="1:57">
      <c r="A79" s="14"/>
      <c r="B79" s="11"/>
      <c r="C79" s="16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3"/>
      <c r="O79" s="11"/>
      <c r="P79" s="11"/>
      <c r="Q79" s="11" t="s">
        <v>264</v>
      </c>
      <c r="R79" s="11" t="s">
        <v>265</v>
      </c>
      <c r="S79" s="11">
        <f>1/((1/AC55)+(LN(S48/S47)*O74/(2*PI()*S44))+(O74/(Y78*(O76+O75)*S78)))</f>
        <v>4.3692504737084334</v>
      </c>
      <c r="T79" s="11" t="s">
        <v>91</v>
      </c>
      <c r="U79" s="11"/>
      <c r="V79" s="11" t="s">
        <v>189</v>
      </c>
      <c r="W79" s="11"/>
      <c r="X79" s="11" t="s">
        <v>190</v>
      </c>
      <c r="Y79" s="11">
        <f>1/(AC55*O74)+LN(S48/S47)/(2*PI()*S44)+1/(Y78*S78*(PI()*S48+2*S71*S73-S71*S72))</f>
        <v>0.36426143122166077</v>
      </c>
      <c r="Z79" s="11" t="s">
        <v>191</v>
      </c>
      <c r="AA79" s="11"/>
      <c r="AB79" s="11"/>
      <c r="AC79" s="11" t="s">
        <v>264</v>
      </c>
      <c r="AD79" s="11" t="s">
        <v>265</v>
      </c>
      <c r="AE79" s="11">
        <f>1/((1/(AK78*AE78))+(LN(S48/S47)*AO73/(2*PI()*S44))+(AO73/(AK78*AE78*AO74)))</f>
        <v>1.1962853899698183</v>
      </c>
      <c r="AF79" s="11" t="s">
        <v>91</v>
      </c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 t="s">
        <v>242</v>
      </c>
      <c r="AU79" s="11"/>
      <c r="AV79" s="11"/>
      <c r="AW79" s="11"/>
      <c r="AX79" s="11"/>
      <c r="AY79" s="11"/>
      <c r="AZ79" s="11" t="s">
        <v>1090</v>
      </c>
      <c r="BA79" s="11"/>
      <c r="BB79" s="11"/>
      <c r="BC79" s="11" t="s">
        <v>1084</v>
      </c>
      <c r="BD79" s="11">
        <f>BD50</f>
        <v>2030.0688249608897</v>
      </c>
      <c r="BE79" s="12" t="s">
        <v>14</v>
      </c>
    </row>
    <row r="80" spans="1:57" ht="15" thickBot="1">
      <c r="A80" s="14" t="s">
        <v>266</v>
      </c>
      <c r="B80" s="11"/>
      <c r="C80" s="11">
        <f>1.272</f>
        <v>1.272</v>
      </c>
      <c r="D80" s="101" t="s">
        <v>267</v>
      </c>
      <c r="E80" s="11"/>
      <c r="F80" s="11"/>
      <c r="G80" s="11"/>
      <c r="H80" s="11"/>
      <c r="I80" s="11"/>
      <c r="J80" s="11"/>
      <c r="K80" s="11"/>
      <c r="L80" s="11"/>
      <c r="M80" s="12"/>
      <c r="N80" s="13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 t="s">
        <v>530</v>
      </c>
      <c r="BA80" s="11"/>
      <c r="BB80" s="11"/>
      <c r="BC80" s="11" t="s">
        <v>215</v>
      </c>
      <c r="BD80" s="11">
        <f>(1/((AX39+BD85)*AX69*BD88))+(LN(AX43/AX42)/(2*PI()*AX41*BD88))+(1/(AX68*AX70*AX67*BD88+BD86*AX71*BD88))</f>
        <v>2.4091230271137524E-2</v>
      </c>
      <c r="BE80" s="12" t="s">
        <v>656</v>
      </c>
    </row>
    <row r="81" spans="1:57" ht="15" thickBot="1">
      <c r="A81" s="14" t="s">
        <v>268</v>
      </c>
      <c r="B81" s="11"/>
      <c r="C81" s="26">
        <f>C80*273.15/((C66+C68)/2)</f>
        <v>0.26529550172374256</v>
      </c>
      <c r="D81" s="101" t="s">
        <v>87</v>
      </c>
      <c r="E81" s="11"/>
      <c r="F81" s="11"/>
      <c r="G81" s="11"/>
      <c r="H81" s="11"/>
      <c r="I81" s="11"/>
      <c r="J81" s="11"/>
      <c r="K81" s="11"/>
      <c r="L81" s="11"/>
      <c r="M81" s="12"/>
      <c r="N81" s="13"/>
      <c r="O81" s="11"/>
      <c r="P81" s="11"/>
      <c r="Q81" s="35" t="s">
        <v>269</v>
      </c>
      <c r="R81" s="36" t="s">
        <v>196</v>
      </c>
      <c r="S81" s="37"/>
      <c r="T81" s="11" t="s">
        <v>270</v>
      </c>
      <c r="U81" s="11">
        <f>1/(S79*O74)</f>
        <v>0.36426143122166083</v>
      </c>
      <c r="V81" s="11"/>
      <c r="W81" s="11">
        <f>S56*Y79/Z47</f>
        <v>16.382192242679004</v>
      </c>
      <c r="X81" s="11"/>
      <c r="Y81" s="11"/>
      <c r="Z81" s="11"/>
      <c r="AA81" s="11"/>
      <c r="AB81" s="11"/>
      <c r="AC81" s="11" t="s">
        <v>271</v>
      </c>
      <c r="AD81" s="11" t="s">
        <v>196</v>
      </c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 t="s">
        <v>1094</v>
      </c>
      <c r="BA81" s="11"/>
      <c r="BB81" s="11"/>
      <c r="BC81" s="11" t="s">
        <v>1030</v>
      </c>
      <c r="BD81" s="11">
        <f>BD76/BD77</f>
        <v>1.1733177446741431E-2</v>
      </c>
      <c r="BE81" s="12"/>
    </row>
    <row r="82" spans="1:57">
      <c r="A82" s="13"/>
      <c r="B82" s="15"/>
      <c r="C82" s="16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3"/>
      <c r="O82" s="11"/>
      <c r="P82" s="11"/>
      <c r="Q82" s="11"/>
      <c r="R82" s="11">
        <f>S56/(S79*(PI()*S47+2*S71*S73-S71*S72)*Z47)</f>
        <v>1.5742938970470952</v>
      </c>
      <c r="S82" s="11" t="s">
        <v>82</v>
      </c>
      <c r="T82" s="11"/>
      <c r="U82" s="11"/>
      <c r="V82" s="11"/>
      <c r="W82" s="11"/>
      <c r="X82" s="11"/>
      <c r="Y82" s="11"/>
      <c r="Z82" s="11"/>
      <c r="AA82" s="11"/>
      <c r="AB82" s="11"/>
      <c r="AC82" s="11" t="s">
        <v>81</v>
      </c>
      <c r="AD82" s="65">
        <f>S56/(AE79*AO73*Z47)</f>
        <v>4.7120800335568109</v>
      </c>
      <c r="AE82" s="11" t="s">
        <v>82</v>
      </c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 t="s">
        <v>1091</v>
      </c>
      <c r="BA82" s="11"/>
      <c r="BB82" s="11"/>
      <c r="BC82" s="11" t="s">
        <v>1029</v>
      </c>
      <c r="BD82" s="11">
        <f>(1/BD80)/BD76</f>
        <v>1.5509186809839475</v>
      </c>
      <c r="BE82" s="12"/>
    </row>
    <row r="83" spans="1:57">
      <c r="A83" s="14" t="s">
        <v>272</v>
      </c>
      <c r="B83" s="15" t="s">
        <v>115</v>
      </c>
      <c r="C83" s="11">
        <f>SQRT((4*C51)/(PI()*C53*C81))</f>
        <v>0.1039250886872488</v>
      </c>
      <c r="D83" s="11" t="s">
        <v>82</v>
      </c>
      <c r="E83" s="11">
        <f>C83*1000</f>
        <v>103.9250886872488</v>
      </c>
      <c r="F83" s="11" t="s">
        <v>273</v>
      </c>
      <c r="G83" s="11"/>
      <c r="H83" s="11"/>
      <c r="I83" s="11"/>
      <c r="J83" s="11"/>
      <c r="K83" s="11"/>
      <c r="L83" s="11"/>
      <c r="M83" s="12"/>
      <c r="N83" s="13"/>
      <c r="O83" s="11"/>
      <c r="P83" s="11"/>
      <c r="Q83" s="11" t="s">
        <v>81</v>
      </c>
      <c r="R83" s="11">
        <f>S56*Y79/Z47</f>
        <v>16.382192242679004</v>
      </c>
      <c r="S83" s="11" t="s">
        <v>82</v>
      </c>
      <c r="T83" s="11">
        <f>S56/(S79*O74*Z47)</f>
        <v>16.382192242679004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 t="s">
        <v>1092</v>
      </c>
      <c r="BA83" s="11"/>
      <c r="BB83" s="11"/>
      <c r="BC83" s="11" t="s">
        <v>1085</v>
      </c>
      <c r="BD83" s="11">
        <f>BD76*(BD79-BD78)</f>
        <v>46574.926856073966</v>
      </c>
      <c r="BE83" s="12" t="s">
        <v>140</v>
      </c>
    </row>
    <row r="84" spans="1:57">
      <c r="A84" s="14" t="s">
        <v>274</v>
      </c>
      <c r="B84" s="15" t="s">
        <v>115</v>
      </c>
      <c r="C84" s="11">
        <f>_xlfn.CEILING.MATH(C83, 0.1)</f>
        <v>0.2</v>
      </c>
      <c r="D84" s="11" t="s">
        <v>82</v>
      </c>
      <c r="E84" s="11">
        <f>C84*1000</f>
        <v>200</v>
      </c>
      <c r="F84" s="11" t="s">
        <v>273</v>
      </c>
      <c r="G84" s="11" t="s">
        <v>275</v>
      </c>
      <c r="H84" s="11"/>
      <c r="I84" s="11"/>
      <c r="J84" s="11"/>
      <c r="K84" s="11"/>
      <c r="L84" s="11"/>
      <c r="M84" s="12"/>
      <c r="N84" s="13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 t="s">
        <v>1095</v>
      </c>
      <c r="BA84" s="11"/>
      <c r="BB84" s="11"/>
      <c r="BC84" s="11" t="s">
        <v>143</v>
      </c>
      <c r="BD84" s="11">
        <f>(1-EXP(-BD82*(1-BD81)))/(1-BD81*EXP(-BD82*(1-BD81)))</f>
        <v>0.7860444657489849</v>
      </c>
      <c r="BE84" s="12"/>
    </row>
    <row r="85" spans="1:57">
      <c r="A85" s="14" t="s">
        <v>276</v>
      </c>
      <c r="B85" s="15" t="s">
        <v>154</v>
      </c>
      <c r="C85" s="11">
        <f>PI()/4*C84^2</f>
        <v>3.1415926535897934E-2</v>
      </c>
      <c r="D85" s="11" t="s">
        <v>155</v>
      </c>
      <c r="E85" s="11"/>
      <c r="F85" s="11"/>
      <c r="G85" s="11"/>
      <c r="H85" s="11"/>
      <c r="I85" s="11"/>
      <c r="J85" s="11"/>
      <c r="K85" s="11"/>
      <c r="L85" s="11"/>
      <c r="M85" s="12"/>
      <c r="N85" s="13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 t="s">
        <v>116</v>
      </c>
      <c r="BA85" s="11"/>
      <c r="BB85" s="11"/>
      <c r="BC85" s="11" t="s">
        <v>117</v>
      </c>
      <c r="BD85" s="11">
        <f>AX47*AX48*(AX37+BD89)*(AX37^2+BD89^2)</f>
        <v>113.10275578180182</v>
      </c>
      <c r="BE85" s="12" t="s">
        <v>91</v>
      </c>
    </row>
    <row r="86" spans="1:57">
      <c r="A86" s="13"/>
      <c r="B86" s="1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3"/>
      <c r="O86" s="11"/>
      <c r="P86" s="11"/>
      <c r="Q86" s="11"/>
      <c r="R86" s="11"/>
      <c r="S86" s="11"/>
      <c r="T86" s="11"/>
      <c r="U86" s="11"/>
      <c r="V86" s="11"/>
      <c r="W86" s="11"/>
      <c r="X86" s="11" t="s">
        <v>277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 t="s">
        <v>121</v>
      </c>
      <c r="BA86" s="11"/>
      <c r="BB86" s="11"/>
      <c r="BC86" s="11" t="s">
        <v>122</v>
      </c>
      <c r="BD86" s="11">
        <f>AX47*AX48*(BD90+AX38)*(BD90^2+AX38^2)</f>
        <v>11.446151761372885</v>
      </c>
      <c r="BE86" s="12" t="s">
        <v>91</v>
      </c>
    </row>
    <row r="87" spans="1:57">
      <c r="A87" s="27" t="s">
        <v>278</v>
      </c>
      <c r="B87" s="1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3"/>
      <c r="O87" s="11"/>
      <c r="P87" s="11"/>
      <c r="Q87" s="11"/>
      <c r="R87" s="11"/>
      <c r="S87" s="11"/>
      <c r="T87" s="11"/>
      <c r="U87" s="11"/>
      <c r="V87" s="11"/>
      <c r="W87" s="11"/>
      <c r="X87" s="11" t="s">
        <v>279</v>
      </c>
      <c r="Y87" s="11" t="s">
        <v>81</v>
      </c>
      <c r="Z87" s="11" t="s">
        <v>206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 t="s">
        <v>1093</v>
      </c>
      <c r="BA87" s="11"/>
      <c r="BB87" s="11"/>
      <c r="BC87" s="11" t="s">
        <v>139</v>
      </c>
      <c r="BD87" s="11">
        <f>BD84*BD83</f>
        <v>36609.963497880708</v>
      </c>
      <c r="BE87" s="12" t="s">
        <v>140</v>
      </c>
    </row>
    <row r="88" spans="1:57">
      <c r="A88" s="13"/>
      <c r="B88" s="1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3"/>
      <c r="O88" s="11"/>
      <c r="P88" s="11"/>
      <c r="Q88" s="11"/>
      <c r="R88" s="11"/>
      <c r="S88" s="11"/>
      <c r="T88" s="11"/>
      <c r="U88" s="11"/>
      <c r="V88" s="11"/>
      <c r="W88" s="11"/>
      <c r="X88" s="11">
        <v>0</v>
      </c>
      <c r="Y88" s="11">
        <v>21.94638786682987</v>
      </c>
      <c r="Z88" s="11">
        <v>1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 t="s">
        <v>271</v>
      </c>
      <c r="BA88" s="11"/>
      <c r="BB88" s="11"/>
      <c r="BC88" s="86" t="s">
        <v>81</v>
      </c>
      <c r="BD88" s="86">
        <v>0.87047816932282207</v>
      </c>
      <c r="BE88" s="87" t="s">
        <v>82</v>
      </c>
    </row>
    <row r="89" spans="1:57">
      <c r="A89" s="13" t="s">
        <v>280</v>
      </c>
      <c r="B89" s="15" t="s">
        <v>281</v>
      </c>
      <c r="C89" s="11">
        <f>4</f>
        <v>4</v>
      </c>
      <c r="D89" s="11" t="s">
        <v>273</v>
      </c>
      <c r="E89" s="11"/>
      <c r="F89" s="11"/>
      <c r="G89" s="11"/>
      <c r="H89" s="11"/>
      <c r="I89" s="11"/>
      <c r="J89" s="11"/>
      <c r="K89" s="11"/>
      <c r="L89" s="11"/>
      <c r="M89" s="12"/>
      <c r="N89" s="13"/>
      <c r="O89" s="11"/>
      <c r="P89" s="11"/>
      <c r="Q89" s="11"/>
      <c r="R89" s="11"/>
      <c r="S89" s="11"/>
      <c r="T89" s="11"/>
      <c r="U89" s="11"/>
      <c r="V89" s="11"/>
      <c r="W89" s="11"/>
      <c r="X89" s="11">
        <v>10</v>
      </c>
      <c r="Y89" s="11">
        <v>17.02363391458336</v>
      </c>
      <c r="Z89" s="11">
        <v>0.61350846731759257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 t="s">
        <v>71</v>
      </c>
      <c r="BA89" s="11"/>
      <c r="BB89" s="11"/>
      <c r="BC89" s="11" t="s">
        <v>72</v>
      </c>
      <c r="BD89" s="11">
        <v>606.05922697635617</v>
      </c>
      <c r="BE89" s="12" t="s">
        <v>14</v>
      </c>
    </row>
    <row r="90" spans="1:57">
      <c r="A90" s="13" t="s">
        <v>282</v>
      </c>
      <c r="B90" s="15" t="s">
        <v>283</v>
      </c>
      <c r="C90" s="28">
        <f>101326/287/((C46+E47)/2)</f>
        <v>1.1867009326434919</v>
      </c>
      <c r="D90" s="101" t="s">
        <v>87</v>
      </c>
      <c r="E90" s="11"/>
      <c r="F90" s="11"/>
      <c r="G90" s="11"/>
      <c r="H90" s="11"/>
      <c r="I90" s="11"/>
      <c r="J90" s="11"/>
      <c r="K90" s="11"/>
      <c r="L90" s="11"/>
      <c r="M90" s="12"/>
      <c r="N90" s="13"/>
      <c r="O90" s="11"/>
      <c r="P90" s="11"/>
      <c r="Q90" s="11"/>
      <c r="R90" s="11"/>
      <c r="S90" s="11"/>
      <c r="T90" s="11"/>
      <c r="U90" s="11"/>
      <c r="V90" s="11"/>
      <c r="W90" s="11"/>
      <c r="X90" s="11">
        <v>20</v>
      </c>
      <c r="Y90" s="11">
        <v>16.554559768784866</v>
      </c>
      <c r="Z90" s="11">
        <v>0.51140148471927449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 t="s">
        <v>108</v>
      </c>
      <c r="BA90" s="11"/>
      <c r="BB90" s="11"/>
      <c r="BC90" s="11" t="s">
        <v>109</v>
      </c>
      <c r="BD90" s="11">
        <f>BD89-AX46*LN(AX43/AX42)/(2*PI()*AX41*BD88)</f>
        <v>600.7875581429181</v>
      </c>
      <c r="BE90" s="12" t="s">
        <v>14</v>
      </c>
    </row>
    <row r="91" spans="1:57">
      <c r="A91" s="13"/>
      <c r="B91" s="1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3"/>
      <c r="O91" s="11"/>
      <c r="P91" s="11"/>
      <c r="Q91" s="11"/>
      <c r="R91" s="11"/>
      <c r="S91" s="11"/>
      <c r="T91" s="11"/>
      <c r="U91" s="11"/>
      <c r="V91" s="11"/>
      <c r="W91" s="11"/>
      <c r="X91" s="11">
        <v>30</v>
      </c>
      <c r="Y91" s="11">
        <v>16.382192242679004</v>
      </c>
      <c r="Z91" s="11">
        <v>0.45983308208460727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2"/>
    </row>
    <row r="92" spans="1:57">
      <c r="A92" s="13" t="s">
        <v>284</v>
      </c>
      <c r="B92" s="15" t="s">
        <v>120</v>
      </c>
      <c r="C92" s="11">
        <f>E84+2*C89</f>
        <v>208</v>
      </c>
      <c r="D92" s="11" t="s">
        <v>273</v>
      </c>
      <c r="E92" s="11">
        <f>C92*10^-3</f>
        <v>0.20800000000000002</v>
      </c>
      <c r="F92" s="11" t="s">
        <v>82</v>
      </c>
      <c r="G92" s="11" t="s">
        <v>285</v>
      </c>
      <c r="H92" s="11"/>
      <c r="I92" s="11"/>
      <c r="J92" s="11"/>
      <c r="K92" s="11"/>
      <c r="L92" s="11"/>
      <c r="M92" s="12"/>
      <c r="N92" s="13"/>
      <c r="O92" s="11"/>
      <c r="P92" s="11"/>
      <c r="Q92" s="11"/>
      <c r="R92" s="11"/>
      <c r="S92" s="11"/>
      <c r="T92" s="11"/>
      <c r="U92" s="11"/>
      <c r="V92" s="11"/>
      <c r="W92" s="11"/>
      <c r="X92" s="11">
        <v>40</v>
      </c>
      <c r="Y92" s="11">
        <v>16.293101990241205</v>
      </c>
      <c r="Z92" s="11">
        <v>0.42677746993537025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2"/>
    </row>
    <row r="93" spans="1:57">
      <c r="A93" s="13" t="s">
        <v>286</v>
      </c>
      <c r="B93" s="15" t="s">
        <v>149</v>
      </c>
      <c r="C93" s="28">
        <f>SQRT((4*C55)/(C90*C54*PI())+(C92*0.001)^2)*1000</f>
        <v>453.44497615349218</v>
      </c>
      <c r="D93" s="11" t="s">
        <v>273</v>
      </c>
      <c r="E93" s="11"/>
      <c r="F93" s="11"/>
      <c r="G93" s="11"/>
      <c r="H93" s="11"/>
      <c r="I93" s="11"/>
      <c r="J93" s="11"/>
      <c r="K93" s="11"/>
      <c r="L93" s="11"/>
      <c r="M93" s="12"/>
      <c r="N93" s="13"/>
      <c r="O93" s="11"/>
      <c r="P93" s="11"/>
      <c r="Q93" s="11"/>
      <c r="R93" s="11"/>
      <c r="S93" s="11"/>
      <c r="T93" s="11"/>
      <c r="U93" s="11"/>
      <c r="V93" s="11"/>
      <c r="W93" s="11"/>
      <c r="X93" s="11">
        <v>50</v>
      </c>
      <c r="Y93" s="11">
        <v>16.238843632746669</v>
      </c>
      <c r="Z93" s="11">
        <v>0.40272758697857935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2"/>
    </row>
    <row r="94" spans="1:57">
      <c r="A94" s="13" t="s">
        <v>287</v>
      </c>
      <c r="B94" s="15" t="s">
        <v>149</v>
      </c>
      <c r="C94" s="11">
        <f>_xlfn.CEILING.MATH(C93,10)</f>
        <v>460</v>
      </c>
      <c r="D94" s="11" t="s">
        <v>273</v>
      </c>
      <c r="E94" s="11">
        <f>C94*10^-3</f>
        <v>0.46</v>
      </c>
      <c r="F94" s="11" t="s">
        <v>82</v>
      </c>
      <c r="G94" s="11" t="s">
        <v>288</v>
      </c>
      <c r="H94" s="11"/>
      <c r="I94" s="11"/>
      <c r="J94" s="11"/>
      <c r="K94" s="11"/>
      <c r="L94" s="11"/>
      <c r="M94" s="12"/>
      <c r="N94" s="13"/>
      <c r="O94" s="11"/>
      <c r="P94" s="11"/>
      <c r="Q94" s="11"/>
      <c r="R94" s="11"/>
      <c r="S94" s="11"/>
      <c r="T94" s="11"/>
      <c r="U94" s="11"/>
      <c r="V94" s="11"/>
      <c r="W94" s="11"/>
      <c r="X94" s="11">
        <v>60</v>
      </c>
      <c r="Y94" s="11">
        <v>16.202408916069597</v>
      </c>
      <c r="Z94" s="11">
        <v>0.38380276527188839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2"/>
    </row>
    <row r="95" spans="1:57">
      <c r="A95" s="13" t="s">
        <v>158</v>
      </c>
      <c r="B95" s="15" t="s">
        <v>289</v>
      </c>
      <c r="C95" s="11">
        <f>PI()/4*(C94^2-C92^2)*10^(-6)</f>
        <v>0.13221078523367286</v>
      </c>
      <c r="D95" s="11" t="s">
        <v>155</v>
      </c>
      <c r="E95" s="11"/>
      <c r="F95" s="11"/>
      <c r="G95" s="11"/>
      <c r="H95" s="11"/>
      <c r="I95" s="11"/>
      <c r="J95" s="11"/>
      <c r="K95" s="11"/>
      <c r="L95" s="11"/>
      <c r="M95" s="12"/>
      <c r="N95" s="13"/>
      <c r="O95" s="11"/>
      <c r="P95" s="11"/>
      <c r="Q95" s="11"/>
      <c r="R95" s="11"/>
      <c r="S95" s="11"/>
      <c r="T95" s="11"/>
      <c r="U95" s="11"/>
      <c r="V95" s="11"/>
      <c r="W95" s="11"/>
      <c r="X95" s="11">
        <v>70</v>
      </c>
      <c r="Y95" s="11">
        <v>16.176296471484918</v>
      </c>
      <c r="Z95" s="11">
        <v>0.3681013738793848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2"/>
    </row>
    <row r="96" spans="1:57">
      <c r="A96" s="13"/>
      <c r="B96" s="1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3"/>
      <c r="O96" s="11"/>
      <c r="P96" s="11"/>
      <c r="Q96" s="11"/>
      <c r="R96" s="11"/>
      <c r="S96" s="11"/>
      <c r="T96" s="11"/>
      <c r="U96" s="11"/>
      <c r="V96" s="11"/>
      <c r="W96" s="11"/>
      <c r="X96" s="11">
        <v>80</v>
      </c>
      <c r="Y96" s="11">
        <v>16.156687761674295</v>
      </c>
      <c r="Z96" s="11">
        <v>0.35457231094866426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2"/>
    </row>
    <row r="97" spans="1:57">
      <c r="A97" s="10" t="s">
        <v>290</v>
      </c>
      <c r="B97" s="15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3"/>
      <c r="O97" s="11"/>
      <c r="P97" s="11"/>
      <c r="Q97" s="11"/>
      <c r="R97" s="11"/>
      <c r="S97" s="11"/>
      <c r="T97" s="11"/>
      <c r="U97" s="11"/>
      <c r="V97" s="11"/>
      <c r="W97" s="11"/>
      <c r="X97" s="11">
        <v>90</v>
      </c>
      <c r="Y97" s="11">
        <v>16.141435910474982</v>
      </c>
      <c r="Z97" s="11">
        <v>0.34258241246870658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2"/>
    </row>
    <row r="98" spans="1:57">
      <c r="A98" s="13"/>
      <c r="B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3"/>
      <c r="O98" s="11"/>
      <c r="P98" s="11"/>
      <c r="Q98" s="11"/>
      <c r="R98" s="11"/>
      <c r="S98" s="11"/>
      <c r="T98" s="11"/>
      <c r="U98" s="11"/>
      <c r="V98" s="11"/>
      <c r="W98" s="11"/>
      <c r="X98" s="11">
        <v>100</v>
      </c>
      <c r="Y98" s="11">
        <v>16.129242159845376</v>
      </c>
      <c r="Z98" s="11">
        <v>0.33172471096349254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2"/>
    </row>
    <row r="99" spans="1:57">
      <c r="A99" s="13" t="s">
        <v>291</v>
      </c>
      <c r="B99" s="15" t="s">
        <v>135</v>
      </c>
      <c r="C99" s="28">
        <f>C55/(C90*C95)</f>
        <v>14.466455161003086</v>
      </c>
      <c r="D99" s="11" t="s">
        <v>130</v>
      </c>
      <c r="E99" s="11"/>
      <c r="F99" s="11"/>
      <c r="G99" s="11"/>
      <c r="H99" s="11"/>
      <c r="I99" s="11"/>
      <c r="J99" s="11"/>
      <c r="K99" s="11"/>
      <c r="L99" s="11"/>
      <c r="M99" s="12"/>
      <c r="N99" s="13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2"/>
    </row>
    <row r="100" spans="1:57" ht="15" thickBot="1">
      <c r="A100" s="29" t="s">
        <v>292</v>
      </c>
      <c r="B100" s="30" t="s">
        <v>293</v>
      </c>
      <c r="C100" s="31">
        <f>C51/(C81*C85)</f>
        <v>2.7001060146631315</v>
      </c>
      <c r="D100" s="32" t="s">
        <v>130</v>
      </c>
      <c r="E100" s="32"/>
      <c r="F100" s="32"/>
      <c r="G100" s="32"/>
      <c r="H100" s="32"/>
      <c r="I100" s="32"/>
      <c r="J100" s="32"/>
      <c r="K100" s="32"/>
      <c r="L100" s="32"/>
      <c r="M100" s="33"/>
      <c r="N100" s="29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3"/>
    </row>
    <row r="101" spans="1:57" ht="15" thickBot="1">
      <c r="B101" s="1"/>
    </row>
    <row r="102" spans="1:57" ht="15" thickBot="1">
      <c r="A102" s="232" t="s">
        <v>294</v>
      </c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AT102" t="s">
        <v>295</v>
      </c>
    </row>
    <row r="103" spans="1:57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AU103" t="s">
        <v>296</v>
      </c>
      <c r="AV103" t="s">
        <v>70</v>
      </c>
      <c r="AW103" t="s">
        <v>72</v>
      </c>
      <c r="AX103" t="s">
        <v>109</v>
      </c>
      <c r="AY103" t="s">
        <v>79</v>
      </c>
      <c r="AZ103" t="s">
        <v>297</v>
      </c>
      <c r="BA103" t="s">
        <v>298</v>
      </c>
      <c r="BB103" t="s">
        <v>299</v>
      </c>
      <c r="BC103" t="s">
        <v>300</v>
      </c>
    </row>
    <row r="104" spans="1:57">
      <c r="A104" s="38" t="s">
        <v>301</v>
      </c>
      <c r="B104" s="15"/>
      <c r="C104" s="11"/>
      <c r="D104" s="11"/>
      <c r="E104" s="11"/>
      <c r="F104" s="11"/>
      <c r="G104" s="11"/>
      <c r="H104" s="11"/>
      <c r="I104" s="11"/>
      <c r="J104" s="11"/>
      <c r="K104" s="12"/>
      <c r="AU104" s="77">
        <v>0.90192068032270045</v>
      </c>
      <c r="AV104">
        <f>$AC$37</f>
        <v>1309.6595974770926</v>
      </c>
      <c r="AW104">
        <v>921.71782017463693</v>
      </c>
      <c r="AX104">
        <f>AW104-36610*(LN(S48/S47)/(2*PI()*S44*AU104))</f>
        <v>916.62993081194327</v>
      </c>
      <c r="AY104">
        <f>$Y$37</f>
        <v>297.50736272019617</v>
      </c>
      <c r="AZ104">
        <f>(AV104-AW104)/(1/((AC55+0.5*(5.67*10^-8)*(AV104+AW104)*(AV104^2+AW104^2))*O74*AU104))-36610</f>
        <v>40.451383927742427</v>
      </c>
      <c r="BA104">
        <f>(AW104-AX104)/(LN(S48/S47)/(2*PI()*S44*AU104))-36610</f>
        <v>-1.0913936421275139E-10</v>
      </c>
      <c r="BB104">
        <f>(AX104-AY104)/(1/((O77*AU104*Y78*S78+O75*AU104*0.5*(5.67*10^-8)*(AX104+AY104)*(AX104^2+AY104^2))))-36610</f>
        <v>46253.563547782411</v>
      </c>
      <c r="BC104">
        <f>AZ104^2+BA104^2+BB104^2</f>
        <v>2139393777.1832075</v>
      </c>
    </row>
    <row r="105" spans="1:57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2"/>
    </row>
    <row r="106" spans="1:57">
      <c r="A106" s="10" t="s">
        <v>302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2"/>
    </row>
    <row r="107" spans="1:57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2"/>
    </row>
    <row r="108" spans="1:57">
      <c r="A108" s="39" t="s">
        <v>303</v>
      </c>
      <c r="B108" s="11"/>
      <c r="C108" s="11"/>
      <c r="D108" s="11"/>
      <c r="E108" s="11"/>
      <c r="F108" s="11" t="s">
        <v>304</v>
      </c>
      <c r="G108" s="11"/>
      <c r="H108" s="11" t="s">
        <v>305</v>
      </c>
      <c r="I108" s="11"/>
      <c r="J108" s="11"/>
      <c r="K108" s="12"/>
    </row>
    <row r="109" spans="1:57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AU109" t="s">
        <v>81</v>
      </c>
      <c r="AV109" t="s">
        <v>72</v>
      </c>
      <c r="AW109" t="s">
        <v>109</v>
      </c>
      <c r="AX109" t="s">
        <v>306</v>
      </c>
      <c r="AY109" t="s">
        <v>307</v>
      </c>
      <c r="AZ109" t="s">
        <v>308</v>
      </c>
      <c r="BA109" t="s">
        <v>309</v>
      </c>
    </row>
    <row r="110" spans="1:57">
      <c r="A110" s="13" t="s">
        <v>310</v>
      </c>
      <c r="B110" s="25" t="s">
        <v>311</v>
      </c>
      <c r="C110" s="11">
        <v>9</v>
      </c>
      <c r="D110" s="11" t="s">
        <v>130</v>
      </c>
      <c r="E110" s="11"/>
      <c r="F110" s="11" t="s">
        <v>312</v>
      </c>
      <c r="G110" s="11"/>
      <c r="H110" s="16">
        <v>1.3</v>
      </c>
      <c r="I110" s="11"/>
      <c r="J110" s="11"/>
      <c r="K110" s="12"/>
      <c r="AU110">
        <v>1.2329858825389355</v>
      </c>
      <c r="AV110">
        <v>1070.4189226178587</v>
      </c>
      <c r="AW110">
        <f>AV110-36610*(LN(S48/S47)/(2*PI()*S44*AU110))</f>
        <v>1066.6971665942147</v>
      </c>
      <c r="AX110">
        <f>(AV104-AV110)/(1/((AC55+0.5*(5.67*10^-8)*(AV104+AV110)*(AV104^2+AV110^2))*O74*AU110))-36610</f>
        <v>-2.8492044533413718</v>
      </c>
      <c r="AY110">
        <f>(AV110-AW110)/(LN(S48/S47)/(2*PI()*S44*AU110))-36610</f>
        <v>3.7107383832335472E-10</v>
      </c>
      <c r="AZ110">
        <f>(AW110-AY104)/(1/((O77*AU110*Y78*S78+O75*AU110*0.5*(5.67*10^-8)*(AW110+AY104)*(AW110^2+AY104^2))))-36610</f>
        <v>112390.25633243719</v>
      </c>
      <c r="BA110">
        <f>AX110^2+AY110^2+AZ110^2</f>
        <v>12631569726.588903</v>
      </c>
    </row>
    <row r="111" spans="1:57">
      <c r="A111" s="13"/>
      <c r="B111" s="25"/>
      <c r="C111" s="11"/>
      <c r="D111" s="11"/>
      <c r="E111" s="11"/>
      <c r="F111" s="11" t="s">
        <v>313</v>
      </c>
      <c r="G111" s="11"/>
      <c r="H111" s="11">
        <v>1.4</v>
      </c>
      <c r="I111" s="11"/>
      <c r="J111" s="11"/>
      <c r="K111" s="12"/>
    </row>
    <row r="112" spans="1:57">
      <c r="A112" s="13" t="s">
        <v>314</v>
      </c>
      <c r="B112" s="25" t="s">
        <v>315</v>
      </c>
      <c r="C112" s="23">
        <f>SQRT(4*C55/(PI()*C110*C90))*1000</f>
        <v>520.17360307055344</v>
      </c>
      <c r="D112" s="11" t="s">
        <v>273</v>
      </c>
      <c r="E112" s="11"/>
      <c r="F112" s="11" t="s">
        <v>316</v>
      </c>
      <c r="G112" s="11"/>
      <c r="H112" s="11">
        <v>0.4</v>
      </c>
      <c r="I112" s="11"/>
      <c r="J112" s="11"/>
      <c r="K112" s="12"/>
    </row>
    <row r="113" spans="1:11">
      <c r="A113" s="13" t="s">
        <v>317</v>
      </c>
      <c r="B113" s="25" t="s">
        <v>318</v>
      </c>
      <c r="C113" s="28">
        <f>101326/287/(E12)</f>
        <v>1.3315190073858663</v>
      </c>
      <c r="D113" s="23" t="s">
        <v>87</v>
      </c>
      <c r="E113" s="11"/>
      <c r="F113" s="11" t="s">
        <v>319</v>
      </c>
      <c r="G113" s="11"/>
      <c r="H113" s="11">
        <v>1.4</v>
      </c>
      <c r="I113" s="11"/>
      <c r="J113" s="11"/>
      <c r="K113" s="12"/>
    </row>
    <row r="114" spans="1:11">
      <c r="A114" s="13" t="s">
        <v>320</v>
      </c>
      <c r="B114" s="25" t="s">
        <v>321</v>
      </c>
      <c r="C114" s="28">
        <f>SQRT(4*C34/(PI()*C110*C113))*1000</f>
        <v>109.18338332008082</v>
      </c>
      <c r="D114" s="11"/>
      <c r="E114" s="11"/>
      <c r="F114" s="11"/>
      <c r="G114" s="11"/>
      <c r="H114" s="11"/>
      <c r="I114" s="11"/>
      <c r="J114" s="11"/>
      <c r="K114" s="12"/>
    </row>
    <row r="115" spans="1:11">
      <c r="A115" s="13" t="s">
        <v>322</v>
      </c>
      <c r="B115" s="25" t="s">
        <v>323</v>
      </c>
      <c r="C115" s="28">
        <f>101326/287/(E45)</f>
        <v>1.212612965166967</v>
      </c>
      <c r="D115" s="11" t="s">
        <v>87</v>
      </c>
      <c r="E115" s="11"/>
      <c r="F115" s="11"/>
      <c r="G115" s="11"/>
      <c r="H115" s="11"/>
      <c r="I115" s="11"/>
      <c r="J115" s="11"/>
      <c r="K115" s="12"/>
    </row>
    <row r="116" spans="1:11">
      <c r="A116" s="13" t="s">
        <v>324</v>
      </c>
      <c r="B116" s="25" t="s">
        <v>325</v>
      </c>
      <c r="C116" s="28">
        <f>SQRT(4*C36/(PI()*C110*C115))*1000</f>
        <v>501.70573884580602</v>
      </c>
      <c r="D116" s="11" t="s">
        <v>273</v>
      </c>
      <c r="E116" s="11"/>
      <c r="F116" s="11"/>
      <c r="G116" s="11"/>
      <c r="H116" s="11"/>
      <c r="I116" s="11"/>
      <c r="J116" s="11"/>
      <c r="K116" s="12"/>
    </row>
    <row r="117" spans="1:11">
      <c r="A117" s="13"/>
      <c r="B117" s="25"/>
      <c r="C117" s="11"/>
      <c r="D117" s="11"/>
      <c r="E117" s="11"/>
      <c r="F117" s="11"/>
      <c r="G117" s="11"/>
      <c r="H117" s="11"/>
      <c r="I117" s="11"/>
      <c r="J117" s="11"/>
      <c r="K117" s="12"/>
    </row>
    <row r="118" spans="1:11">
      <c r="A118" s="13" t="s">
        <v>326</v>
      </c>
      <c r="B118" s="25" t="s">
        <v>327</v>
      </c>
      <c r="C118" s="28">
        <f>(H111+H110+H110+H113)*C90*C110^2*0.5</f>
        <v>259.5314939691317</v>
      </c>
      <c r="D118" s="11" t="s">
        <v>328</v>
      </c>
      <c r="E118" s="11"/>
      <c r="F118" s="11"/>
      <c r="G118" s="11"/>
      <c r="H118" s="11"/>
      <c r="I118" s="11"/>
      <c r="J118" s="11"/>
      <c r="K118" s="12"/>
    </row>
    <row r="119" spans="1:11">
      <c r="A119" s="13" t="s">
        <v>329</v>
      </c>
      <c r="B119" s="25" t="s">
        <v>330</v>
      </c>
      <c r="C119" s="11">
        <f>H112*C113*C110^2*0.5</f>
        <v>21.570607919651032</v>
      </c>
      <c r="D119" s="11" t="s">
        <v>328</v>
      </c>
      <c r="E119" s="11"/>
      <c r="F119" s="11"/>
      <c r="G119" s="11"/>
      <c r="H119" s="11"/>
      <c r="I119" s="11"/>
      <c r="J119" s="11"/>
      <c r="K119" s="12"/>
    </row>
    <row r="120" spans="1:11">
      <c r="A120" s="13" t="s">
        <v>331</v>
      </c>
      <c r="B120" s="25" t="s">
        <v>332</v>
      </c>
      <c r="C120" s="11">
        <f>H112*C115*C110^2*0.5</f>
        <v>19.644330035704865</v>
      </c>
      <c r="D120" s="11" t="s">
        <v>328</v>
      </c>
      <c r="E120" s="11"/>
      <c r="F120" s="11"/>
      <c r="G120" s="11"/>
      <c r="H120" s="11"/>
      <c r="I120" s="11"/>
      <c r="J120" s="11"/>
      <c r="K120" s="12"/>
    </row>
    <row r="121" spans="1:11">
      <c r="A121" s="13"/>
      <c r="B121" s="25"/>
      <c r="C121" s="11"/>
      <c r="D121" s="11"/>
      <c r="E121" s="11"/>
      <c r="F121" s="11"/>
      <c r="G121" s="11"/>
      <c r="H121" s="11"/>
      <c r="I121" s="11"/>
      <c r="J121" s="11"/>
      <c r="K121" s="12"/>
    </row>
    <row r="122" spans="1:11" ht="28.8">
      <c r="A122" s="14" t="s">
        <v>333</v>
      </c>
      <c r="B122" s="40" t="s">
        <v>334</v>
      </c>
      <c r="C122" s="41">
        <f>C118+C119+C120</f>
        <v>300.74643192448758</v>
      </c>
      <c r="D122" s="42" t="s">
        <v>328</v>
      </c>
      <c r="E122" s="11"/>
      <c r="F122" s="11"/>
      <c r="G122" s="11"/>
      <c r="H122" s="11"/>
      <c r="I122" s="11"/>
      <c r="J122" s="11"/>
      <c r="K122" s="12"/>
    </row>
    <row r="123" spans="1:11">
      <c r="A123" s="13"/>
      <c r="B123" s="25"/>
      <c r="C123" s="11"/>
      <c r="D123" s="11"/>
      <c r="E123" s="11"/>
      <c r="F123" s="11"/>
      <c r="G123" s="11"/>
      <c r="H123" s="11"/>
      <c r="I123" s="11"/>
      <c r="J123" s="11"/>
      <c r="K123" s="12"/>
    </row>
    <row r="124" spans="1:11">
      <c r="A124" s="39" t="s">
        <v>335</v>
      </c>
      <c r="B124" s="25"/>
      <c r="C124" s="11"/>
      <c r="D124" s="11"/>
      <c r="E124" s="11"/>
      <c r="F124" s="11" t="s">
        <v>304</v>
      </c>
      <c r="G124" s="11"/>
      <c r="H124" s="11" t="s">
        <v>305</v>
      </c>
      <c r="I124" s="11"/>
      <c r="J124" s="11"/>
      <c r="K124" s="12"/>
    </row>
    <row r="125" spans="1:11">
      <c r="A125" s="13"/>
      <c r="B125" s="25"/>
      <c r="C125" s="11"/>
      <c r="D125" s="11"/>
      <c r="E125" s="11"/>
      <c r="F125" s="11"/>
      <c r="G125" s="11"/>
      <c r="H125" s="11"/>
      <c r="I125" s="11"/>
      <c r="J125" s="11"/>
      <c r="K125" s="12"/>
    </row>
    <row r="126" spans="1:11">
      <c r="A126" s="13" t="s">
        <v>310</v>
      </c>
      <c r="B126" s="25" t="s">
        <v>311</v>
      </c>
      <c r="C126" s="11">
        <v>9</v>
      </c>
      <c r="D126" s="11" t="s">
        <v>130</v>
      </c>
      <c r="E126" s="11"/>
      <c r="F126" s="11" t="s">
        <v>312</v>
      </c>
      <c r="G126" s="11"/>
      <c r="H126" s="16">
        <v>1.3</v>
      </c>
      <c r="I126" s="11"/>
      <c r="J126" s="11"/>
      <c r="K126" s="12"/>
    </row>
    <row r="127" spans="1:11">
      <c r="A127" s="13" t="s">
        <v>282</v>
      </c>
      <c r="B127" s="25" t="s">
        <v>283</v>
      </c>
      <c r="C127" s="23">
        <f>101326/287/(E47)</f>
        <v>1.1569794029440026</v>
      </c>
      <c r="D127" s="11" t="s">
        <v>87</v>
      </c>
      <c r="E127" s="11"/>
      <c r="F127" s="11"/>
      <c r="G127" s="11"/>
      <c r="H127" s="16"/>
      <c r="I127" s="11"/>
      <c r="J127" s="11"/>
      <c r="K127" s="12"/>
    </row>
    <row r="128" spans="1:11">
      <c r="A128" s="13"/>
      <c r="B128" s="25"/>
      <c r="C128" s="23"/>
      <c r="D128" s="11"/>
      <c r="E128" s="11"/>
      <c r="F128" s="11" t="s">
        <v>313</v>
      </c>
      <c r="G128" s="11"/>
      <c r="H128" s="11">
        <v>1.4</v>
      </c>
      <c r="I128" s="11"/>
      <c r="J128" s="11"/>
      <c r="K128" s="12"/>
    </row>
    <row r="129" spans="1:11">
      <c r="A129" s="13" t="s">
        <v>314</v>
      </c>
      <c r="B129" s="25" t="s">
        <v>315</v>
      </c>
      <c r="C129" s="23">
        <f>SQRT(2*C55/(PI()*C110*C127))*1000</f>
        <v>372.5127481568702</v>
      </c>
      <c r="D129" s="11" t="s">
        <v>273</v>
      </c>
      <c r="E129" s="11"/>
      <c r="F129" s="11" t="s">
        <v>336</v>
      </c>
      <c r="G129" s="11"/>
      <c r="H129" s="11">
        <v>0.6</v>
      </c>
      <c r="I129" s="11"/>
      <c r="J129" s="11"/>
      <c r="K129" s="12"/>
    </row>
    <row r="130" spans="1:11">
      <c r="A130" s="13" t="s">
        <v>337</v>
      </c>
      <c r="B130" s="25" t="s">
        <v>338</v>
      </c>
      <c r="C130" s="23">
        <f>SQRT(C55/(PI()*C110*C127))*1000</f>
        <v>263.40629030015947</v>
      </c>
      <c r="D130" s="11" t="s">
        <v>273</v>
      </c>
      <c r="E130" s="11"/>
      <c r="F130" s="11"/>
      <c r="G130" s="11"/>
      <c r="H130" s="11"/>
      <c r="I130" s="11"/>
      <c r="J130" s="11"/>
      <c r="K130" s="12"/>
    </row>
    <row r="131" spans="1:11">
      <c r="A131" s="13"/>
      <c r="B131" s="25"/>
      <c r="C131" s="23"/>
      <c r="D131" s="11"/>
      <c r="E131" s="11"/>
      <c r="F131" s="11"/>
      <c r="G131" s="11"/>
      <c r="H131" s="11"/>
      <c r="I131" s="11"/>
      <c r="J131" s="11"/>
      <c r="K131" s="12"/>
    </row>
    <row r="132" spans="1:11">
      <c r="A132" s="13"/>
      <c r="B132" s="25"/>
      <c r="C132" s="23"/>
      <c r="D132" s="11"/>
      <c r="E132" s="11"/>
      <c r="F132" s="11"/>
      <c r="G132" s="11"/>
      <c r="H132" s="11"/>
      <c r="I132" s="11"/>
      <c r="J132" s="11"/>
      <c r="K132" s="12"/>
    </row>
    <row r="133" spans="1:11" ht="28.8">
      <c r="A133" s="14" t="s">
        <v>339</v>
      </c>
      <c r="B133" s="43" t="s">
        <v>340</v>
      </c>
      <c r="C133" s="44">
        <f>(H126+H128+H129)*C127*C126^2*0.5</f>
        <v>154.63029720346597</v>
      </c>
      <c r="D133" s="42" t="s">
        <v>328</v>
      </c>
      <c r="E133" s="11"/>
      <c r="F133" s="11"/>
      <c r="G133" s="11"/>
      <c r="H133" s="11"/>
      <c r="I133" s="11"/>
      <c r="J133" s="11"/>
      <c r="K133" s="12"/>
    </row>
    <row r="134" spans="1:11">
      <c r="A134" s="13"/>
      <c r="B134" s="25"/>
      <c r="C134" s="11"/>
      <c r="D134" s="11"/>
      <c r="E134" s="11"/>
      <c r="F134" s="11"/>
      <c r="G134" s="11"/>
      <c r="H134" s="11"/>
      <c r="I134" s="11"/>
      <c r="J134" s="11"/>
      <c r="K134" s="12"/>
    </row>
    <row r="135" spans="1:11">
      <c r="A135" s="13"/>
      <c r="B135" s="25"/>
      <c r="C135" s="11"/>
      <c r="D135" s="11"/>
      <c r="E135" s="11"/>
      <c r="F135" s="11"/>
      <c r="G135" s="11"/>
      <c r="H135" s="11"/>
      <c r="I135" s="11"/>
      <c r="J135" s="11"/>
      <c r="K135" s="12"/>
    </row>
    <row r="136" spans="1:11" ht="28.8">
      <c r="A136" s="14" t="s">
        <v>341</v>
      </c>
      <c r="B136" s="43" t="s">
        <v>342</v>
      </c>
      <c r="C136" s="41">
        <f>C133+C122</f>
        <v>455.37672912795358</v>
      </c>
      <c r="D136" s="42" t="s">
        <v>328</v>
      </c>
      <c r="E136" s="11"/>
      <c r="F136" s="11"/>
      <c r="G136" s="11"/>
      <c r="H136" s="11"/>
      <c r="I136" s="11"/>
      <c r="J136" s="11"/>
      <c r="K136" s="12"/>
    </row>
    <row r="137" spans="1:11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2"/>
    </row>
    <row r="138" spans="1:11">
      <c r="A138" s="13" t="s">
        <v>147</v>
      </c>
      <c r="B138" s="15" t="s">
        <v>42</v>
      </c>
      <c r="C138" s="11">
        <f>C31</f>
        <v>8.4127268632776774E-4</v>
      </c>
      <c r="D138" s="11" t="s">
        <v>43</v>
      </c>
      <c r="E138" s="11"/>
      <c r="F138" s="11"/>
      <c r="G138" s="11"/>
      <c r="H138" s="11"/>
      <c r="I138" s="11"/>
      <c r="J138" s="11"/>
      <c r="K138" s="12"/>
    </row>
    <row r="139" spans="1:11">
      <c r="A139" s="13" t="s">
        <v>151</v>
      </c>
      <c r="B139" s="15" t="s">
        <v>152</v>
      </c>
      <c r="C139" s="11">
        <f>C50</f>
        <v>2.1662771672940017E-2</v>
      </c>
      <c r="D139" s="11" t="s">
        <v>43</v>
      </c>
      <c r="E139" s="11"/>
      <c r="F139" s="11"/>
      <c r="G139" s="11"/>
      <c r="H139" s="11"/>
      <c r="I139" s="11"/>
      <c r="J139" s="11"/>
      <c r="K139" s="12"/>
    </row>
    <row r="140" spans="1:11">
      <c r="A140" s="13" t="s">
        <v>110</v>
      </c>
      <c r="B140" s="15" t="s">
        <v>48</v>
      </c>
      <c r="C140" s="11">
        <f>C51</f>
        <v>2.2504044359267783E-2</v>
      </c>
      <c r="D140" s="11" t="s">
        <v>43</v>
      </c>
      <c r="E140" s="11"/>
      <c r="F140" s="11"/>
      <c r="G140" s="11"/>
      <c r="H140" s="11"/>
      <c r="I140" s="11"/>
      <c r="J140" s="11"/>
      <c r="K140" s="12"/>
    </row>
    <row r="141" spans="1:11">
      <c r="A141" s="13" t="s">
        <v>100</v>
      </c>
      <c r="B141" s="15" t="s">
        <v>65</v>
      </c>
      <c r="C141" s="11">
        <f>C37</f>
        <v>2.2697095948827162</v>
      </c>
      <c r="D141" s="11" t="s">
        <v>43</v>
      </c>
      <c r="E141" s="11"/>
      <c r="F141" s="11"/>
      <c r="G141" s="11"/>
      <c r="H141" s="11"/>
      <c r="I141" s="11"/>
      <c r="J141" s="11"/>
      <c r="K141" s="12"/>
    </row>
    <row r="142" spans="1:11">
      <c r="A142" s="13" t="s">
        <v>49</v>
      </c>
      <c r="B142" s="15" t="s">
        <v>50</v>
      </c>
      <c r="C142" s="11">
        <f>C34</f>
        <v>0.11220000000000001</v>
      </c>
      <c r="D142" s="11" t="s">
        <v>43</v>
      </c>
      <c r="E142" s="11"/>
      <c r="F142" s="11"/>
      <c r="G142" s="11"/>
      <c r="H142" s="11"/>
      <c r="I142" s="11"/>
      <c r="J142" s="11"/>
      <c r="K142" s="12"/>
    </row>
    <row r="143" spans="1:11">
      <c r="A143" s="13" t="s">
        <v>52</v>
      </c>
      <c r="B143" s="15" t="s">
        <v>53</v>
      </c>
      <c r="C143" s="11">
        <f>C35</f>
        <v>9.0537228327059988E-2</v>
      </c>
      <c r="D143" s="11" t="s">
        <v>43</v>
      </c>
      <c r="E143" s="11">
        <f>C143+C144+C139</f>
        <v>2.2697095948827157</v>
      </c>
      <c r="F143" s="11"/>
      <c r="G143" s="11"/>
      <c r="H143" s="11"/>
      <c r="I143" s="11"/>
      <c r="J143" s="11"/>
      <c r="K143" s="12"/>
    </row>
    <row r="144" spans="1:11">
      <c r="A144" s="13" t="s">
        <v>56</v>
      </c>
      <c r="B144" s="15" t="s">
        <v>57</v>
      </c>
      <c r="C144" s="11">
        <f>C36</f>
        <v>2.1575095948827161</v>
      </c>
      <c r="D144" s="11" t="s">
        <v>43</v>
      </c>
      <c r="E144" s="11"/>
      <c r="F144" s="11"/>
      <c r="G144" s="11"/>
      <c r="H144" s="11"/>
      <c r="I144" s="11"/>
      <c r="J144" s="11"/>
      <c r="K144" s="12"/>
    </row>
    <row r="145" spans="1:11">
      <c r="A145" s="13" t="s">
        <v>343</v>
      </c>
      <c r="B145" s="15" t="s">
        <v>344</v>
      </c>
      <c r="C145" s="11">
        <f>C141/C157/(PI()/4*(C158*0.001)^2)</f>
        <v>9.0060103401723932</v>
      </c>
      <c r="D145" s="11" t="s">
        <v>130</v>
      </c>
      <c r="E145" s="11"/>
      <c r="F145" s="11"/>
      <c r="G145" s="11"/>
      <c r="H145" s="11"/>
      <c r="I145" s="11"/>
      <c r="J145" s="11"/>
      <c r="K145" s="12"/>
    </row>
    <row r="146" spans="1:11">
      <c r="A146" s="13" t="s">
        <v>345</v>
      </c>
      <c r="B146" s="15" t="s">
        <v>346</v>
      </c>
      <c r="C146" s="11">
        <f>C142/C162/(PI()/4*(C163*0.001)^2)</f>
        <v>8.8668678296675463</v>
      </c>
      <c r="D146" s="11" t="s">
        <v>130</v>
      </c>
      <c r="E146" s="11"/>
      <c r="F146" s="11"/>
      <c r="G146" s="11"/>
      <c r="H146" s="11"/>
      <c r="I146" s="11"/>
      <c r="J146" s="11"/>
      <c r="K146" s="12"/>
    </row>
    <row r="147" spans="1:11">
      <c r="A147" s="13" t="s">
        <v>347</v>
      </c>
      <c r="B147" s="15" t="s">
        <v>348</v>
      </c>
      <c r="C147" s="11">
        <f>C144/C167/(PI()/4*(C168*0.001)^2)</f>
        <v>9.0615113420693838</v>
      </c>
      <c r="D147" s="11" t="s">
        <v>130</v>
      </c>
      <c r="E147" s="11"/>
      <c r="F147" s="11"/>
      <c r="G147" s="11"/>
      <c r="H147" s="11"/>
      <c r="I147" s="11"/>
      <c r="J147" s="11"/>
      <c r="K147" s="12"/>
    </row>
    <row r="148" spans="1:11">
      <c r="A148" s="13" t="s">
        <v>349</v>
      </c>
      <c r="B148" s="15" t="s">
        <v>350</v>
      </c>
      <c r="C148" s="11">
        <f>C141/2/C197/(PI()/4*(C201*0.001)^2)</f>
        <v>9.1226568871764364</v>
      </c>
      <c r="D148" s="11" t="s">
        <v>130</v>
      </c>
      <c r="E148" s="11"/>
      <c r="F148" s="11"/>
      <c r="G148" s="11"/>
      <c r="H148" s="11"/>
      <c r="I148" s="11"/>
      <c r="J148" s="11"/>
      <c r="K148" s="12"/>
    </row>
    <row r="149" spans="1:11">
      <c r="A149" s="13" t="s">
        <v>351</v>
      </c>
      <c r="B149" s="15" t="s">
        <v>352</v>
      </c>
      <c r="C149" s="11">
        <f>C141/4/C197/(PI()/4*(C209*0.001)^2)</f>
        <v>8.5657868851471477</v>
      </c>
      <c r="D149" s="11" t="s">
        <v>130</v>
      </c>
      <c r="E149" s="11"/>
      <c r="F149" s="11"/>
      <c r="G149" s="11"/>
      <c r="H149" s="11"/>
      <c r="I149" s="11"/>
      <c r="J149" s="11"/>
      <c r="K149" s="12"/>
    </row>
    <row r="150" spans="1:11">
      <c r="A150" s="13"/>
      <c r="B150" s="15"/>
      <c r="C150" s="28"/>
      <c r="D150" s="11"/>
      <c r="E150" s="11"/>
      <c r="F150" s="11"/>
      <c r="G150" s="11"/>
      <c r="H150" s="11"/>
      <c r="I150" s="11"/>
      <c r="J150" s="11"/>
      <c r="K150" s="12"/>
    </row>
    <row r="151" spans="1:11">
      <c r="A151" s="10" t="s">
        <v>353</v>
      </c>
      <c r="B151" s="15"/>
      <c r="C151" s="28"/>
      <c r="D151" s="11"/>
      <c r="E151" s="11"/>
      <c r="F151" s="11"/>
      <c r="G151" s="11"/>
      <c r="H151" s="11"/>
      <c r="I151" s="11"/>
      <c r="J151" s="11"/>
      <c r="K151" s="12"/>
    </row>
    <row r="152" spans="1:11">
      <c r="A152" s="13"/>
      <c r="B152" s="15"/>
      <c r="C152" s="28"/>
      <c r="D152" s="11"/>
      <c r="E152" s="11"/>
      <c r="F152" s="11"/>
      <c r="G152" s="11"/>
      <c r="H152" s="11"/>
      <c r="I152" s="11"/>
      <c r="J152" s="11"/>
      <c r="K152" s="12"/>
    </row>
    <row r="153" spans="1:11">
      <c r="A153" s="39" t="s">
        <v>303</v>
      </c>
      <c r="B153" s="15"/>
      <c r="C153" s="28"/>
      <c r="D153" s="11"/>
      <c r="E153" s="11"/>
      <c r="F153" s="11"/>
      <c r="G153" s="11"/>
      <c r="H153" s="11"/>
      <c r="I153" s="11"/>
      <c r="J153" s="11"/>
      <c r="K153" s="12"/>
    </row>
    <row r="154" spans="1:11">
      <c r="A154" s="13"/>
      <c r="B154" s="15"/>
      <c r="C154" s="28"/>
      <c r="D154" s="11"/>
      <c r="E154" s="11"/>
      <c r="F154" s="11"/>
      <c r="G154" s="11"/>
      <c r="H154" s="11"/>
      <c r="I154" s="11"/>
      <c r="J154" s="11"/>
      <c r="K154" s="12"/>
    </row>
    <row r="155" spans="1:11">
      <c r="A155" s="13" t="s">
        <v>2</v>
      </c>
      <c r="B155" s="15"/>
      <c r="C155" s="28"/>
      <c r="D155" s="11"/>
      <c r="E155" s="11"/>
      <c r="F155" s="11"/>
      <c r="G155" s="11"/>
      <c r="H155" s="11"/>
      <c r="I155" s="11"/>
      <c r="J155" s="11"/>
      <c r="K155" s="12"/>
    </row>
    <row r="156" spans="1:11">
      <c r="A156" s="13"/>
      <c r="B156" s="15"/>
      <c r="C156" s="28"/>
      <c r="D156" s="11"/>
      <c r="E156" s="11"/>
      <c r="F156" s="11"/>
      <c r="G156" s="11"/>
      <c r="H156" s="11"/>
      <c r="I156" s="11"/>
      <c r="J156" s="11"/>
      <c r="K156" s="12"/>
    </row>
    <row r="157" spans="1:11">
      <c r="A157" s="13" t="s">
        <v>354</v>
      </c>
      <c r="B157" s="15" t="s">
        <v>355</v>
      </c>
      <c r="C157" s="28">
        <f>C90</f>
        <v>1.1867009326434919</v>
      </c>
      <c r="D157" s="11" t="s">
        <v>87</v>
      </c>
      <c r="E157" s="11"/>
      <c r="F157" s="11"/>
      <c r="G157" s="11"/>
      <c r="H157" s="11"/>
      <c r="I157" s="11"/>
      <c r="J157" s="11"/>
      <c r="K157" s="12"/>
    </row>
    <row r="158" spans="1:11">
      <c r="A158" s="13" t="s">
        <v>314</v>
      </c>
      <c r="B158" s="15" t="s">
        <v>315</v>
      </c>
      <c r="C158" s="28">
        <f>_xlfn.FLOOR.MATH(C112,10)</f>
        <v>520</v>
      </c>
      <c r="D158" s="11" t="s">
        <v>273</v>
      </c>
      <c r="E158" s="11"/>
      <c r="F158" s="11"/>
      <c r="G158" s="11"/>
      <c r="H158" s="11"/>
      <c r="I158" s="11"/>
      <c r="J158" s="11"/>
      <c r="K158" s="12"/>
    </row>
    <row r="159" spans="1:11">
      <c r="A159" s="13" t="s">
        <v>356</v>
      </c>
      <c r="B159" s="15" t="s">
        <v>357</v>
      </c>
      <c r="C159" s="28">
        <f>4.5</f>
        <v>4.5</v>
      </c>
      <c r="D159" s="11" t="s">
        <v>82</v>
      </c>
      <c r="E159" s="11"/>
      <c r="F159" s="11"/>
      <c r="G159" s="11"/>
      <c r="H159" s="11"/>
      <c r="I159" s="11"/>
      <c r="J159" s="11"/>
      <c r="K159" s="12"/>
    </row>
    <row r="160" spans="1:11">
      <c r="A160" s="13" t="s">
        <v>358</v>
      </c>
      <c r="B160" s="15" t="s">
        <v>359</v>
      </c>
      <c r="C160" s="45">
        <f>(1.86+1.81)/2*10^(-5)</f>
        <v>1.8350000000000002E-5</v>
      </c>
      <c r="D160" s="11" t="s">
        <v>95</v>
      </c>
      <c r="E160" s="11"/>
      <c r="F160" s="11"/>
      <c r="G160" s="11"/>
      <c r="H160" s="11"/>
      <c r="I160" s="11"/>
      <c r="J160" s="11"/>
      <c r="K160" s="12"/>
    </row>
    <row r="161" spans="1:26">
      <c r="A161" s="13"/>
      <c r="B161" s="15"/>
      <c r="C161" s="28"/>
      <c r="D161" s="11"/>
      <c r="E161" s="11"/>
      <c r="F161" s="11" t="s">
        <v>360</v>
      </c>
      <c r="G161" s="11"/>
      <c r="H161" s="11"/>
      <c r="I161" s="11"/>
      <c r="J161" s="11"/>
      <c r="K161" s="12"/>
    </row>
    <row r="162" spans="1:26" ht="15" thickBot="1">
      <c r="A162" s="13" t="s">
        <v>317</v>
      </c>
      <c r="B162" s="15" t="s">
        <v>318</v>
      </c>
      <c r="C162" s="28">
        <f>C113</f>
        <v>1.3315190073858663</v>
      </c>
      <c r="D162" s="11" t="s">
        <v>87</v>
      </c>
      <c r="E162" s="11"/>
      <c r="F162" s="11"/>
      <c r="G162" s="11"/>
      <c r="H162" s="11"/>
      <c r="I162" s="11"/>
      <c r="J162" s="11"/>
      <c r="K162" s="12"/>
    </row>
    <row r="163" spans="1:26">
      <c r="A163" s="13" t="s">
        <v>320</v>
      </c>
      <c r="B163" s="15" t="s">
        <v>321</v>
      </c>
      <c r="C163" s="28">
        <f>_xlfn.CEILING.MATH(C114,10)</f>
        <v>110</v>
      </c>
      <c r="D163" s="11" t="s">
        <v>273</v>
      </c>
      <c r="E163" s="11"/>
      <c r="F163" s="11"/>
      <c r="G163" s="11"/>
      <c r="H163" s="11"/>
      <c r="I163" s="11"/>
      <c r="J163" s="11"/>
      <c r="K163" s="12"/>
      <c r="L163" s="232" t="s">
        <v>361</v>
      </c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</row>
    <row r="164" spans="1:26">
      <c r="A164" s="13" t="s">
        <v>362</v>
      </c>
      <c r="B164" s="15" t="s">
        <v>363</v>
      </c>
      <c r="C164" s="28">
        <f>0.5</f>
        <v>0.5</v>
      </c>
      <c r="D164" s="11" t="s">
        <v>82</v>
      </c>
      <c r="E164" s="11"/>
      <c r="F164" s="11"/>
      <c r="G164" s="11"/>
      <c r="H164" s="11"/>
      <c r="I164" s="11"/>
      <c r="J164" s="11"/>
      <c r="K164" s="1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</row>
    <row r="165" spans="1:26">
      <c r="A165" s="13" t="s">
        <v>358</v>
      </c>
      <c r="B165" s="15" t="s">
        <v>364</v>
      </c>
      <c r="C165" s="45">
        <f>1.734*10^(-5)</f>
        <v>1.734E-5</v>
      </c>
      <c r="D165" s="11" t="s">
        <v>95</v>
      </c>
      <c r="E165" s="11"/>
      <c r="F165" s="11"/>
      <c r="G165" s="11"/>
      <c r="H165" s="11"/>
      <c r="I165" s="11"/>
      <c r="J165" s="11"/>
      <c r="K165" s="12"/>
      <c r="L165" s="38" t="s">
        <v>365</v>
      </c>
      <c r="M165" s="15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>
      <c r="A166" s="13"/>
      <c r="B166" s="15"/>
      <c r="C166" s="28"/>
      <c r="D166" s="11"/>
      <c r="E166" s="11"/>
      <c r="F166" s="11" t="s">
        <v>366</v>
      </c>
      <c r="G166" s="11"/>
      <c r="H166" s="11"/>
      <c r="I166" s="11"/>
      <c r="J166" s="11"/>
      <c r="K166" s="12"/>
      <c r="L166" s="13"/>
      <c r="M166" s="15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>
      <c r="A167" s="13" t="s">
        <v>322</v>
      </c>
      <c r="B167" s="15" t="s">
        <v>323</v>
      </c>
      <c r="C167" s="28">
        <f>C115</f>
        <v>1.212612965166967</v>
      </c>
      <c r="D167" s="11" t="s">
        <v>87</v>
      </c>
      <c r="E167" s="11"/>
      <c r="F167" s="11"/>
      <c r="G167" s="11"/>
      <c r="H167" s="11"/>
      <c r="I167" s="11"/>
      <c r="J167" s="11"/>
      <c r="K167" s="12"/>
      <c r="L167" s="13" t="s">
        <v>367</v>
      </c>
      <c r="M167" s="15" t="s">
        <v>368</v>
      </c>
      <c r="N167" s="11">
        <f>0.05*34.87</f>
        <v>1.7435</v>
      </c>
      <c r="O167" s="11" t="s">
        <v>7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>
      <c r="A168" s="13" t="s">
        <v>324</v>
      </c>
      <c r="B168" s="15" t="s">
        <v>325</v>
      </c>
      <c r="C168" s="28">
        <f>_xlfn.FLOOR.MATH(C116,10)</f>
        <v>500</v>
      </c>
      <c r="D168" s="11" t="s">
        <v>273</v>
      </c>
      <c r="E168" s="11"/>
      <c r="F168" s="11"/>
      <c r="G168" s="11"/>
      <c r="H168" s="11"/>
      <c r="I168" s="11"/>
      <c r="J168" s="11"/>
      <c r="K168" s="12"/>
      <c r="L168" s="13"/>
      <c r="M168" s="15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>
      <c r="A169" s="13" t="s">
        <v>362</v>
      </c>
      <c r="B169" s="15" t="s">
        <v>369</v>
      </c>
      <c r="C169" s="28">
        <v>2</v>
      </c>
      <c r="D169" s="11" t="s">
        <v>82</v>
      </c>
      <c r="E169" s="11"/>
      <c r="F169" s="11"/>
      <c r="G169" s="11"/>
      <c r="H169" s="11"/>
      <c r="I169" s="11"/>
      <c r="J169" s="11"/>
      <c r="K169" s="12"/>
      <c r="L169" s="10" t="s">
        <v>370</v>
      </c>
      <c r="M169" s="15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>
      <c r="A170" s="13" t="s">
        <v>358</v>
      </c>
      <c r="B170" s="15" t="s">
        <v>359</v>
      </c>
      <c r="C170" s="45">
        <f>1.77*10^(-5)</f>
        <v>1.77E-5</v>
      </c>
      <c r="D170" s="11" t="s">
        <v>95</v>
      </c>
      <c r="E170" s="11"/>
      <c r="F170" s="11"/>
      <c r="G170" s="11"/>
      <c r="H170" s="11"/>
      <c r="I170" s="11"/>
      <c r="J170" s="11"/>
      <c r="K170" s="12"/>
      <c r="L170" s="10"/>
      <c r="M170" s="15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>
      <c r="A171" s="13"/>
      <c r="B171" s="15"/>
      <c r="C171" s="28"/>
      <c r="D171" s="11"/>
      <c r="E171" s="11"/>
      <c r="F171" s="11" t="s">
        <v>371</v>
      </c>
      <c r="G171" s="11"/>
      <c r="H171" s="11"/>
      <c r="I171" s="11"/>
      <c r="J171" s="11"/>
      <c r="K171" s="12"/>
      <c r="L171" s="13" t="s">
        <v>372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>
      <c r="A172" s="13" t="s">
        <v>373</v>
      </c>
      <c r="B172" s="15"/>
      <c r="C172" s="28"/>
      <c r="D172" s="11"/>
      <c r="E172" s="11"/>
      <c r="F172" s="11"/>
      <c r="G172" s="11"/>
      <c r="H172" s="11"/>
      <c r="I172" s="11"/>
      <c r="J172" s="11"/>
      <c r="K172" s="12"/>
      <c r="L172" s="13" t="s">
        <v>199</v>
      </c>
      <c r="M172" s="15" t="s">
        <v>374</v>
      </c>
      <c r="N172" s="11">
        <f>S44</f>
        <v>49.8</v>
      </c>
      <c r="O172" s="11" t="s">
        <v>375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>
      <c r="A173" s="13"/>
      <c r="B173" s="15"/>
      <c r="C173" s="28"/>
      <c r="D173" s="11"/>
      <c r="E173" s="11"/>
      <c r="F173" s="11"/>
      <c r="G173" s="11"/>
      <c r="H173" s="11"/>
      <c r="I173" s="11"/>
      <c r="J173" s="11"/>
      <c r="K173" s="12"/>
      <c r="L173" s="13" t="s">
        <v>376</v>
      </c>
      <c r="M173" s="15" t="s">
        <v>377</v>
      </c>
      <c r="N173" s="11">
        <v>0.55000000000000004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>
      <c r="A174" s="13" t="s">
        <v>378</v>
      </c>
      <c r="B174" s="15" t="s">
        <v>143</v>
      </c>
      <c r="C174" s="28">
        <f>0.03</f>
        <v>0.03</v>
      </c>
      <c r="D174" s="11" t="s">
        <v>273</v>
      </c>
      <c r="E174" s="11"/>
      <c r="F174" s="11"/>
      <c r="G174" s="11"/>
      <c r="H174" s="11"/>
      <c r="I174" s="11"/>
      <c r="J174" s="11"/>
      <c r="K174" s="12"/>
      <c r="L174" s="13"/>
      <c r="M174" s="15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>
      <c r="A175" s="13" t="s">
        <v>379</v>
      </c>
      <c r="B175" s="15" t="s">
        <v>380</v>
      </c>
      <c r="C175" s="45">
        <f>C157*C145*C158*0.001/C160</f>
        <v>302859.35980606789</v>
      </c>
      <c r="D175" s="11"/>
      <c r="E175" s="11"/>
      <c r="F175" s="11"/>
      <c r="G175" s="11"/>
      <c r="H175" s="11"/>
      <c r="I175" s="11"/>
      <c r="J175" s="11"/>
      <c r="K175" s="12"/>
      <c r="L175" s="13" t="s">
        <v>381</v>
      </c>
      <c r="M175" s="15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>
      <c r="A176" s="13" t="s">
        <v>382</v>
      </c>
      <c r="B176" s="15" t="s">
        <v>383</v>
      </c>
      <c r="C176" s="45">
        <f>C174/C158</f>
        <v>5.7692307692307691E-5</v>
      </c>
      <c r="D176" s="11"/>
      <c r="E176" s="11"/>
      <c r="F176" s="11" t="s">
        <v>384</v>
      </c>
      <c r="G176" s="11"/>
      <c r="H176" s="11"/>
      <c r="I176" s="11"/>
      <c r="J176" s="11"/>
      <c r="K176" s="12"/>
      <c r="L176" s="13" t="s">
        <v>199</v>
      </c>
      <c r="M176" s="15" t="s">
        <v>385</v>
      </c>
      <c r="N176" s="11">
        <v>3.7999999999999999E-2</v>
      </c>
      <c r="O176" s="11" t="s">
        <v>375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>
      <c r="A177" s="13" t="s">
        <v>386</v>
      </c>
      <c r="B177" s="15" t="s">
        <v>300</v>
      </c>
      <c r="C177" s="26">
        <v>1.4999999999999999E-2</v>
      </c>
      <c r="D177" s="11"/>
      <c r="E177" s="11"/>
      <c r="F177" s="11"/>
      <c r="G177" s="11"/>
      <c r="H177" s="11"/>
      <c r="I177" s="11"/>
      <c r="J177" s="11"/>
      <c r="K177" s="12"/>
      <c r="L177" s="13" t="s">
        <v>376</v>
      </c>
      <c r="M177" s="15" t="s">
        <v>387</v>
      </c>
      <c r="N177" s="11">
        <v>0.9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>
      <c r="A178" s="13" t="s">
        <v>388</v>
      </c>
      <c r="B178" s="15" t="s">
        <v>389</v>
      </c>
      <c r="C178" s="26">
        <f>C177*(C157*C145^2)/2*C159/C158/0.001</f>
        <v>6.2470732707205805</v>
      </c>
      <c r="D178" s="11" t="s">
        <v>328</v>
      </c>
      <c r="E178" s="11"/>
      <c r="F178" s="11"/>
      <c r="G178" s="11"/>
      <c r="H178" s="11"/>
      <c r="I178" s="11"/>
      <c r="J178" s="11"/>
      <c r="K178" s="12"/>
      <c r="L178" s="13"/>
      <c r="M178" s="15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5" thickBot="1">
      <c r="A179" s="13"/>
      <c r="B179" s="15"/>
      <c r="C179" s="28"/>
      <c r="D179" s="11"/>
      <c r="E179" s="11"/>
      <c r="F179" s="11"/>
      <c r="G179" s="11"/>
      <c r="H179" s="11"/>
      <c r="I179" s="11"/>
      <c r="J179" s="11"/>
      <c r="K179" s="12"/>
      <c r="L179" s="13"/>
      <c r="M179" s="15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>
      <c r="A180" s="13" t="s">
        <v>390</v>
      </c>
      <c r="B180" s="15" t="s">
        <v>391</v>
      </c>
      <c r="C180" s="28">
        <f>C162*C146*C163*0.001/C165</f>
        <v>74896.443807950767</v>
      </c>
      <c r="D180" s="11"/>
      <c r="E180" s="11"/>
      <c r="F180" s="11"/>
      <c r="G180" s="11"/>
      <c r="H180" s="11"/>
      <c r="I180" s="11"/>
      <c r="J180" s="11"/>
      <c r="K180" s="12"/>
      <c r="L180" s="49" t="s">
        <v>392</v>
      </c>
      <c r="M180" s="104"/>
      <c r="N180" s="8"/>
      <c r="O180" s="8"/>
      <c r="P180" s="8"/>
      <c r="Q180" s="8"/>
      <c r="R180" s="8"/>
      <c r="S180" s="8"/>
      <c r="T180" s="9"/>
      <c r="U180" s="11"/>
      <c r="V180" s="11"/>
      <c r="W180" s="11"/>
      <c r="X180" s="11"/>
      <c r="Y180" s="11"/>
      <c r="Z180" s="12"/>
    </row>
    <row r="181" spans="1:26">
      <c r="A181" s="13" t="s">
        <v>382</v>
      </c>
      <c r="B181" s="15" t="s">
        <v>383</v>
      </c>
      <c r="C181" s="45">
        <f>C174/C163</f>
        <v>2.7272727272727274E-4</v>
      </c>
      <c r="D181" s="11"/>
      <c r="E181" s="11"/>
      <c r="F181" s="11"/>
      <c r="G181" s="11"/>
      <c r="H181" s="11"/>
      <c r="I181" s="11"/>
      <c r="J181" s="11"/>
      <c r="K181" s="12"/>
      <c r="L181" s="13" t="s">
        <v>393</v>
      </c>
      <c r="M181" s="15" t="s">
        <v>394</v>
      </c>
      <c r="N181" s="11"/>
      <c r="O181" s="11"/>
      <c r="P181" s="19" t="s">
        <v>395</v>
      </c>
      <c r="Q181" s="11"/>
      <c r="R181" s="11"/>
      <c r="S181" s="11"/>
      <c r="T181" s="12"/>
      <c r="U181" s="11"/>
      <c r="V181" s="11"/>
      <c r="W181" s="11"/>
      <c r="X181" s="11"/>
      <c r="Y181" s="11"/>
      <c r="Z181" s="12"/>
    </row>
    <row r="182" spans="1:26">
      <c r="A182" s="13" t="s">
        <v>386</v>
      </c>
      <c r="B182" s="15" t="s">
        <v>300</v>
      </c>
      <c r="C182" s="26">
        <v>0.02</v>
      </c>
      <c r="D182" s="11"/>
      <c r="E182" s="11"/>
      <c r="F182" s="11"/>
      <c r="G182" s="11"/>
      <c r="H182" s="11"/>
      <c r="I182" s="11"/>
      <c r="J182" s="11"/>
      <c r="K182" s="12"/>
      <c r="L182" s="13" t="s">
        <v>396</v>
      </c>
      <c r="M182" s="15" t="s">
        <v>397</v>
      </c>
      <c r="N182" s="11"/>
      <c r="O182" s="11"/>
      <c r="P182" s="19" t="s">
        <v>395</v>
      </c>
      <c r="Q182" s="11"/>
      <c r="R182" s="11"/>
      <c r="S182" s="11"/>
      <c r="T182" s="12"/>
      <c r="U182" s="11"/>
      <c r="V182" s="11"/>
      <c r="W182" s="11"/>
      <c r="X182" s="11"/>
      <c r="Y182" s="11"/>
      <c r="Z182" s="12"/>
    </row>
    <row r="183" spans="1:26">
      <c r="A183" s="13" t="s">
        <v>388</v>
      </c>
      <c r="B183" s="15" t="s">
        <v>398</v>
      </c>
      <c r="C183" s="26">
        <f>C182*(C162*C146^2)/2*C164/C163/0.001</f>
        <v>4.7584461544819101</v>
      </c>
      <c r="D183" s="11" t="s">
        <v>328</v>
      </c>
      <c r="E183" s="11"/>
      <c r="F183" s="11"/>
      <c r="G183" s="11"/>
      <c r="H183" s="11"/>
      <c r="I183" s="11"/>
      <c r="J183" s="11"/>
      <c r="K183" s="12"/>
      <c r="L183" s="13" t="s">
        <v>399</v>
      </c>
      <c r="M183" s="15" t="s">
        <v>400</v>
      </c>
      <c r="N183" s="11"/>
      <c r="O183" s="11"/>
      <c r="P183" s="19" t="s">
        <v>395</v>
      </c>
      <c r="Q183" s="11"/>
      <c r="R183" s="11"/>
      <c r="S183" s="11"/>
      <c r="T183" s="12"/>
      <c r="U183" s="11"/>
      <c r="V183" s="11"/>
      <c r="W183" s="11"/>
      <c r="X183" s="11"/>
      <c r="Y183" s="11"/>
      <c r="Z183" s="12"/>
    </row>
    <row r="184" spans="1:26" ht="15" thickBot="1">
      <c r="A184" s="13"/>
      <c r="B184" s="15"/>
      <c r="C184" s="28"/>
      <c r="D184" s="11"/>
      <c r="E184" s="11"/>
      <c r="F184" s="11"/>
      <c r="G184" s="11"/>
      <c r="H184" s="11"/>
      <c r="I184" s="11"/>
      <c r="J184" s="11"/>
      <c r="K184" s="12"/>
      <c r="L184" s="29" t="s">
        <v>401</v>
      </c>
      <c r="M184" s="30" t="s">
        <v>402</v>
      </c>
      <c r="N184" s="32">
        <v>0.4</v>
      </c>
      <c r="O184" s="32"/>
      <c r="P184" s="50"/>
      <c r="Q184" s="50"/>
      <c r="R184" s="50"/>
      <c r="S184" s="50"/>
      <c r="T184" s="33"/>
      <c r="U184" s="11"/>
      <c r="V184" s="11"/>
      <c r="W184" s="11"/>
      <c r="X184" s="11"/>
      <c r="Y184" s="11"/>
      <c r="Z184" s="12"/>
    </row>
    <row r="185" spans="1:26">
      <c r="A185" s="13" t="s">
        <v>403</v>
      </c>
      <c r="B185" s="15" t="s">
        <v>404</v>
      </c>
      <c r="C185" s="45">
        <f>C167*C147*C168*0.001/C170</f>
        <v>310398.47845765139</v>
      </c>
      <c r="D185" s="11"/>
      <c r="E185" s="11"/>
      <c r="F185" s="11"/>
      <c r="G185" s="11"/>
      <c r="H185" s="11"/>
      <c r="I185" s="11"/>
      <c r="J185" s="11"/>
      <c r="K185" s="12"/>
      <c r="L185" s="13"/>
      <c r="M185" s="15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>
      <c r="A186" s="13" t="s">
        <v>382</v>
      </c>
      <c r="B186" s="15" t="s">
        <v>383</v>
      </c>
      <c r="C186" s="45">
        <f>C174/C168</f>
        <v>5.9999999999999995E-5</v>
      </c>
      <c r="D186" s="11"/>
      <c r="E186" s="11"/>
      <c r="F186" s="11"/>
      <c r="G186" s="11"/>
      <c r="H186" s="11"/>
      <c r="I186" s="11"/>
      <c r="J186" s="11"/>
      <c r="K186" s="12"/>
      <c r="L186" s="10" t="s">
        <v>405</v>
      </c>
      <c r="M186" s="15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>
      <c r="A187" s="13" t="s">
        <v>386</v>
      </c>
      <c r="B187" s="15" t="s">
        <v>300</v>
      </c>
      <c r="C187" s="26">
        <v>1.4999999999999999E-2</v>
      </c>
      <c r="D187" s="11"/>
      <c r="E187" s="11"/>
      <c r="F187" s="11"/>
      <c r="G187" s="11"/>
      <c r="H187" s="11"/>
      <c r="I187" s="11"/>
      <c r="J187" s="11"/>
      <c r="K187" s="12"/>
      <c r="L187" s="13"/>
      <c r="M187" s="15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>
      <c r="A188" s="13" t="s">
        <v>388</v>
      </c>
      <c r="B188" s="15" t="s">
        <v>406</v>
      </c>
      <c r="C188" s="26">
        <f>C187*(C167*C147^2)/2*C169/C168/0.001</f>
        <v>2.9870654517576023</v>
      </c>
      <c r="D188" s="11" t="s">
        <v>328</v>
      </c>
      <c r="E188" s="11"/>
      <c r="F188" s="11"/>
      <c r="G188" s="11"/>
      <c r="H188" s="11"/>
      <c r="I188" s="11"/>
      <c r="J188" s="11"/>
      <c r="K188" s="12"/>
      <c r="L188" s="39" t="s">
        <v>407</v>
      </c>
      <c r="M188" s="15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>
      <c r="A189" s="13"/>
      <c r="B189" s="15"/>
      <c r="C189" s="28"/>
      <c r="D189" s="11"/>
      <c r="E189" s="11"/>
      <c r="F189" s="11"/>
      <c r="G189" s="11"/>
      <c r="H189" s="11"/>
      <c r="I189" s="11"/>
      <c r="J189" s="11"/>
      <c r="K189" s="12"/>
      <c r="L189" s="13"/>
      <c r="M189" s="15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>
      <c r="A190" s="13" t="s">
        <v>408</v>
      </c>
      <c r="B190" s="15" t="s">
        <v>409</v>
      </c>
      <c r="C190" s="28">
        <f>C178+C183+C188</f>
        <v>13.992584876960091</v>
      </c>
      <c r="D190" s="11" t="s">
        <v>328</v>
      </c>
      <c r="E190" s="11"/>
      <c r="F190" s="11"/>
      <c r="G190" s="11"/>
      <c r="H190" s="11"/>
      <c r="I190" s="11"/>
      <c r="J190" s="11"/>
      <c r="K190" s="12"/>
      <c r="L190" s="13" t="s">
        <v>275</v>
      </c>
      <c r="M190" s="15" t="s">
        <v>115</v>
      </c>
      <c r="N190" s="11">
        <f>C84</f>
        <v>0.2</v>
      </c>
      <c r="O190" s="11" t="s">
        <v>82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>
      <c r="A191" s="13"/>
      <c r="B191" s="15"/>
      <c r="C191" s="28"/>
      <c r="D191" s="11"/>
      <c r="E191" s="11"/>
      <c r="F191" s="11"/>
      <c r="G191" s="11"/>
      <c r="H191" s="11"/>
      <c r="I191" s="11"/>
      <c r="J191" s="11"/>
      <c r="K191" s="12"/>
      <c r="L191" s="13" t="s">
        <v>410</v>
      </c>
      <c r="M191" s="15" t="s">
        <v>411</v>
      </c>
      <c r="N191" s="11">
        <f>AC42</f>
        <v>8.0079999999999998E-2</v>
      </c>
      <c r="O191" s="11" t="s">
        <v>412</v>
      </c>
      <c r="P191" s="52" t="s">
        <v>413</v>
      </c>
      <c r="R191" s="11">
        <f>(C66+C68)/2</f>
        <v>1309.6595974770926</v>
      </c>
      <c r="S191" s="11" t="s">
        <v>14</v>
      </c>
      <c r="T191" s="11"/>
      <c r="U191" s="11"/>
      <c r="V191" s="11"/>
      <c r="Y191" s="11"/>
      <c r="Z191" s="12"/>
    </row>
    <row r="192" spans="1:26">
      <c r="A192" s="13"/>
      <c r="B192" s="15"/>
      <c r="C192" s="28"/>
      <c r="D192" s="11"/>
      <c r="E192" s="11"/>
      <c r="F192" s="11"/>
      <c r="G192" s="11"/>
      <c r="H192" s="11"/>
      <c r="I192" s="11"/>
      <c r="J192" s="11"/>
      <c r="K192" s="12"/>
      <c r="L192" s="13" t="s">
        <v>414</v>
      </c>
      <c r="M192" s="15" t="s">
        <v>415</v>
      </c>
      <c r="N192" s="28">
        <f>AK74</f>
        <v>3.5468553588533696</v>
      </c>
      <c r="O192" s="11" t="s">
        <v>130</v>
      </c>
      <c r="P192" s="52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>
      <c r="A193" s="39" t="s">
        <v>416</v>
      </c>
      <c r="B193" s="15"/>
      <c r="C193" s="28"/>
      <c r="D193" s="11"/>
      <c r="E193" s="11"/>
      <c r="F193" s="11"/>
      <c r="G193" s="11"/>
      <c r="H193" s="11"/>
      <c r="I193" s="11"/>
      <c r="J193" s="11"/>
      <c r="K193" s="12"/>
      <c r="L193" s="13" t="s">
        <v>417</v>
      </c>
      <c r="M193" s="15" t="s">
        <v>418</v>
      </c>
      <c r="N193" s="51">
        <f>18.22*10^(-5)</f>
        <v>1.8220000000000001E-4</v>
      </c>
      <c r="O193" s="11" t="s">
        <v>419</v>
      </c>
      <c r="P193" s="52" t="s">
        <v>413</v>
      </c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>
      <c r="A194" s="13"/>
      <c r="B194" s="15"/>
      <c r="C194" s="28"/>
      <c r="D194" s="11"/>
      <c r="E194" s="11"/>
      <c r="F194" s="11"/>
      <c r="G194" s="11"/>
      <c r="H194" s="11"/>
      <c r="I194" s="11"/>
      <c r="J194" s="11"/>
      <c r="K194" s="12"/>
      <c r="L194" s="13" t="s">
        <v>420</v>
      </c>
      <c r="M194" s="15" t="s">
        <v>421</v>
      </c>
      <c r="N194" s="28">
        <f>AK75</f>
        <v>235.50594006447776</v>
      </c>
      <c r="O194" s="11"/>
      <c r="P194" s="52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>
      <c r="A195" s="13" t="s">
        <v>2</v>
      </c>
      <c r="B195" s="15"/>
      <c r="C195" s="28"/>
      <c r="D195" s="11"/>
      <c r="E195" s="11"/>
      <c r="F195" s="11"/>
      <c r="G195" s="11"/>
      <c r="H195" s="11"/>
      <c r="I195" s="11"/>
      <c r="J195" s="11"/>
      <c r="K195" s="12"/>
      <c r="L195" s="13" t="s">
        <v>422</v>
      </c>
      <c r="M195" s="15" t="s">
        <v>423</v>
      </c>
      <c r="N195" s="11">
        <f>AC52</f>
        <v>0.72653041958041975</v>
      </c>
      <c r="O195" s="11"/>
      <c r="P195" s="52" t="s">
        <v>413</v>
      </c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>
      <c r="A196" s="13"/>
      <c r="B196" s="15"/>
      <c r="C196" s="28"/>
      <c r="D196" s="11"/>
      <c r="E196" s="11"/>
      <c r="F196" s="11"/>
      <c r="G196" s="11"/>
      <c r="H196" s="11"/>
      <c r="I196" s="11"/>
      <c r="J196" s="11"/>
      <c r="K196" s="12"/>
      <c r="L196" s="13" t="s">
        <v>424</v>
      </c>
      <c r="M196" s="15" t="s">
        <v>425</v>
      </c>
      <c r="N196" s="26">
        <f>AK77</f>
        <v>4.3600000000000003</v>
      </c>
      <c r="O196" s="11"/>
      <c r="P196" s="52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>
      <c r="A197" s="13" t="s">
        <v>282</v>
      </c>
      <c r="B197" s="15" t="s">
        <v>283</v>
      </c>
      <c r="C197" s="28">
        <f>C127</f>
        <v>1.1569794029440026</v>
      </c>
      <c r="D197" s="11" t="s">
        <v>87</v>
      </c>
      <c r="E197" s="11"/>
      <c r="F197" s="11"/>
      <c r="G197" s="11"/>
      <c r="H197" s="11"/>
      <c r="I197" s="11"/>
      <c r="J197" s="11"/>
      <c r="K197" s="12"/>
      <c r="L197" s="13"/>
      <c r="M197" s="15" t="s">
        <v>426</v>
      </c>
      <c r="N197" s="26">
        <f>AK78</f>
        <v>29.118883778522104</v>
      </c>
      <c r="O197" s="11" t="s">
        <v>427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>
      <c r="A198" s="13" t="s">
        <v>378</v>
      </c>
      <c r="B198" s="15" t="s">
        <v>143</v>
      </c>
      <c r="C198" s="28">
        <v>0.03</v>
      </c>
      <c r="D198" s="11" t="s">
        <v>273</v>
      </c>
      <c r="E198" s="11"/>
      <c r="F198" s="11"/>
      <c r="G198" s="11"/>
      <c r="H198" s="11"/>
      <c r="I198" s="11"/>
      <c r="J198" s="11"/>
      <c r="K198" s="12"/>
      <c r="L198" s="13"/>
      <c r="M198" s="15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>
      <c r="A199" s="13" t="s">
        <v>428</v>
      </c>
      <c r="B199" s="15" t="s">
        <v>429</v>
      </c>
      <c r="C199" s="45">
        <f>1.67265*10^(-5)</f>
        <v>1.67265E-5</v>
      </c>
      <c r="D199" s="11" t="s">
        <v>95</v>
      </c>
      <c r="E199" s="11"/>
      <c r="F199" s="11"/>
      <c r="G199" s="11"/>
      <c r="H199" s="11"/>
      <c r="I199" s="11"/>
      <c r="J199" s="11"/>
      <c r="K199" s="12"/>
      <c r="L199" s="13"/>
      <c r="M199" s="15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>
      <c r="A200" s="13"/>
      <c r="B200" s="15"/>
      <c r="C200" s="28"/>
      <c r="D200" s="11"/>
      <c r="E200" s="11" t="s">
        <v>430</v>
      </c>
      <c r="F200" s="11"/>
      <c r="G200" s="11"/>
      <c r="H200" s="11"/>
      <c r="I200" s="11"/>
      <c r="J200" s="11"/>
      <c r="K200" s="12"/>
      <c r="L200" s="39" t="s">
        <v>431</v>
      </c>
      <c r="M200" s="15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>
      <c r="A201" s="13" t="s">
        <v>314</v>
      </c>
      <c r="B201" s="15" t="s">
        <v>432</v>
      </c>
      <c r="C201" s="28">
        <f>_xlfn.FLOOR.MATH(C129,10)</f>
        <v>370</v>
      </c>
      <c r="D201" s="11" t="s">
        <v>273</v>
      </c>
      <c r="E201" s="11"/>
      <c r="F201" s="11"/>
      <c r="G201" s="11"/>
      <c r="H201" s="11"/>
      <c r="I201" s="11"/>
      <c r="J201" s="11"/>
      <c r="K201" s="12"/>
      <c r="L201" s="13"/>
      <c r="M201" s="15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>
      <c r="A202" s="13" t="s">
        <v>362</v>
      </c>
      <c r="B202" s="15" t="s">
        <v>433</v>
      </c>
      <c r="C202" s="28">
        <f>16</f>
        <v>16</v>
      </c>
      <c r="D202" s="11" t="s">
        <v>82</v>
      </c>
      <c r="E202" s="11"/>
      <c r="F202" s="11"/>
      <c r="G202" s="11"/>
      <c r="H202" s="11"/>
      <c r="I202" s="11"/>
      <c r="J202" s="11"/>
      <c r="K202" s="12"/>
      <c r="L202" s="13" t="s">
        <v>288</v>
      </c>
      <c r="M202" s="15" t="s">
        <v>149</v>
      </c>
      <c r="N202" s="11">
        <f>C94*10^(-3)</f>
        <v>0.46</v>
      </c>
      <c r="O202" s="11" t="s">
        <v>82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>
      <c r="A203" s="13" t="s">
        <v>434</v>
      </c>
      <c r="B203" s="15" t="s">
        <v>350</v>
      </c>
      <c r="C203" s="28">
        <f>C141/2/C197/(PI()/4*(C201*0.001)^2)</f>
        <v>9.1226568871764364</v>
      </c>
      <c r="D203" s="11" t="s">
        <v>130</v>
      </c>
      <c r="E203" s="11"/>
      <c r="F203" s="11"/>
      <c r="G203" s="11"/>
      <c r="H203" s="11"/>
      <c r="I203" s="11"/>
      <c r="J203" s="11"/>
      <c r="K203" s="12"/>
      <c r="L203" s="13" t="s">
        <v>435</v>
      </c>
      <c r="M203" s="15" t="s">
        <v>436</v>
      </c>
      <c r="N203" s="11">
        <f>Y42</f>
        <v>2.5940000000000001E-2</v>
      </c>
      <c r="O203" s="11" t="s">
        <v>412</v>
      </c>
      <c r="P203" s="52" t="s">
        <v>437</v>
      </c>
      <c r="Q203" s="11"/>
      <c r="R203" s="11">
        <f>(C38+E47)/2</f>
        <v>297.50736272019617</v>
      </c>
      <c r="S203" s="11" t="s">
        <v>14</v>
      </c>
      <c r="T203" s="11"/>
      <c r="W203" s="11"/>
      <c r="X203" s="11"/>
      <c r="Y203" s="11"/>
      <c r="Z203" s="12"/>
    </row>
    <row r="204" spans="1:26">
      <c r="A204" s="13" t="s">
        <v>382</v>
      </c>
      <c r="B204" s="15" t="s">
        <v>383</v>
      </c>
      <c r="C204" s="45">
        <f>C198/C201</f>
        <v>8.1081081081081077E-5</v>
      </c>
      <c r="D204" s="11"/>
      <c r="E204" s="11"/>
      <c r="F204" s="11"/>
      <c r="G204" s="11"/>
      <c r="H204" s="11"/>
      <c r="I204" s="11"/>
      <c r="J204" s="11"/>
      <c r="K204" s="12"/>
      <c r="L204" s="13" t="s">
        <v>414</v>
      </c>
      <c r="M204" s="15" t="s">
        <v>135</v>
      </c>
      <c r="N204" s="28">
        <f>Y74</f>
        <v>15.523165384885708</v>
      </c>
      <c r="O204" s="11" t="s">
        <v>130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>
      <c r="A205" s="13" t="s">
        <v>160</v>
      </c>
      <c r="B205" s="15" t="s">
        <v>438</v>
      </c>
      <c r="C205" s="45">
        <f>C197*C203*C201*0.001/C199</f>
        <v>233476.73834201435</v>
      </c>
      <c r="D205" s="11"/>
      <c r="E205" s="11"/>
      <c r="F205" s="11"/>
      <c r="G205" s="11"/>
      <c r="H205" s="11"/>
      <c r="I205" s="11"/>
      <c r="J205" s="11"/>
      <c r="K205" s="12"/>
      <c r="L205" s="13" t="s">
        <v>417</v>
      </c>
      <c r="M205" s="15" t="s">
        <v>439</v>
      </c>
      <c r="N205" s="51">
        <f>1.541*10^(-5)</f>
        <v>1.541E-5</v>
      </c>
      <c r="O205" s="11" t="s">
        <v>419</v>
      </c>
      <c r="P205" s="52" t="s">
        <v>437</v>
      </c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>
      <c r="A206" s="13" t="s">
        <v>440</v>
      </c>
      <c r="B206" s="15" t="s">
        <v>300</v>
      </c>
      <c r="C206" s="26">
        <v>1.6E-2</v>
      </c>
      <c r="D206" s="11"/>
      <c r="E206" s="11"/>
      <c r="F206" s="11"/>
      <c r="G206" s="11"/>
      <c r="H206" s="11"/>
      <c r="I206" s="11"/>
      <c r="J206" s="11"/>
      <c r="K206" s="12"/>
      <c r="L206" s="13" t="s">
        <v>420</v>
      </c>
      <c r="M206" s="15" t="s">
        <v>441</v>
      </c>
      <c r="N206" s="28">
        <f>N204*N202/N205</f>
        <v>463378.07119061815</v>
      </c>
      <c r="O206" s="11"/>
      <c r="P206" s="52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>
      <c r="A207" s="13" t="s">
        <v>388</v>
      </c>
      <c r="B207" s="15" t="s">
        <v>442</v>
      </c>
      <c r="C207" s="28">
        <f>C206*(C197*C203^2*C202)/2/(C201*0.001)</f>
        <v>33.310147431092368</v>
      </c>
      <c r="D207" s="11" t="s">
        <v>328</v>
      </c>
      <c r="E207" s="11"/>
      <c r="F207" s="11"/>
      <c r="G207" s="11"/>
      <c r="H207" s="11"/>
      <c r="I207" s="11"/>
      <c r="J207" s="11"/>
      <c r="K207" s="12"/>
      <c r="L207" s="13" t="s">
        <v>422</v>
      </c>
      <c r="M207" s="15" t="s">
        <v>443</v>
      </c>
      <c r="N207" s="11">
        <v>0.71260000000000001</v>
      </c>
      <c r="O207" s="11"/>
      <c r="P207" s="52" t="s">
        <v>437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>
      <c r="A208" s="13"/>
      <c r="B208" s="15"/>
      <c r="C208" s="28"/>
      <c r="D208" s="11"/>
      <c r="E208" s="11"/>
      <c r="F208" s="11"/>
      <c r="G208" s="11"/>
      <c r="H208" s="11"/>
      <c r="I208" s="11"/>
      <c r="J208" s="11"/>
      <c r="K208" s="12"/>
      <c r="L208" s="13" t="s">
        <v>424</v>
      </c>
      <c r="M208" s="15" t="s">
        <v>444</v>
      </c>
      <c r="N208" s="26">
        <f>0.021*N207^0.4*N206^0.8</f>
        <v>625.3253054569991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>
      <c r="A209" s="13" t="s">
        <v>337</v>
      </c>
      <c r="B209" s="15" t="s">
        <v>445</v>
      </c>
      <c r="C209" s="28">
        <f>_xlfn.CEILING.MATH(C130,10)</f>
        <v>270</v>
      </c>
      <c r="D209" s="11" t="s">
        <v>273</v>
      </c>
      <c r="E209" s="11"/>
      <c r="F209" s="11"/>
      <c r="G209" s="11"/>
      <c r="H209" s="11"/>
      <c r="I209" s="11"/>
      <c r="J209" s="11"/>
      <c r="K209" s="12"/>
      <c r="L209" s="13"/>
      <c r="M209" s="15" t="s">
        <v>446</v>
      </c>
      <c r="N209" s="26">
        <f>N203*N208/N202</f>
        <v>35.262909616422945</v>
      </c>
      <c r="O209" s="11" t="s">
        <v>427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>
      <c r="A210" s="13" t="s">
        <v>434</v>
      </c>
      <c r="B210" s="15" t="s">
        <v>352</v>
      </c>
      <c r="C210" s="28">
        <f>C141/4/C197/(PI()/4*(C209*0.001)^2)</f>
        <v>8.5657868851471477</v>
      </c>
      <c r="D210" s="11" t="s">
        <v>130</v>
      </c>
      <c r="E210" s="11"/>
      <c r="F210" s="11"/>
      <c r="G210" s="11"/>
      <c r="H210" s="11"/>
      <c r="I210" s="11"/>
      <c r="J210" s="11"/>
      <c r="K210" s="12"/>
      <c r="L210" s="13"/>
      <c r="M210" s="15"/>
      <c r="N210" s="26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>
      <c r="A211" s="13" t="s">
        <v>362</v>
      </c>
      <c r="B211" s="15" t="s">
        <v>447</v>
      </c>
      <c r="C211" s="28">
        <v>4</v>
      </c>
      <c r="D211" s="11" t="s">
        <v>82</v>
      </c>
      <c r="E211" s="11"/>
      <c r="F211" s="11"/>
      <c r="G211" s="11"/>
      <c r="H211" s="11"/>
      <c r="I211" s="11"/>
      <c r="J211" s="11"/>
      <c r="K211" s="12"/>
      <c r="L211" s="39" t="s">
        <v>448</v>
      </c>
      <c r="M211" s="15" t="s">
        <v>449</v>
      </c>
      <c r="N211" s="26">
        <f>Y78</f>
        <v>43.200391266381793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>
      <c r="A212" s="13" t="s">
        <v>382</v>
      </c>
      <c r="B212" s="15" t="s">
        <v>383</v>
      </c>
      <c r="C212" s="45">
        <f>C198/C209</f>
        <v>1.111111111111111E-4</v>
      </c>
      <c r="D212" s="11"/>
      <c r="E212" s="11"/>
      <c r="F212" s="11"/>
      <c r="G212" s="11"/>
      <c r="H212" s="11"/>
      <c r="I212" s="11"/>
      <c r="J212" s="11"/>
      <c r="K212" s="12"/>
      <c r="L212" s="39"/>
      <c r="M212" s="15"/>
      <c r="N212" s="53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>
      <c r="A213" s="13" t="s">
        <v>160</v>
      </c>
      <c r="B213" s="15" t="s">
        <v>450</v>
      </c>
      <c r="C213" s="45">
        <f>C197*C210*C209*0.001/C199</f>
        <v>159974.80219730613</v>
      </c>
      <c r="D213" s="11"/>
      <c r="E213" s="11"/>
      <c r="F213" s="11"/>
      <c r="G213" s="11"/>
      <c r="H213" s="11"/>
      <c r="I213" s="11"/>
      <c r="J213" s="11"/>
      <c r="K213" s="12"/>
      <c r="L213" s="10" t="s">
        <v>451</v>
      </c>
      <c r="M213" s="15"/>
      <c r="N213" s="53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>
      <c r="A214" s="13" t="s">
        <v>440</v>
      </c>
      <c r="B214" s="15" t="s">
        <v>300</v>
      </c>
      <c r="C214" s="28">
        <v>1.6500000000000001E-2</v>
      </c>
      <c r="D214" s="11"/>
      <c r="E214" s="11"/>
      <c r="F214" s="11"/>
      <c r="G214" s="11"/>
      <c r="H214" s="11"/>
      <c r="I214" s="11"/>
      <c r="J214" s="11"/>
      <c r="K214" s="12"/>
      <c r="L214" s="13"/>
      <c r="M214" s="15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>
      <c r="A215" s="13" t="s">
        <v>388</v>
      </c>
      <c r="B215" s="15" t="s">
        <v>452</v>
      </c>
      <c r="C215" s="28">
        <f>C214*(C197*C210^2*C211)/2/(C209*0.001)</f>
        <v>10.375531024105161</v>
      </c>
      <c r="D215" s="11" t="s">
        <v>328</v>
      </c>
      <c r="E215" s="11"/>
      <c r="F215" s="11"/>
      <c r="G215" s="11"/>
      <c r="H215" s="11"/>
      <c r="I215" s="11"/>
      <c r="J215" s="11"/>
      <c r="K215" s="12"/>
      <c r="L215" s="39" t="s">
        <v>453</v>
      </c>
      <c r="M215" s="15" t="s">
        <v>454</v>
      </c>
      <c r="N215" s="28">
        <v>1060.9869649560726</v>
      </c>
      <c r="O215" s="11" t="s">
        <v>14</v>
      </c>
      <c r="P215" s="214" t="str">
        <f>IF(TRUNC(N216,0)=TRUNC(R216,0), "Conv. OK", "RIFAI convergenza")</f>
        <v>RIFAI convergenza</v>
      </c>
      <c r="Q215" s="56" t="s">
        <v>58</v>
      </c>
      <c r="R215" s="56"/>
      <c r="S215" s="56"/>
      <c r="T215" s="11"/>
      <c r="U215" s="11"/>
      <c r="V215" s="11"/>
      <c r="W215" s="11"/>
      <c r="X215" s="11"/>
      <c r="Y215" s="11"/>
      <c r="Z215" s="12"/>
    </row>
    <row r="216" spans="1:26">
      <c r="A216" s="13"/>
      <c r="B216" s="15"/>
      <c r="C216" s="28"/>
      <c r="D216" s="11"/>
      <c r="E216" s="11"/>
      <c r="F216" s="11"/>
      <c r="G216" s="11"/>
      <c r="H216" s="11"/>
      <c r="I216" s="11"/>
      <c r="J216" s="11"/>
      <c r="K216" s="12"/>
      <c r="L216" s="13" t="s">
        <v>455</v>
      </c>
      <c r="M216" s="15" t="s">
        <v>456</v>
      </c>
      <c r="N216" s="28">
        <f>N197*PI()*N190*N225*(N217-N215)+PI()*N190/2*N225*N218*(N217^4-N215^4)*N184</f>
        <v>30537.854214770901</v>
      </c>
      <c r="O216" s="11"/>
      <c r="P216" s="214"/>
      <c r="Q216" s="56" t="s">
        <v>83</v>
      </c>
      <c r="R216" s="28">
        <f>G9*1000/C14</f>
        <v>42080.45977011494</v>
      </c>
      <c r="S216" s="11" t="s">
        <v>140</v>
      </c>
      <c r="V216" s="11"/>
      <c r="W216" s="11"/>
      <c r="X216" s="11"/>
      <c r="Y216" s="11"/>
      <c r="Z216" s="12"/>
    </row>
    <row r="217" spans="1:26">
      <c r="A217" s="13" t="s">
        <v>408</v>
      </c>
      <c r="B217" s="15" t="s">
        <v>457</v>
      </c>
      <c r="C217" s="28">
        <f>C215+C207</f>
        <v>43.685678455197532</v>
      </c>
      <c r="D217" s="11" t="s">
        <v>328</v>
      </c>
      <c r="E217" s="11"/>
      <c r="F217" s="11"/>
      <c r="G217" s="11"/>
      <c r="H217" s="11"/>
      <c r="I217" s="11"/>
      <c r="J217" s="11"/>
      <c r="K217" s="12"/>
      <c r="L217" s="13" t="s">
        <v>458</v>
      </c>
      <c r="M217" s="15" t="s">
        <v>459</v>
      </c>
      <c r="N217" s="28">
        <f>(C66+C68)/2</f>
        <v>1309.6595974770926</v>
      </c>
      <c r="O217" s="11"/>
      <c r="P217" s="54"/>
      <c r="Q217" s="55"/>
      <c r="R217" s="55"/>
      <c r="S217" s="55"/>
      <c r="T217" s="28"/>
      <c r="U217" s="11"/>
      <c r="V217" s="11"/>
      <c r="W217" s="11"/>
      <c r="X217" s="11"/>
      <c r="Y217" s="11"/>
      <c r="Z217" s="12"/>
    </row>
    <row r="218" spans="1:26">
      <c r="A218" s="13"/>
      <c r="B218" s="15"/>
      <c r="C218" s="28"/>
      <c r="D218" s="11"/>
      <c r="E218" s="11"/>
      <c r="F218" s="11"/>
      <c r="G218" s="11"/>
      <c r="H218" s="11"/>
      <c r="I218" s="11"/>
      <c r="J218" s="11"/>
      <c r="K218" s="12"/>
      <c r="L218" s="13" t="s">
        <v>460</v>
      </c>
      <c r="M218" s="15" t="s">
        <v>461</v>
      </c>
      <c r="N218" s="11">
        <f>5.67*10^(-8)</f>
        <v>5.6699999999999998E-8</v>
      </c>
      <c r="O218" s="11" t="s">
        <v>462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>
      <c r="A219" s="13"/>
      <c r="B219" s="15"/>
      <c r="C219" s="28"/>
      <c r="D219" s="11"/>
      <c r="E219" s="11"/>
      <c r="F219" s="11"/>
      <c r="G219" s="11"/>
      <c r="H219" s="11"/>
      <c r="I219" s="11"/>
      <c r="J219" s="11"/>
      <c r="K219" s="12"/>
      <c r="L219" s="13"/>
      <c r="M219" s="15"/>
      <c r="N219" s="11"/>
      <c r="O219" s="11"/>
      <c r="P219" s="11"/>
      <c r="Q219" s="68" t="s">
        <v>463</v>
      </c>
      <c r="R219" s="68"/>
      <c r="S219" s="68"/>
      <c r="T219" s="68"/>
      <c r="U219" s="68"/>
      <c r="V219" s="11"/>
      <c r="W219" s="11"/>
      <c r="X219" s="11"/>
      <c r="Y219" s="11"/>
      <c r="Z219" s="12"/>
    </row>
    <row r="220" spans="1:26">
      <c r="A220" s="39" t="s">
        <v>464</v>
      </c>
      <c r="B220" s="15"/>
      <c r="C220" s="28"/>
      <c r="D220" s="11"/>
      <c r="E220" s="11"/>
      <c r="F220" s="11"/>
      <c r="G220" s="11"/>
      <c r="H220" s="11"/>
      <c r="I220" s="11"/>
      <c r="J220" s="11"/>
      <c r="K220" s="12"/>
      <c r="L220" s="39" t="s">
        <v>465</v>
      </c>
      <c r="M220" s="15" t="s">
        <v>466</v>
      </c>
      <c r="N220" s="28">
        <f>-(G9*1000)*(LN(E222/N190))/(2*PI()*N172*N225)+N215</f>
        <v>1058.5101609147237</v>
      </c>
      <c r="O220" s="11" t="s">
        <v>14</v>
      </c>
      <c r="P220" s="11"/>
      <c r="Q220" s="68">
        <f>N209*N230*(-N233+N229)</f>
        <v>48.024550898202747</v>
      </c>
      <c r="R220" s="68" t="s">
        <v>467</v>
      </c>
      <c r="S220" s="68"/>
      <c r="T220" s="68"/>
      <c r="U220" s="68"/>
      <c r="V220" s="11"/>
      <c r="W220" s="11"/>
      <c r="X220" s="11"/>
      <c r="Y220" s="11"/>
      <c r="Z220" s="12"/>
    </row>
    <row r="221" spans="1:26" ht="15" thickBot="1">
      <c r="A221" s="13"/>
      <c r="B221" s="15"/>
      <c r="C221" s="28"/>
      <c r="D221" s="11"/>
      <c r="E221" s="11"/>
      <c r="F221" s="11"/>
      <c r="G221" s="11"/>
      <c r="H221" s="11"/>
      <c r="I221" s="11"/>
      <c r="J221" s="11"/>
      <c r="K221" s="12"/>
      <c r="P221" s="11"/>
      <c r="Q221" s="68">
        <f>N218*N173*PI()*S48*N225*(N220^4-N233^4)</f>
        <v>47103.52272368304</v>
      </c>
      <c r="R221" s="68" t="s">
        <v>468</v>
      </c>
      <c r="S221" s="69"/>
      <c r="T221" s="69"/>
      <c r="U221" s="69"/>
      <c r="V221" s="19"/>
      <c r="W221" s="19"/>
      <c r="X221" s="19"/>
      <c r="Y221" s="11"/>
      <c r="Z221" s="12"/>
    </row>
    <row r="222" spans="1:26">
      <c r="A222" s="13" t="s">
        <v>284</v>
      </c>
      <c r="B222" s="15" t="s">
        <v>120</v>
      </c>
      <c r="C222" s="28">
        <f>C92</f>
        <v>208</v>
      </c>
      <c r="D222" s="11" t="s">
        <v>273</v>
      </c>
      <c r="E222" s="11">
        <f>C222*0.001</f>
        <v>0.20800000000000002</v>
      </c>
      <c r="F222" s="11" t="s">
        <v>82</v>
      </c>
      <c r="G222" s="11"/>
      <c r="H222" s="11"/>
      <c r="I222" s="11"/>
      <c r="J222" s="11"/>
      <c r="K222" s="12"/>
      <c r="L222" s="220" t="s">
        <v>469</v>
      </c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2"/>
    </row>
    <row r="223" spans="1:26" ht="15" thickBot="1">
      <c r="A223" s="13" t="s">
        <v>286</v>
      </c>
      <c r="B223" s="15" t="s">
        <v>149</v>
      </c>
      <c r="C223" s="28">
        <f>C94</f>
        <v>460</v>
      </c>
      <c r="D223" s="11" t="s">
        <v>470</v>
      </c>
      <c r="E223" s="11">
        <f>C223*0.001</f>
        <v>0.46</v>
      </c>
      <c r="F223" s="11" t="s">
        <v>82</v>
      </c>
      <c r="G223" s="11"/>
      <c r="H223" s="11"/>
      <c r="I223" s="11"/>
      <c r="J223" s="11"/>
      <c r="K223" s="12"/>
      <c r="L223" s="223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5"/>
    </row>
    <row r="224" spans="1:26">
      <c r="A224" s="13" t="s">
        <v>362</v>
      </c>
      <c r="B224" s="15" t="s">
        <v>471</v>
      </c>
      <c r="C224" s="28">
        <f>R82</f>
        <v>1.5742938970470952</v>
      </c>
      <c r="D224" s="11" t="s">
        <v>472</v>
      </c>
      <c r="E224" s="11"/>
      <c r="F224" s="11"/>
      <c r="G224" s="11"/>
      <c r="H224" s="11"/>
      <c r="I224" s="11"/>
      <c r="J224" s="11"/>
      <c r="K224" s="11"/>
      <c r="L224" s="226" t="s">
        <v>473</v>
      </c>
      <c r="M224" s="227"/>
      <c r="N224" s="227"/>
      <c r="O224" s="227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 spans="1:29">
      <c r="A225" s="13" t="s">
        <v>474</v>
      </c>
      <c r="B225" s="15" t="s">
        <v>201</v>
      </c>
      <c r="C225" s="28">
        <f>S72*1000</f>
        <v>3</v>
      </c>
      <c r="D225" s="11" t="s">
        <v>470</v>
      </c>
      <c r="E225" s="11">
        <f>C225*0.001</f>
        <v>3.0000000000000001E-3</v>
      </c>
      <c r="F225" s="11" t="s">
        <v>82</v>
      </c>
      <c r="G225" s="219"/>
      <c r="H225" s="219"/>
      <c r="I225" s="219"/>
      <c r="J225" s="219"/>
      <c r="K225" s="11"/>
      <c r="L225" s="13" t="s">
        <v>475</v>
      </c>
      <c r="M225" s="15" t="s">
        <v>81</v>
      </c>
      <c r="N225" s="28">
        <f>BD59</f>
        <v>1.8527394815247513</v>
      </c>
      <c r="O225" s="11" t="s">
        <v>82</v>
      </c>
      <c r="P225" s="70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9">
      <c r="A226" s="13" t="s">
        <v>476</v>
      </c>
      <c r="B226" s="15" t="s">
        <v>204</v>
      </c>
      <c r="C226" s="28">
        <f>S73*1000</f>
        <v>100</v>
      </c>
      <c r="D226" s="11" t="s">
        <v>470</v>
      </c>
      <c r="E226" s="11">
        <f>C226*0.001</f>
        <v>0.1</v>
      </c>
      <c r="F226" s="11" t="s">
        <v>82</v>
      </c>
      <c r="G226" s="219"/>
      <c r="H226" s="219"/>
      <c r="I226" s="219"/>
      <c r="J226" s="219"/>
      <c r="K226" s="11"/>
      <c r="L226" s="13" t="s">
        <v>477</v>
      </c>
      <c r="M226" s="15" t="s">
        <v>478</v>
      </c>
      <c r="N226" s="28">
        <f>E9*1000*0.05</f>
        <v>1743.3333333333333</v>
      </c>
      <c r="O226" s="11" t="s">
        <v>140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9">
      <c r="A227" s="13" t="s">
        <v>479</v>
      </c>
      <c r="B227" s="15" t="s">
        <v>198</v>
      </c>
      <c r="C227" s="28">
        <f>S71</f>
        <v>30</v>
      </c>
      <c r="D227" s="11"/>
      <c r="E227" s="11"/>
      <c r="F227" s="11"/>
      <c r="G227" s="219"/>
      <c r="H227" s="219"/>
      <c r="I227" s="219"/>
      <c r="J227" s="219"/>
      <c r="K227" s="11"/>
      <c r="L227" s="13" t="s">
        <v>480</v>
      </c>
      <c r="M227" s="15" t="s">
        <v>446</v>
      </c>
      <c r="N227" s="26">
        <f>N209</f>
        <v>35.262909616422945</v>
      </c>
      <c r="O227" s="11" t="s">
        <v>427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9">
      <c r="A228" s="13" t="s">
        <v>481</v>
      </c>
      <c r="B228" s="15" t="s">
        <v>482</v>
      </c>
      <c r="C228" s="26">
        <f>4*(PI()/4*(E223^2-E222^2)-E226*E225*C227)/(PI()*E223+PI()*E222+2*E226*C227)</f>
        <v>6.0855471459046628E-2</v>
      </c>
      <c r="D228" s="11" t="s">
        <v>82</v>
      </c>
      <c r="E228" s="11"/>
      <c r="F228" s="11"/>
      <c r="G228" s="219"/>
      <c r="H228" s="219"/>
      <c r="I228" s="219"/>
      <c r="J228" s="219"/>
      <c r="K228" s="11"/>
      <c r="L228" s="13" t="s">
        <v>483</v>
      </c>
      <c r="M228" s="15" t="s">
        <v>484</v>
      </c>
      <c r="N228" s="11">
        <f>PI()*(N202+E92)/2*L</f>
        <v>1.9440646165540896</v>
      </c>
      <c r="O228" s="11" t="s">
        <v>155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9">
      <c r="A229" s="13" t="s">
        <v>291</v>
      </c>
      <c r="B229" s="15" t="s">
        <v>135</v>
      </c>
      <c r="C229" s="46">
        <f>C141/(C157*(PI()/4*((E223)^2-E222^2)-E225*E226*C227))</f>
        <v>15.523165384885711</v>
      </c>
      <c r="D229" s="11" t="s">
        <v>130</v>
      </c>
      <c r="E229" s="11"/>
      <c r="F229" s="11"/>
      <c r="G229" s="11"/>
      <c r="H229" s="11"/>
      <c r="I229" s="11"/>
      <c r="J229" s="11"/>
      <c r="K229" s="11"/>
      <c r="L229" s="13" t="s">
        <v>485</v>
      </c>
      <c r="M229" s="15" t="s">
        <v>486</v>
      </c>
      <c r="N229" s="23">
        <f>(C38+E47)/2</f>
        <v>297.50736272019617</v>
      </c>
      <c r="O229" s="11" t="s">
        <v>14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9">
      <c r="A230" s="13" t="s">
        <v>487</v>
      </c>
      <c r="B230" s="15" t="s">
        <v>488</v>
      </c>
      <c r="C230" s="45">
        <f>C157*C229*C228/C160</f>
        <v>61092.110827892182</v>
      </c>
      <c r="D230" s="11"/>
      <c r="E230" s="11"/>
      <c r="F230" s="11"/>
      <c r="G230" s="11"/>
      <c r="H230" s="11"/>
      <c r="I230" s="11"/>
      <c r="J230" s="11"/>
      <c r="K230" s="11"/>
      <c r="L230" s="13" t="s">
        <v>489</v>
      </c>
      <c r="M230" s="15" t="s">
        <v>490</v>
      </c>
      <c r="N230" s="11">
        <f>PI()*N225*E94</f>
        <v>2.6774542623200039</v>
      </c>
      <c r="O230" s="11" t="s">
        <v>155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9">
      <c r="A231" s="13" t="s">
        <v>378</v>
      </c>
      <c r="B231" s="15" t="s">
        <v>143</v>
      </c>
      <c r="C231" s="28">
        <v>0.09</v>
      </c>
      <c r="D231" s="11" t="s">
        <v>470</v>
      </c>
      <c r="E231" s="11"/>
      <c r="F231" s="11"/>
      <c r="G231" s="11"/>
      <c r="H231" s="11"/>
      <c r="I231" s="11"/>
      <c r="J231" s="11"/>
      <c r="K231" s="11"/>
      <c r="L231" s="13" t="s">
        <v>491</v>
      </c>
      <c r="M231" s="15" t="s">
        <v>492</v>
      </c>
      <c r="N231" s="11">
        <v>0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9">
      <c r="A232" s="13" t="s">
        <v>382</v>
      </c>
      <c r="B232" s="15" t="s">
        <v>383</v>
      </c>
      <c r="C232" s="45">
        <f>C231*0.001/C228</f>
        <v>1.4789138567526587E-3</v>
      </c>
      <c r="D232" s="11"/>
      <c r="E232" s="11"/>
      <c r="F232" s="11"/>
      <c r="G232" s="11"/>
      <c r="H232" s="11"/>
      <c r="I232" s="11"/>
      <c r="J232" s="11"/>
      <c r="K232" s="11"/>
      <c r="L232" s="13"/>
      <c r="M232" s="15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9" ht="16.2" customHeight="1">
      <c r="A233" s="13" t="s">
        <v>386</v>
      </c>
      <c r="B233" s="15" t="s">
        <v>300</v>
      </c>
      <c r="C233" s="28">
        <f>0.0425</f>
        <v>4.2500000000000003E-2</v>
      </c>
      <c r="D233" s="11"/>
      <c r="E233" s="11"/>
      <c r="F233" s="11"/>
      <c r="G233" s="11"/>
      <c r="H233" s="11"/>
      <c r="I233" s="11"/>
      <c r="J233" s="11"/>
      <c r="K233" s="11"/>
      <c r="L233" s="39" t="s">
        <v>493</v>
      </c>
      <c r="M233" s="15" t="s">
        <v>494</v>
      </c>
      <c r="N233" s="28">
        <v>296.99870796658007</v>
      </c>
      <c r="O233" s="11" t="s">
        <v>14</v>
      </c>
      <c r="P233" s="214" t="str">
        <f>IF(TRUNC(N234,0)=TRUNC(R234,0), "Conv. OK", "RIFAI convergenza")</f>
        <v>Conv. OK</v>
      </c>
      <c r="Q233" s="56" t="s">
        <v>58</v>
      </c>
      <c r="R233" s="56"/>
      <c r="S233" s="56"/>
      <c r="T233" s="11"/>
      <c r="U233" s="11"/>
      <c r="V233" s="54"/>
      <c r="W233" s="56"/>
      <c r="X233" s="56"/>
      <c r="Y233" s="56"/>
      <c r="Z233" s="12"/>
    </row>
    <row r="234" spans="1:29">
      <c r="A234" s="13" t="s">
        <v>388</v>
      </c>
      <c r="B234" s="15" t="s">
        <v>495</v>
      </c>
      <c r="C234" s="28">
        <f>C233*(C157*C229^2*C224)/(2*C228)</f>
        <v>157.19798238037978</v>
      </c>
      <c r="D234" s="11" t="s">
        <v>328</v>
      </c>
      <c r="E234" s="11"/>
      <c r="F234" s="11"/>
      <c r="G234" s="11"/>
      <c r="H234" s="11"/>
      <c r="I234" s="11"/>
      <c r="J234" s="11"/>
      <c r="K234" s="11"/>
      <c r="L234" s="13" t="s">
        <v>496</v>
      </c>
      <c r="M234" s="15" t="s">
        <v>497</v>
      </c>
      <c r="N234" s="28">
        <f>(N229-N233)*(h_2int+N235)*A_aria</f>
        <v>34.869999999999386</v>
      </c>
      <c r="O234" s="11" t="s">
        <v>140</v>
      </c>
      <c r="P234" s="214"/>
      <c r="Q234" s="56" t="s">
        <v>83</v>
      </c>
      <c r="R234" s="28">
        <f>E9*1000*0.001</f>
        <v>34.866666666666667</v>
      </c>
      <c r="S234" s="11" t="s">
        <v>140</v>
      </c>
      <c r="T234" s="11"/>
      <c r="U234" s="11"/>
      <c r="V234" s="54"/>
      <c r="W234" s="56"/>
      <c r="X234" s="56"/>
      <c r="Y234" s="56"/>
      <c r="Z234" s="12"/>
    </row>
    <row r="235" spans="1:29" ht="15" thickBot="1">
      <c r="A235" s="13"/>
      <c r="B235" s="15"/>
      <c r="C235" s="28"/>
      <c r="D235" s="11"/>
      <c r="E235" s="11"/>
      <c r="F235" s="11"/>
      <c r="G235" s="11"/>
      <c r="H235" s="11"/>
      <c r="I235" s="11"/>
      <c r="J235" s="11"/>
      <c r="K235" s="11"/>
      <c r="L235" s="13" t="s">
        <v>498</v>
      </c>
      <c r="M235" s="15" t="s">
        <v>499</v>
      </c>
      <c r="N235" s="11">
        <f>N231*N218*(N229+N233)*(N229^2+N233^2)</f>
        <v>0</v>
      </c>
      <c r="O235" s="11" t="s">
        <v>427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  <c r="AB235" t="s">
        <v>500</v>
      </c>
      <c r="AC235" s="70">
        <f>N220</f>
        <v>1058.5101609147237</v>
      </c>
    </row>
    <row r="236" spans="1:29" ht="15" thickBot="1">
      <c r="A236" s="13"/>
      <c r="B236" s="15"/>
      <c r="C236" s="28"/>
      <c r="D236" s="11"/>
      <c r="E236" s="11"/>
      <c r="F236" s="11"/>
      <c r="G236" s="11"/>
      <c r="H236" s="11"/>
      <c r="I236" s="11"/>
      <c r="J236" s="11"/>
      <c r="K236" s="11"/>
      <c r="L236" s="13"/>
      <c r="M236" s="11"/>
      <c r="N236" s="11"/>
      <c r="O236" s="11"/>
      <c r="P236" s="107">
        <f>N234/phi_5*5</f>
        <v>0.10000956022944375</v>
      </c>
      <c r="Q236" s="88" t="s">
        <v>501</v>
      </c>
      <c r="R236" s="88"/>
      <c r="S236" s="88"/>
      <c r="T236" s="88"/>
      <c r="U236" s="11"/>
      <c r="V236" s="11"/>
      <c r="W236" s="11"/>
      <c r="X236" s="11"/>
      <c r="Y236" s="11"/>
      <c r="Z236" s="12"/>
      <c r="AB236" t="s">
        <v>502</v>
      </c>
      <c r="AC236">
        <f>E9*1000</f>
        <v>34866.666666666664</v>
      </c>
    </row>
    <row r="237" spans="1:29" ht="28.8">
      <c r="A237" s="14" t="s">
        <v>503</v>
      </c>
      <c r="B237" s="40" t="s">
        <v>504</v>
      </c>
      <c r="C237" s="41">
        <f>C234+C217+C190</f>
        <v>214.87624571253738</v>
      </c>
      <c r="D237" s="42" t="s">
        <v>328</v>
      </c>
      <c r="E237" s="11"/>
      <c r="F237" s="11"/>
      <c r="G237" s="11"/>
      <c r="H237" s="11"/>
      <c r="I237" s="11"/>
      <c r="J237" s="11"/>
      <c r="K237" s="11"/>
      <c r="L237" s="39" t="s">
        <v>505</v>
      </c>
      <c r="M237" s="15" t="s">
        <v>506</v>
      </c>
      <c r="N237" s="28">
        <f>N233-N226*LN(N240/N202)/(2*PI()*N225*N172)</f>
        <v>296.95973771549831</v>
      </c>
      <c r="O237" s="11" t="s">
        <v>14</v>
      </c>
      <c r="P237" s="28">
        <f>N237-273</f>
        <v>23.959737715498306</v>
      </c>
      <c r="Q237" s="11" t="s">
        <v>13</v>
      </c>
      <c r="R237" s="11"/>
      <c r="S237" s="11"/>
      <c r="T237" s="11"/>
      <c r="U237" s="11"/>
      <c r="V237" s="11"/>
      <c r="W237" s="11"/>
      <c r="X237" s="11"/>
      <c r="Y237" s="11"/>
      <c r="Z237" s="12"/>
      <c r="AB237" t="s">
        <v>507</v>
      </c>
      <c r="AC237">
        <f>1/(N211*PI()*N202*N225)</f>
        <v>8.6455028647540854E-3</v>
      </c>
    </row>
    <row r="238" spans="1:29">
      <c r="A238" s="13"/>
      <c r="B238" s="15"/>
      <c r="C238" s="28"/>
      <c r="D238" s="11"/>
      <c r="E238" s="11"/>
      <c r="F238" s="11"/>
      <c r="G238" s="11"/>
      <c r="H238" s="11"/>
      <c r="I238" s="11"/>
      <c r="J238" s="11"/>
      <c r="K238" s="11"/>
      <c r="L238" s="13"/>
      <c r="M238" s="15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  <c r="AB238" t="s">
        <v>508</v>
      </c>
      <c r="AC238" s="71">
        <f>1/(N211*O77*AD82)</f>
        <v>7.4845793354365872E-4</v>
      </c>
    </row>
    <row r="239" spans="1:29" ht="28.8">
      <c r="A239" s="14" t="s">
        <v>341</v>
      </c>
      <c r="B239" s="40" t="s">
        <v>342</v>
      </c>
      <c r="C239" s="41">
        <f>C136</f>
        <v>455.37672912795358</v>
      </c>
      <c r="D239" s="42" t="s">
        <v>328</v>
      </c>
      <c r="E239" s="11"/>
      <c r="F239" s="11"/>
      <c r="G239" s="11"/>
      <c r="H239" s="11"/>
      <c r="I239" s="11"/>
      <c r="J239" s="11"/>
      <c r="K239" s="11"/>
      <c r="L239" s="13" t="s">
        <v>509</v>
      </c>
      <c r="M239" s="15" t="s">
        <v>510</v>
      </c>
      <c r="N239" s="11">
        <v>3.0000000000000001E-3</v>
      </c>
      <c r="O239" s="11" t="s">
        <v>82</v>
      </c>
      <c r="P239" s="53" t="s">
        <v>511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2"/>
      <c r="AB239" t="s">
        <v>512</v>
      </c>
      <c r="AC239">
        <v>298</v>
      </c>
    </row>
    <row r="240" spans="1:29">
      <c r="A240" s="13"/>
      <c r="B240" s="15"/>
      <c r="C240" s="28"/>
      <c r="D240" s="11"/>
      <c r="E240" s="11"/>
      <c r="F240" s="11"/>
      <c r="G240" s="11"/>
      <c r="H240" s="11"/>
      <c r="I240" s="11"/>
      <c r="J240" s="11"/>
      <c r="K240" s="11"/>
      <c r="L240" s="13" t="s">
        <v>513</v>
      </c>
      <c r="M240" s="15" t="s">
        <v>514</v>
      </c>
      <c r="N240" s="11">
        <f>E94+2*N239</f>
        <v>0.46600000000000003</v>
      </c>
      <c r="O240" s="11" t="s">
        <v>82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  <c r="AB240" t="s">
        <v>515</v>
      </c>
      <c r="AC240">
        <f>AC239+(AC239-$AC$235)*AC237/AC238-AC236*AC237</f>
        <v>-8788.1590607652379</v>
      </c>
    </row>
    <row r="241" spans="1:26">
      <c r="A241" s="13" t="s">
        <v>408</v>
      </c>
      <c r="B241" s="15" t="s">
        <v>516</v>
      </c>
      <c r="C241" s="28">
        <f>C237+C239</f>
        <v>670.25297484049099</v>
      </c>
      <c r="D241" s="11" t="s">
        <v>328</v>
      </c>
      <c r="E241" s="11"/>
      <c r="F241" s="11"/>
      <c r="G241" s="11"/>
      <c r="H241" s="11"/>
      <c r="I241" s="11"/>
      <c r="J241" s="11"/>
      <c r="K241" s="11"/>
      <c r="L241" s="228" t="s">
        <v>517</v>
      </c>
      <c r="M241" s="15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>
      <c r="A242" s="13"/>
      <c r="B242" s="15"/>
      <c r="C242" s="28"/>
      <c r="D242" s="11"/>
      <c r="E242" s="11"/>
      <c r="F242" s="11"/>
      <c r="G242" s="11"/>
      <c r="H242" s="11"/>
      <c r="I242" s="11"/>
      <c r="J242" s="11"/>
      <c r="K242" s="11"/>
      <c r="L242" s="228"/>
      <c r="M242" s="15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>
      <c r="A243" s="10" t="s">
        <v>518</v>
      </c>
      <c r="B243" s="15"/>
      <c r="C243" s="28"/>
      <c r="D243" s="11"/>
      <c r="E243" s="11"/>
      <c r="F243" s="11"/>
      <c r="G243" s="11"/>
      <c r="H243" s="11"/>
      <c r="I243" s="11"/>
      <c r="J243" s="11"/>
      <c r="K243" s="11"/>
      <c r="L243" s="13" t="s">
        <v>519</v>
      </c>
      <c r="M243" s="15" t="s">
        <v>520</v>
      </c>
      <c r="N243" s="11">
        <f>10+273.15</f>
        <v>283.14999999999998</v>
      </c>
      <c r="O243" s="11" t="s">
        <v>14</v>
      </c>
      <c r="P243" s="58" t="s">
        <v>521</v>
      </c>
      <c r="Q243" s="11"/>
      <c r="R243" s="19"/>
      <c r="S243" s="11"/>
      <c r="T243" s="11"/>
      <c r="U243" s="11"/>
      <c r="V243" s="11"/>
      <c r="W243" s="11"/>
      <c r="X243" s="11"/>
      <c r="Y243" s="11"/>
      <c r="Z243" s="12"/>
    </row>
    <row r="244" spans="1:26">
      <c r="A244" s="13"/>
      <c r="B244" s="15"/>
      <c r="C244" s="11"/>
      <c r="D244" s="11"/>
      <c r="E244" s="11"/>
      <c r="F244" s="11"/>
      <c r="G244" s="11"/>
      <c r="H244" s="11"/>
      <c r="I244" s="11"/>
      <c r="J244" s="11"/>
      <c r="K244" s="11"/>
      <c r="L244" s="13"/>
      <c r="M244" s="15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>
      <c r="A245" s="13" t="s">
        <v>522</v>
      </c>
      <c r="B245" s="15" t="s">
        <v>523</v>
      </c>
      <c r="C245" s="11">
        <v>0.8</v>
      </c>
      <c r="D245" s="11"/>
      <c r="E245" s="11"/>
      <c r="F245" s="11"/>
      <c r="G245" s="11"/>
      <c r="H245" s="11"/>
      <c r="I245" s="11"/>
      <c r="J245" s="11"/>
      <c r="K245" s="11"/>
      <c r="L245" s="13" t="s">
        <v>524</v>
      </c>
      <c r="M245" s="15" t="s">
        <v>525</v>
      </c>
      <c r="N245" s="11">
        <v>2.61</v>
      </c>
      <c r="O245" s="11" t="s">
        <v>526</v>
      </c>
      <c r="P245" s="58" t="s">
        <v>1207</v>
      </c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>
      <c r="A246" s="13"/>
      <c r="B246" s="15"/>
      <c r="C246" s="11"/>
      <c r="D246" s="11"/>
      <c r="E246" s="11"/>
      <c r="F246" s="11"/>
      <c r="G246" s="11"/>
      <c r="H246" s="11"/>
      <c r="I246" s="11"/>
      <c r="J246" s="11"/>
      <c r="K246" s="11"/>
      <c r="L246" s="13" t="s">
        <v>527</v>
      </c>
      <c r="M246" s="15" t="s">
        <v>528</v>
      </c>
      <c r="N246" s="28">
        <v>0.52555517850152556</v>
      </c>
      <c r="O246" s="11" t="s">
        <v>82</v>
      </c>
      <c r="P246" s="56" t="s">
        <v>58</v>
      </c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>
      <c r="A247" s="13" t="s">
        <v>518</v>
      </c>
      <c r="B247" s="15" t="s">
        <v>529</v>
      </c>
      <c r="C247" s="28">
        <f>C241*C141/C157/C245</f>
        <v>1602.4252258373849</v>
      </c>
      <c r="D247" s="11" t="s">
        <v>140</v>
      </c>
      <c r="E247" s="11"/>
      <c r="F247" s="11"/>
      <c r="G247" s="11"/>
      <c r="H247" s="11"/>
      <c r="I247" s="11"/>
      <c r="J247" s="11"/>
      <c r="K247" s="11"/>
      <c r="L247" s="13" t="s">
        <v>530</v>
      </c>
      <c r="M247" s="15" t="s">
        <v>531</v>
      </c>
      <c r="N247" s="11">
        <f>LN(N240/N202)/(2*PI()*L*N172)+LN(N246/N240)/(2*PI()*L*N176)+1/(N245*PI()*N246*L)</f>
        <v>0.39715250947318703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>
      <c r="A248" s="13"/>
      <c r="B248" s="15"/>
      <c r="C248" s="11"/>
      <c r="D248" s="11"/>
      <c r="E248" s="11"/>
      <c r="F248" s="11"/>
      <c r="G248" s="11"/>
      <c r="H248" s="11"/>
      <c r="I248" s="11"/>
      <c r="J248" s="11"/>
      <c r="K248" s="11"/>
      <c r="L248" s="13"/>
      <c r="M248" s="15" t="s">
        <v>497</v>
      </c>
      <c r="N248" s="28">
        <f>(N233-N243)/N247</f>
        <v>34.869999902430585</v>
      </c>
      <c r="O248" s="214" t="str">
        <f>IF(TRUNC(N248,0)=TRUNC(Q248,0), "Conv. OK", "RIFAI conv.")</f>
        <v>Conv. OK</v>
      </c>
      <c r="P248" s="56" t="s">
        <v>83</v>
      </c>
      <c r="Q248" s="62">
        <f>N234</f>
        <v>34.869999999999386</v>
      </c>
      <c r="R248" s="11" t="s">
        <v>140</v>
      </c>
      <c r="S248" s="11"/>
      <c r="T248" s="11"/>
      <c r="U248" s="11"/>
      <c r="V248" s="11"/>
      <c r="W248" s="11"/>
      <c r="X248" s="11"/>
      <c r="Y248" s="11"/>
      <c r="Z248" s="12"/>
    </row>
    <row r="249" spans="1:26">
      <c r="A249" s="13"/>
      <c r="B249" s="15"/>
      <c r="C249" s="11"/>
      <c r="D249" s="11"/>
      <c r="E249" s="11"/>
      <c r="F249" s="11"/>
      <c r="G249" s="11"/>
      <c r="H249" s="11"/>
      <c r="I249" s="11"/>
      <c r="J249" s="11"/>
      <c r="K249" s="11"/>
      <c r="L249" s="13"/>
      <c r="M249" s="15"/>
      <c r="N249" s="11"/>
      <c r="O249" s="214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>
      <c r="A250" s="13"/>
      <c r="B250" s="15"/>
      <c r="C250" s="11"/>
      <c r="D250" s="11"/>
      <c r="E250" s="11"/>
      <c r="F250" s="11"/>
      <c r="G250" s="11"/>
      <c r="H250" s="11"/>
      <c r="I250" s="11"/>
      <c r="J250" s="11"/>
      <c r="K250" s="11"/>
      <c r="L250" s="13"/>
      <c r="M250" s="11"/>
      <c r="N250" s="11"/>
      <c r="O250" s="11"/>
      <c r="P250" s="229"/>
      <c r="Q250" s="229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>
      <c r="A251" s="38" t="s">
        <v>532</v>
      </c>
      <c r="B251" s="15"/>
      <c r="C251" s="11"/>
      <c r="D251" s="11"/>
      <c r="E251" s="11"/>
      <c r="F251" s="11"/>
      <c r="G251" s="11"/>
      <c r="H251" s="11"/>
      <c r="I251" s="11"/>
      <c r="J251" s="11"/>
      <c r="K251" s="11"/>
      <c r="L251" s="57" t="s">
        <v>533</v>
      </c>
      <c r="M251" s="15" t="s">
        <v>534</v>
      </c>
      <c r="N251" s="28">
        <f>N237-R234*LN(N246/N240)/(2*PI()*L*N176)</f>
        <v>287.48017500665782</v>
      </c>
      <c r="O251" s="11" t="s">
        <v>14</v>
      </c>
      <c r="P251" s="229"/>
      <c r="Q251" s="229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>
      <c r="A252" s="13"/>
      <c r="B252" s="15"/>
      <c r="C252" s="11"/>
      <c r="D252" s="11"/>
      <c r="E252" s="11"/>
      <c r="F252" s="11"/>
      <c r="G252" s="11"/>
      <c r="H252" s="11"/>
      <c r="I252" s="11"/>
      <c r="J252" s="11"/>
      <c r="K252" s="11"/>
      <c r="L252" s="13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>
      <c r="A253" s="13"/>
      <c r="B253" s="15"/>
      <c r="C253" s="11"/>
      <c r="D253" s="11"/>
      <c r="E253" s="11"/>
      <c r="F253" s="11"/>
      <c r="G253" s="11"/>
      <c r="H253" s="11"/>
      <c r="I253" s="11"/>
      <c r="J253" s="11"/>
      <c r="K253" s="11"/>
      <c r="L253" s="13" t="s">
        <v>535</v>
      </c>
      <c r="M253" s="15" t="s">
        <v>536</v>
      </c>
      <c r="N253" s="11">
        <f>(N254*N255*(N251-N243)*(N246)^3)/(N256)^2</f>
        <v>103012245.16223742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>
      <c r="A254" s="10" t="s">
        <v>537</v>
      </c>
      <c r="B254" s="15"/>
      <c r="C254" s="11"/>
      <c r="D254" s="11"/>
      <c r="E254" s="11"/>
      <c r="F254" s="11"/>
      <c r="G254" s="11"/>
      <c r="H254" s="11"/>
      <c r="I254" s="11"/>
      <c r="J254" s="11"/>
      <c r="K254" s="11"/>
      <c r="L254" s="13" t="s">
        <v>538</v>
      </c>
      <c r="M254" s="15" t="s">
        <v>539</v>
      </c>
      <c r="N254" s="11">
        <v>9.81</v>
      </c>
      <c r="O254" s="11" t="s">
        <v>540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>
      <c r="A255" s="13"/>
      <c r="B255" s="15"/>
      <c r="C255" s="11"/>
      <c r="D255" s="11"/>
      <c r="E255" s="11"/>
      <c r="F255" s="11"/>
      <c r="G255" s="11"/>
      <c r="H255" s="11"/>
      <c r="I255" s="11"/>
      <c r="J255" s="11"/>
      <c r="K255" s="11"/>
      <c r="L255" s="13"/>
      <c r="M255" s="15" t="s">
        <v>541</v>
      </c>
      <c r="N255" s="11">
        <f>1/N251</f>
        <v>3.478500734796202E-3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>
      <c r="A256" s="39" t="s">
        <v>464</v>
      </c>
      <c r="B256" s="15"/>
      <c r="C256" s="11"/>
      <c r="D256" s="11"/>
      <c r="E256" s="11"/>
      <c r="F256" s="11"/>
      <c r="G256" s="11"/>
      <c r="H256" s="11"/>
      <c r="I256" s="11"/>
      <c r="J256" s="11"/>
      <c r="K256" s="11"/>
      <c r="L256" s="13" t="s">
        <v>542</v>
      </c>
      <c r="M256" s="15" t="s">
        <v>543</v>
      </c>
      <c r="N256" s="11">
        <f>14.43*10^-6</f>
        <v>1.4429999999999999E-5</v>
      </c>
      <c r="O256" s="11" t="s">
        <v>419</v>
      </c>
      <c r="P256" s="53" t="s">
        <v>544</v>
      </c>
      <c r="Q256" s="11"/>
      <c r="R256" s="28">
        <f>N251-273</f>
        <v>14.480175006657817</v>
      </c>
      <c r="S256" s="11" t="s">
        <v>13</v>
      </c>
      <c r="T256" s="11"/>
      <c r="U256" s="11"/>
      <c r="V256" s="11"/>
      <c r="W256" s="11"/>
      <c r="X256" s="11"/>
      <c r="Y256" s="11"/>
      <c r="Z256" s="12"/>
    </row>
    <row r="257" spans="1:26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3"/>
      <c r="M257" s="15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>
      <c r="A258" s="13" t="s">
        <v>545</v>
      </c>
      <c r="B258" s="15" t="s">
        <v>471</v>
      </c>
      <c r="C258" s="28">
        <f>AD82+0.2</f>
        <v>4.9120800335568111</v>
      </c>
      <c r="D258" s="11" t="s">
        <v>472</v>
      </c>
      <c r="E258" s="11"/>
      <c r="F258" s="11"/>
      <c r="G258" s="19"/>
      <c r="H258" s="11"/>
      <c r="I258" s="11"/>
      <c r="J258" s="11"/>
      <c r="K258" s="11"/>
      <c r="L258" s="13" t="s">
        <v>546</v>
      </c>
      <c r="M258" s="15" t="s">
        <v>547</v>
      </c>
      <c r="N258" s="11">
        <v>0.70899999999999996</v>
      </c>
      <c r="O258" s="11"/>
      <c r="P258" s="53" t="s">
        <v>544</v>
      </c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>
      <c r="A259" s="13" t="s">
        <v>548</v>
      </c>
      <c r="B259" s="15" t="s">
        <v>549</v>
      </c>
      <c r="C259" s="23">
        <f>((C66+C68)/2)-273.15</f>
        <v>1036.5095974770925</v>
      </c>
      <c r="D259" s="11" t="s">
        <v>13</v>
      </c>
      <c r="E259" s="11">
        <f>C259+273.15</f>
        <v>1309.6595974770926</v>
      </c>
      <c r="F259" s="11" t="s">
        <v>14</v>
      </c>
      <c r="G259" s="11"/>
      <c r="H259" s="11"/>
      <c r="I259" s="11"/>
      <c r="J259" s="11"/>
      <c r="K259" s="11"/>
      <c r="L259" s="13" t="s">
        <v>550</v>
      </c>
      <c r="M259" s="15" t="s">
        <v>551</v>
      </c>
      <c r="N259" s="11">
        <f>N258*N253</f>
        <v>73035681.820026323</v>
      </c>
      <c r="O259" s="217"/>
      <c r="P259" s="217"/>
      <c r="Q259" s="217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>
      <c r="A260" s="13" t="s">
        <v>552</v>
      </c>
      <c r="B260" s="15" t="s">
        <v>415</v>
      </c>
      <c r="C260" s="46">
        <f>AK74</f>
        <v>3.5468553588533696</v>
      </c>
      <c r="D260" s="11" t="s">
        <v>130</v>
      </c>
      <c r="E260" s="11"/>
      <c r="F260" s="11"/>
      <c r="G260" s="11"/>
      <c r="H260" s="11"/>
      <c r="I260" s="11"/>
      <c r="J260" s="11"/>
      <c r="K260" s="11"/>
      <c r="L260" s="13" t="s">
        <v>553</v>
      </c>
      <c r="M260" s="15" t="s">
        <v>554</v>
      </c>
      <c r="N260" s="11">
        <f>IF(N246&gt;=35*L/N253^(1/4), (0.825+(0.387*N259^(1/6))/(1+(0.492/N258)^(9/16))^(8/27))^2, IF(N259&lt;10^9, 0.59*N253^0.25*N258^0.25, 0.13 *N253^0.33*N258^0.33))</f>
        <v>54.542593353417132</v>
      </c>
      <c r="O260" s="217"/>
      <c r="P260" s="217"/>
      <c r="Q260" s="217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>
      <c r="A261" s="13" t="s">
        <v>555</v>
      </c>
      <c r="B261" s="15" t="s">
        <v>556</v>
      </c>
      <c r="C261" s="11">
        <v>300</v>
      </c>
      <c r="D261" s="11" t="s">
        <v>273</v>
      </c>
      <c r="E261" s="11">
        <f>C261*0.001</f>
        <v>0.3</v>
      </c>
      <c r="F261" s="11" t="s">
        <v>82</v>
      </c>
      <c r="G261" s="11"/>
      <c r="H261" s="11"/>
      <c r="I261" s="11"/>
      <c r="J261" s="11"/>
      <c r="K261" s="11"/>
      <c r="L261" s="13" t="s">
        <v>557</v>
      </c>
      <c r="M261" s="15" t="s">
        <v>436</v>
      </c>
      <c r="N261" s="11">
        <f>25.19*10^-3</f>
        <v>2.5190000000000001E-2</v>
      </c>
      <c r="O261" s="59" t="s">
        <v>412</v>
      </c>
      <c r="P261" s="34" t="s">
        <v>558</v>
      </c>
      <c r="Q261" s="11"/>
      <c r="R261" s="11">
        <f>N243</f>
        <v>283.14999999999998</v>
      </c>
      <c r="S261" s="11" t="s">
        <v>14</v>
      </c>
      <c r="T261" s="11"/>
      <c r="U261" s="11"/>
      <c r="V261" s="11"/>
      <c r="W261" s="11"/>
      <c r="X261" s="11"/>
      <c r="Y261" s="11"/>
      <c r="Z261" s="12"/>
    </row>
    <row r="262" spans="1:26">
      <c r="A262" s="13" t="s">
        <v>559</v>
      </c>
      <c r="B262" s="15" t="s">
        <v>560</v>
      </c>
      <c r="C262" s="26">
        <f>101325/(287*E259)</f>
        <v>0.26957293419443679</v>
      </c>
      <c r="D262" s="11" t="s">
        <v>87</v>
      </c>
      <c r="E262" s="11"/>
      <c r="F262" s="11"/>
      <c r="G262" s="11"/>
      <c r="H262" s="11"/>
      <c r="I262" s="11"/>
      <c r="J262" s="11"/>
      <c r="K262" s="11"/>
      <c r="L262" s="13" t="s">
        <v>524</v>
      </c>
      <c r="M262" s="15" t="s">
        <v>561</v>
      </c>
      <c r="N262" s="28">
        <f>N260*N261/N246</f>
        <v>2.6142410593116998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>
      <c r="A263" s="13" t="s">
        <v>428</v>
      </c>
      <c r="B263" s="15" t="s">
        <v>429</v>
      </c>
      <c r="C263" s="45">
        <f>4.9*10^(-5)</f>
        <v>4.9000000000000005E-5</v>
      </c>
      <c r="D263" s="11"/>
      <c r="E263" s="11"/>
      <c r="F263" s="11"/>
      <c r="G263" s="11"/>
      <c r="H263" s="11"/>
      <c r="I263" s="11"/>
      <c r="J263" s="11"/>
      <c r="K263" s="11"/>
      <c r="L263" s="13"/>
      <c r="M263" s="15"/>
      <c r="N263" s="11"/>
      <c r="O263" s="218" t="str">
        <f>IF(TRUNC(N262,1)=TRUNC(N245,1),"CONVERGENZA OK","RIFAI PROCEDURA")</f>
        <v>CONVERGENZA OK</v>
      </c>
      <c r="P263" s="218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>
      <c r="A264" s="13" t="s">
        <v>562</v>
      </c>
      <c r="B264" s="15" t="s">
        <v>563</v>
      </c>
      <c r="C264" s="45">
        <f>4*(PI()/4*S47^2-AE71*AE72*AE73)/(PI()*S47-AE72*AE71+AE73*AE71*2)</f>
        <v>1.1990459615678328E-2</v>
      </c>
      <c r="D264" s="11" t="s">
        <v>82</v>
      </c>
      <c r="E264" s="11"/>
      <c r="F264" s="11"/>
      <c r="G264" s="11"/>
      <c r="H264" s="11"/>
      <c r="I264" s="11"/>
      <c r="J264" s="11"/>
      <c r="K264" s="11"/>
      <c r="L264" s="13"/>
      <c r="M264" s="15" t="s">
        <v>564</v>
      </c>
      <c r="N264" s="215" t="s">
        <v>565</v>
      </c>
      <c r="O264" s="215"/>
      <c r="P264" s="215"/>
      <c r="Q264" s="215"/>
      <c r="R264" s="101"/>
      <c r="S264" s="101"/>
      <c r="T264" s="101"/>
      <c r="U264" s="101"/>
      <c r="V264" s="101"/>
      <c r="W264" s="101"/>
      <c r="X264" s="101"/>
      <c r="Y264" s="101"/>
      <c r="Z264" s="102"/>
    </row>
    <row r="265" spans="1:26">
      <c r="A265" s="13" t="s">
        <v>160</v>
      </c>
      <c r="B265" s="15" t="s">
        <v>566</v>
      </c>
      <c r="C265" s="45">
        <f>C262*C260*C264/C263</f>
        <v>233.96964424736515</v>
      </c>
      <c r="D265" s="11"/>
      <c r="E265" s="11" t="s">
        <v>567</v>
      </c>
      <c r="F265" s="11"/>
      <c r="G265" s="11"/>
      <c r="H265" s="11"/>
      <c r="I265" s="11"/>
      <c r="J265" s="11"/>
      <c r="K265" s="11"/>
      <c r="L265" s="13"/>
      <c r="M265" s="15"/>
      <c r="N265" s="215" t="s">
        <v>568</v>
      </c>
      <c r="O265" s="215"/>
      <c r="P265" s="215"/>
      <c r="Q265" s="215"/>
      <c r="R265" s="101"/>
      <c r="S265" s="101"/>
      <c r="T265" s="101"/>
      <c r="U265" s="101"/>
      <c r="V265" s="101"/>
      <c r="W265" s="101"/>
      <c r="X265" s="101"/>
      <c r="Y265" s="101"/>
      <c r="Z265" s="102"/>
    </row>
    <row r="266" spans="1:26">
      <c r="A266" s="13" t="s">
        <v>378</v>
      </c>
      <c r="B266" s="15" t="s">
        <v>143</v>
      </c>
      <c r="C266" s="28">
        <f>C231</f>
        <v>0.09</v>
      </c>
      <c r="D266" s="11" t="s">
        <v>273</v>
      </c>
      <c r="E266" s="11"/>
      <c r="F266" s="11"/>
      <c r="G266" s="11"/>
      <c r="H266" s="11"/>
      <c r="I266" s="11"/>
      <c r="J266" s="11"/>
      <c r="K266" s="11"/>
      <c r="L266" s="13"/>
      <c r="M266" s="15"/>
      <c r="N266" s="215" t="s">
        <v>569</v>
      </c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6"/>
    </row>
    <row r="267" spans="1:26">
      <c r="A267" s="13" t="s">
        <v>382</v>
      </c>
      <c r="B267" s="15" t="s">
        <v>383</v>
      </c>
      <c r="C267" s="45">
        <f>C266/C261</f>
        <v>2.9999999999999997E-4</v>
      </c>
      <c r="D267" s="11"/>
      <c r="E267" s="11"/>
      <c r="F267" s="11"/>
      <c r="G267" s="11"/>
      <c r="H267" s="11"/>
      <c r="I267" s="11"/>
      <c r="J267" s="11"/>
      <c r="K267" s="11"/>
      <c r="L267" s="13"/>
      <c r="M267" s="15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>
      <c r="A268" s="13" t="s">
        <v>386</v>
      </c>
      <c r="B268" s="15" t="s">
        <v>300</v>
      </c>
      <c r="C268" s="26">
        <f>64/C265</f>
        <v>0.2735397585694313</v>
      </c>
      <c r="D268" s="11"/>
      <c r="E268" s="11"/>
      <c r="F268" s="11"/>
      <c r="G268" s="11"/>
      <c r="H268" s="11"/>
      <c r="I268" s="11"/>
      <c r="J268" s="11"/>
      <c r="K268" s="11"/>
      <c r="L268" s="13" t="s">
        <v>570</v>
      </c>
      <c r="M268" s="15" t="s">
        <v>571</v>
      </c>
      <c r="N268" s="26">
        <f>(N246-N240)/2</f>
        <v>2.9777589250762765E-2</v>
      </c>
      <c r="O268" s="11" t="s">
        <v>82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5" thickBot="1">
      <c r="A269" s="13" t="s">
        <v>572</v>
      </c>
      <c r="B269" s="15" t="s">
        <v>495</v>
      </c>
      <c r="C269" s="46">
        <f>C268*C262*C260^2*C258/(2*C264)</f>
        <v>190.01299764947231</v>
      </c>
      <c r="D269" s="11" t="s">
        <v>328</v>
      </c>
      <c r="E269" s="11"/>
      <c r="F269" s="11"/>
      <c r="G269" s="11"/>
      <c r="H269" s="11"/>
      <c r="I269" s="11"/>
      <c r="J269" s="11"/>
      <c r="K269" s="11"/>
      <c r="L269" s="29"/>
      <c r="M269" s="30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</row>
    <row r="270" spans="1:26" ht="15.3" customHeight="1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2"/>
    </row>
    <row r="271" spans="1:26">
      <c r="A271" s="39" t="s">
        <v>573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2"/>
    </row>
    <row r="272" spans="1:26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2"/>
    </row>
    <row r="273" spans="1:11">
      <c r="A273" s="13" t="s">
        <v>574</v>
      </c>
      <c r="B273" s="15" t="s">
        <v>575</v>
      </c>
      <c r="C273" s="11">
        <v>7</v>
      </c>
      <c r="D273" s="11" t="s">
        <v>472</v>
      </c>
      <c r="E273" s="11"/>
      <c r="F273" s="11"/>
      <c r="G273" s="11"/>
      <c r="H273" s="11"/>
      <c r="I273" s="11"/>
      <c r="J273" s="11"/>
      <c r="K273" s="12"/>
    </row>
    <row r="274" spans="1:11">
      <c r="A274" s="13" t="s">
        <v>576</v>
      </c>
      <c r="B274" s="15" t="s">
        <v>577</v>
      </c>
      <c r="C274" s="11">
        <f>C436</f>
        <v>422.34451860724744</v>
      </c>
      <c r="D274" s="11" t="s">
        <v>14</v>
      </c>
      <c r="E274" s="11" t="s">
        <v>578</v>
      </c>
      <c r="F274" s="11"/>
      <c r="G274" s="19"/>
      <c r="H274" s="11"/>
      <c r="I274" s="11"/>
      <c r="J274" s="11"/>
      <c r="K274" s="12"/>
    </row>
    <row r="275" spans="1:11">
      <c r="A275" s="13" t="s">
        <v>579</v>
      </c>
      <c r="B275" s="15" t="s">
        <v>76</v>
      </c>
      <c r="C275" s="23">
        <f>C68</f>
        <v>589.25036999329518</v>
      </c>
      <c r="D275" s="11" t="s">
        <v>14</v>
      </c>
      <c r="E275" s="11"/>
      <c r="F275" s="11"/>
      <c r="G275" s="11"/>
      <c r="H275" s="11"/>
      <c r="I275" s="11"/>
      <c r="J275" s="11"/>
      <c r="K275" s="12"/>
    </row>
    <row r="276" spans="1:11">
      <c r="A276" s="13" t="s">
        <v>580</v>
      </c>
      <c r="B276" s="15" t="s">
        <v>581</v>
      </c>
      <c r="C276" s="11">
        <f>(C275+C274)/2</f>
        <v>505.79744430027131</v>
      </c>
      <c r="D276" s="11" t="s">
        <v>14</v>
      </c>
      <c r="E276" s="11">
        <f>C276-273.15</f>
        <v>232.64744430027133</v>
      </c>
      <c r="F276" s="11"/>
      <c r="G276" s="11">
        <f>(1.0135+1.0295)/2</f>
        <v>1.0215000000000001</v>
      </c>
      <c r="H276" s="11"/>
      <c r="I276" s="11"/>
      <c r="J276" s="11"/>
      <c r="K276" s="12"/>
    </row>
    <row r="277" spans="1:11">
      <c r="A277" s="13" t="s">
        <v>582</v>
      </c>
      <c r="B277" s="15" t="s">
        <v>583</v>
      </c>
      <c r="C277" s="46">
        <f>101325/(287*C276)</f>
        <v>0.69800427911655127</v>
      </c>
      <c r="D277" s="11" t="s">
        <v>87</v>
      </c>
      <c r="E277" s="11"/>
      <c r="F277" s="11"/>
      <c r="G277" s="11"/>
      <c r="H277" s="11"/>
      <c r="I277" s="11"/>
      <c r="J277" s="11"/>
      <c r="K277" s="12"/>
    </row>
    <row r="278" spans="1:11">
      <c r="A278" s="13" t="s">
        <v>93</v>
      </c>
      <c r="B278" s="15" t="s">
        <v>584</v>
      </c>
      <c r="C278" s="45">
        <f>2.8*10^(-5)</f>
        <v>2.8E-5</v>
      </c>
      <c r="D278" s="11"/>
      <c r="E278" s="11"/>
      <c r="F278" s="11"/>
      <c r="G278" s="11"/>
      <c r="H278" s="11"/>
      <c r="I278" s="11"/>
      <c r="J278" s="11"/>
      <c r="K278" s="12"/>
    </row>
    <row r="279" spans="1:11">
      <c r="A279" s="13" t="s">
        <v>585</v>
      </c>
      <c r="B279" s="15" t="s">
        <v>293</v>
      </c>
      <c r="C279" s="28">
        <f>C100</f>
        <v>2.7001060146631315</v>
      </c>
      <c r="D279" s="11" t="s">
        <v>130</v>
      </c>
      <c r="E279" s="11"/>
      <c r="F279" s="11"/>
      <c r="G279" s="11"/>
      <c r="H279" s="11"/>
      <c r="I279" s="11"/>
      <c r="J279" s="11"/>
      <c r="K279" s="12"/>
    </row>
    <row r="280" spans="1:11">
      <c r="A280" s="13" t="s">
        <v>586</v>
      </c>
      <c r="B280" s="15" t="s">
        <v>587</v>
      </c>
      <c r="C280" s="11">
        <f>SQRT(4*C140/(PI()*C279*C277))</f>
        <v>0.12330080053030336</v>
      </c>
      <c r="D280" s="11" t="s">
        <v>82</v>
      </c>
      <c r="E280" s="11">
        <f>C280*1000</f>
        <v>123.30080053030336</v>
      </c>
      <c r="F280" s="11" t="s">
        <v>273</v>
      </c>
      <c r="G280" s="11"/>
      <c r="H280" s="11"/>
      <c r="I280" s="11"/>
      <c r="J280" s="11"/>
      <c r="K280" s="12"/>
    </row>
    <row r="281" spans="1:11">
      <c r="A281" s="13" t="s">
        <v>588</v>
      </c>
      <c r="B281" s="15" t="s">
        <v>587</v>
      </c>
      <c r="C281" s="11">
        <v>200</v>
      </c>
      <c r="D281" s="11" t="s">
        <v>273</v>
      </c>
      <c r="E281" s="11"/>
      <c r="F281" s="11"/>
      <c r="G281" s="11"/>
      <c r="H281" s="11"/>
      <c r="I281" s="11"/>
      <c r="J281" s="11"/>
      <c r="K281" s="12"/>
    </row>
    <row r="282" spans="1:11">
      <c r="A282" s="13" t="s">
        <v>589</v>
      </c>
      <c r="B282" s="15" t="s">
        <v>293</v>
      </c>
      <c r="C282" s="11">
        <f>C140/(C277*(PI()/4*(C281*0.001)^2))</f>
        <v>1.0262486940251836</v>
      </c>
      <c r="D282" s="11" t="s">
        <v>130</v>
      </c>
      <c r="E282" s="11"/>
      <c r="F282" s="11"/>
      <c r="G282" s="11"/>
      <c r="H282" s="11"/>
      <c r="I282" s="11"/>
      <c r="J282" s="11"/>
      <c r="K282" s="12"/>
    </row>
    <row r="283" spans="1:11">
      <c r="A283" s="13" t="s">
        <v>160</v>
      </c>
      <c r="B283" s="15" t="s">
        <v>566</v>
      </c>
      <c r="C283" s="45">
        <f>C277*C282*C281*0.001/C278</f>
        <v>5116.6141419096466</v>
      </c>
      <c r="D283" s="11"/>
      <c r="E283" s="11"/>
      <c r="F283" s="11"/>
      <c r="G283" s="11"/>
      <c r="H283" s="11"/>
      <c r="I283" s="11"/>
      <c r="J283" s="11"/>
      <c r="K283" s="12"/>
    </row>
    <row r="284" spans="1:11">
      <c r="A284" s="13" t="s">
        <v>590</v>
      </c>
      <c r="B284" s="15" t="s">
        <v>143</v>
      </c>
      <c r="C284" s="11">
        <v>0.09</v>
      </c>
      <c r="D284" s="11" t="s">
        <v>273</v>
      </c>
      <c r="E284" s="11"/>
      <c r="F284" s="11"/>
      <c r="G284" s="11"/>
      <c r="H284" s="11"/>
      <c r="I284" s="11"/>
      <c r="J284" s="11"/>
      <c r="K284" s="12"/>
    </row>
    <row r="285" spans="1:11">
      <c r="A285" s="13" t="s">
        <v>382</v>
      </c>
      <c r="B285" s="15" t="s">
        <v>383</v>
      </c>
      <c r="C285" s="45">
        <f>C284/C281</f>
        <v>4.4999999999999999E-4</v>
      </c>
      <c r="D285" s="11"/>
      <c r="E285" s="11"/>
      <c r="F285" s="11"/>
      <c r="G285" s="11"/>
      <c r="H285" s="11"/>
      <c r="I285" s="11"/>
      <c r="J285" s="11"/>
      <c r="K285" s="12"/>
    </row>
    <row r="286" spans="1:11">
      <c r="A286" s="13" t="s">
        <v>386</v>
      </c>
      <c r="B286" s="15" t="s">
        <v>300</v>
      </c>
      <c r="C286" s="11">
        <v>3.7999999999999999E-2</v>
      </c>
      <c r="D286" s="11"/>
      <c r="E286" s="11"/>
      <c r="F286" s="11"/>
      <c r="G286" s="11"/>
      <c r="H286" s="11"/>
      <c r="I286" s="11"/>
      <c r="J286" s="11"/>
      <c r="K286" s="12"/>
    </row>
    <row r="287" spans="1:11">
      <c r="A287" s="13" t="s">
        <v>572</v>
      </c>
      <c r="B287" s="15" t="s">
        <v>591</v>
      </c>
      <c r="C287" s="46">
        <f>C286*C277*C282^2*C273/2/(C281*0.001)</f>
        <v>0.48886051988789359</v>
      </c>
      <c r="D287" s="11" t="s">
        <v>328</v>
      </c>
      <c r="E287" s="11"/>
      <c r="F287" s="11"/>
      <c r="G287" s="11"/>
      <c r="H287" s="11"/>
      <c r="I287" s="11"/>
      <c r="J287" s="11"/>
      <c r="K287" s="12"/>
    </row>
    <row r="288" spans="1:11">
      <c r="A288" s="13"/>
      <c r="B288" s="15"/>
      <c r="C288" s="11"/>
      <c r="D288" s="11"/>
      <c r="E288" s="11"/>
      <c r="F288" s="11"/>
      <c r="G288" s="11"/>
      <c r="H288" s="11"/>
      <c r="I288" s="11"/>
      <c r="J288" s="11"/>
      <c r="K288" s="12"/>
    </row>
    <row r="289" spans="1:11" ht="28.8">
      <c r="A289" s="47" t="s">
        <v>592</v>
      </c>
      <c r="B289" s="40" t="s">
        <v>504</v>
      </c>
      <c r="C289" s="48">
        <f>C287+C269</f>
        <v>190.50185816936022</v>
      </c>
      <c r="D289" s="42" t="s">
        <v>328</v>
      </c>
      <c r="E289" s="42"/>
      <c r="F289" s="42"/>
      <c r="G289" s="11"/>
      <c r="H289" s="11"/>
      <c r="I289" s="11"/>
      <c r="J289" s="11"/>
      <c r="K289" s="12"/>
    </row>
    <row r="290" spans="1:11">
      <c r="A290" s="13"/>
      <c r="B290" s="15"/>
      <c r="C290" s="11"/>
      <c r="D290" s="11"/>
      <c r="E290" s="11"/>
      <c r="F290" s="11"/>
      <c r="G290" s="11"/>
      <c r="H290" s="11"/>
      <c r="I290" s="11"/>
      <c r="J290" s="11"/>
      <c r="K290" s="12"/>
    </row>
    <row r="291" spans="1:11">
      <c r="A291" s="10" t="s">
        <v>593</v>
      </c>
      <c r="B291" s="15"/>
      <c r="C291" s="11"/>
      <c r="D291" s="11"/>
      <c r="E291" s="11"/>
      <c r="F291" s="11"/>
      <c r="G291" s="11"/>
      <c r="H291" s="11"/>
      <c r="I291" s="11"/>
      <c r="J291" s="11"/>
      <c r="K291" s="12"/>
    </row>
    <row r="292" spans="1:11">
      <c r="A292" s="13"/>
      <c r="B292" s="15"/>
      <c r="C292" s="11"/>
      <c r="D292" s="11"/>
      <c r="E292" s="11"/>
      <c r="F292" s="11"/>
      <c r="G292" s="11"/>
      <c r="H292" s="11"/>
      <c r="I292" s="11"/>
      <c r="J292" s="11"/>
      <c r="K292" s="12"/>
    </row>
    <row r="293" spans="1:11">
      <c r="A293" s="13" t="s">
        <v>304</v>
      </c>
      <c r="B293" s="15"/>
      <c r="C293" s="11"/>
      <c r="D293" s="11"/>
      <c r="E293" s="11"/>
      <c r="F293" s="11"/>
      <c r="G293" s="11"/>
      <c r="H293" s="11"/>
      <c r="I293" s="11"/>
      <c r="J293" s="11"/>
      <c r="K293" s="12"/>
    </row>
    <row r="294" spans="1:11">
      <c r="A294" s="13" t="s">
        <v>594</v>
      </c>
      <c r="B294" s="15"/>
      <c r="C294" s="11">
        <v>0.4</v>
      </c>
      <c r="D294" s="11"/>
      <c r="E294" s="11"/>
      <c r="F294" s="11"/>
      <c r="G294" s="11"/>
      <c r="H294" s="11"/>
      <c r="I294" s="11"/>
      <c r="J294" s="11"/>
      <c r="K294" s="12"/>
    </row>
    <row r="295" spans="1:11">
      <c r="A295" s="13" t="s">
        <v>316</v>
      </c>
      <c r="B295" s="15"/>
      <c r="C295" s="11">
        <v>0.4</v>
      </c>
      <c r="D295" s="11"/>
      <c r="E295" s="11"/>
      <c r="F295" s="11"/>
      <c r="G295" s="11"/>
      <c r="H295" s="11"/>
      <c r="I295" s="11"/>
      <c r="J295" s="11"/>
      <c r="K295" s="12"/>
    </row>
    <row r="296" spans="1:11">
      <c r="A296" s="13"/>
      <c r="B296" s="15"/>
      <c r="C296" s="11"/>
      <c r="D296" s="11"/>
      <c r="E296" s="11"/>
      <c r="F296" s="11"/>
      <c r="G296" s="11"/>
      <c r="H296" s="11"/>
      <c r="I296" s="11"/>
      <c r="J296" s="11"/>
      <c r="K296" s="12"/>
    </row>
    <row r="297" spans="1:11" ht="15.3" customHeight="1">
      <c r="A297" s="47" t="s">
        <v>595</v>
      </c>
      <c r="B297" s="40" t="s">
        <v>596</v>
      </c>
      <c r="C297" s="42">
        <f>(C295+C294)*C277*C282^2/2</f>
        <v>0.29405144053407134</v>
      </c>
      <c r="D297" s="42" t="s">
        <v>328</v>
      </c>
      <c r="E297" s="42"/>
      <c r="F297" s="42"/>
      <c r="G297" s="11"/>
      <c r="H297" s="11"/>
      <c r="I297" s="11"/>
      <c r="J297" s="11"/>
      <c r="K297" s="12"/>
    </row>
    <row r="298" spans="1:11" ht="15.3" customHeight="1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2"/>
    </row>
    <row r="299" spans="1:11" ht="28.8">
      <c r="A299" s="47" t="s">
        <v>597</v>
      </c>
      <c r="B299" s="40" t="s">
        <v>516</v>
      </c>
      <c r="C299" s="48">
        <f>C297+C289</f>
        <v>190.7959096098943</v>
      </c>
      <c r="D299" s="42" t="s">
        <v>328</v>
      </c>
      <c r="E299" s="11"/>
      <c r="F299" s="11"/>
      <c r="G299" s="11"/>
      <c r="H299" s="11"/>
      <c r="I299" s="11"/>
      <c r="J299" s="11"/>
      <c r="K299" s="12"/>
    </row>
    <row r="300" spans="1:11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2"/>
    </row>
    <row r="301" spans="1:11">
      <c r="A301" s="10" t="s">
        <v>598</v>
      </c>
      <c r="B301" s="15"/>
      <c r="C301" s="28"/>
      <c r="D301" s="11"/>
      <c r="E301" s="11"/>
      <c r="F301" s="11"/>
      <c r="G301" s="11"/>
      <c r="H301" s="11"/>
      <c r="I301" s="11"/>
      <c r="J301" s="11"/>
      <c r="K301" s="12"/>
    </row>
    <row r="302" spans="1:11">
      <c r="A302" s="13"/>
      <c r="B302" s="15"/>
      <c r="C302" s="11"/>
      <c r="D302" s="11"/>
      <c r="E302" s="11"/>
      <c r="F302" s="11"/>
      <c r="G302" s="11"/>
      <c r="H302" s="11"/>
      <c r="I302" s="11"/>
      <c r="J302" s="11"/>
      <c r="K302" s="12"/>
    </row>
    <row r="303" spans="1:11">
      <c r="A303" s="13" t="s">
        <v>522</v>
      </c>
      <c r="B303" s="15" t="s">
        <v>523</v>
      </c>
      <c r="C303" s="11">
        <v>0.8</v>
      </c>
      <c r="D303" s="11"/>
      <c r="E303" s="11"/>
      <c r="F303" s="11"/>
      <c r="G303" s="11"/>
      <c r="H303" s="11"/>
      <c r="I303" s="11"/>
      <c r="J303" s="11"/>
      <c r="K303" s="12"/>
    </row>
    <row r="304" spans="1:11">
      <c r="A304" s="13"/>
      <c r="B304" s="15"/>
      <c r="C304" s="11"/>
      <c r="D304" s="11"/>
      <c r="E304" s="11"/>
      <c r="F304" s="11"/>
      <c r="G304" s="11"/>
      <c r="H304" s="11"/>
      <c r="I304" s="11"/>
      <c r="J304" s="11"/>
      <c r="K304" s="12"/>
    </row>
    <row r="305" spans="1:11">
      <c r="A305" s="13" t="s">
        <v>598</v>
      </c>
      <c r="B305" s="15" t="s">
        <v>599</v>
      </c>
      <c r="C305" s="28">
        <f>C299*C140/C262/C303</f>
        <v>19.909637934621873</v>
      </c>
      <c r="D305" s="11" t="s">
        <v>140</v>
      </c>
      <c r="E305" s="11"/>
      <c r="F305" s="11"/>
      <c r="G305" s="11"/>
      <c r="H305" s="11"/>
      <c r="I305" s="11"/>
      <c r="J305" s="11"/>
      <c r="K305" s="12"/>
    </row>
    <row r="306" spans="1:11" ht="15" thickBot="1">
      <c r="A306" s="29"/>
      <c r="B306" s="30"/>
      <c r="C306" s="32"/>
      <c r="D306" s="32"/>
      <c r="E306" s="32"/>
      <c r="F306" s="32"/>
      <c r="G306" s="32"/>
      <c r="H306" s="32"/>
      <c r="I306" s="32"/>
      <c r="J306" s="32"/>
      <c r="K306" s="33"/>
    </row>
    <row r="307" spans="1:11">
      <c r="B307" s="1"/>
    </row>
    <row r="309" spans="1:11">
      <c r="A309" s="212" t="s">
        <v>600</v>
      </c>
      <c r="B309" s="212"/>
      <c r="C309" s="212"/>
      <c r="D309" s="212"/>
      <c r="E309" s="212"/>
      <c r="F309" s="212"/>
      <c r="G309" s="212"/>
      <c r="H309" s="212"/>
      <c r="I309" s="212"/>
      <c r="J309" s="212"/>
      <c r="K309" s="212"/>
    </row>
    <row r="310" spans="1:11">
      <c r="A310" s="212"/>
      <c r="B310" s="212"/>
      <c r="C310" s="212"/>
      <c r="D310" s="212"/>
      <c r="E310" s="212"/>
      <c r="F310" s="212"/>
      <c r="G310" s="212"/>
      <c r="H310" s="212"/>
      <c r="I310" s="212"/>
      <c r="J310" s="212"/>
      <c r="K310" s="212"/>
    </row>
    <row r="312" spans="1:11">
      <c r="A312" s="60" t="s">
        <v>601</v>
      </c>
      <c r="B312" s="1"/>
    </row>
    <row r="313" spans="1:11">
      <c r="B313" s="1"/>
    </row>
    <row r="314" spans="1:11">
      <c r="B314" s="1"/>
    </row>
    <row r="315" spans="1:11">
      <c r="A315" t="s">
        <v>602</v>
      </c>
      <c r="B315" s="1"/>
    </row>
    <row r="316" spans="1:11">
      <c r="B316" s="1"/>
    </row>
    <row r="317" spans="1:11">
      <c r="A317" s="3" t="s">
        <v>603</v>
      </c>
      <c r="B317" s="1"/>
    </row>
    <row r="319" spans="1:11">
      <c r="A319" s="3" t="s">
        <v>604</v>
      </c>
      <c r="B319" s="1"/>
    </row>
    <row r="320" spans="1:11">
      <c r="A320" t="s">
        <v>605</v>
      </c>
      <c r="B320" s="6" t="s">
        <v>606</v>
      </c>
      <c r="C320">
        <f>14+273.15</f>
        <v>287.14999999999998</v>
      </c>
      <c r="D320" t="s">
        <v>14</v>
      </c>
    </row>
    <row r="321" spans="1:6">
      <c r="B321" s="1"/>
    </row>
    <row r="322" spans="1:6">
      <c r="B322" s="1"/>
      <c r="C322" s="1" t="s">
        <v>607</v>
      </c>
      <c r="D322" s="5" t="s">
        <v>608</v>
      </c>
      <c r="F322" t="s">
        <v>1225</v>
      </c>
    </row>
    <row r="323" spans="1:6">
      <c r="A323" s="3" t="s">
        <v>609</v>
      </c>
      <c r="B323" s="1"/>
    </row>
    <row r="324" spans="1:6">
      <c r="B324" s="6" t="s">
        <v>610</v>
      </c>
      <c r="F324">
        <f>1/SUM(E325:E327)*1000</f>
        <v>6.5506329113924053</v>
      </c>
    </row>
    <row r="325" spans="1:6">
      <c r="A325" t="s">
        <v>611</v>
      </c>
      <c r="B325" s="1"/>
      <c r="C325">
        <v>10</v>
      </c>
      <c r="D325">
        <v>0.9</v>
      </c>
      <c r="E325">
        <f>C325/D325</f>
        <v>11.111111111111111</v>
      </c>
    </row>
    <row r="326" spans="1:6">
      <c r="A326" t="s">
        <v>612</v>
      </c>
      <c r="B326" s="1"/>
      <c r="C326">
        <v>300</v>
      </c>
      <c r="D326">
        <v>2.2999999999999998</v>
      </c>
      <c r="E326">
        <f t="shared" ref="E326:E336" si="0">C326/D326</f>
        <v>130.43478260869566</v>
      </c>
    </row>
    <row r="327" spans="1:6">
      <c r="A327" t="s">
        <v>613</v>
      </c>
      <c r="B327" s="1"/>
      <c r="C327">
        <v>10</v>
      </c>
      <c r="D327">
        <v>0.9</v>
      </c>
      <c r="E327">
        <f t="shared" si="0"/>
        <v>11.111111111111111</v>
      </c>
    </row>
    <row r="328" spans="1:6">
      <c r="B328" s="1"/>
    </row>
    <row r="329" spans="1:6">
      <c r="B329" s="6" t="s">
        <v>614</v>
      </c>
      <c r="F329">
        <f>1/SUM(E330:E331)*1000</f>
        <v>11.414392059553348</v>
      </c>
    </row>
    <row r="330" spans="1:6">
      <c r="A330" t="s">
        <v>615</v>
      </c>
      <c r="B330" s="1"/>
      <c r="C330">
        <v>15</v>
      </c>
      <c r="D330">
        <v>3</v>
      </c>
      <c r="E330">
        <f t="shared" si="0"/>
        <v>5</v>
      </c>
    </row>
    <row r="331" spans="1:6">
      <c r="A331" t="s">
        <v>616</v>
      </c>
      <c r="B331" s="1"/>
      <c r="C331">
        <v>190</v>
      </c>
      <c r="D331">
        <v>2.2999999999999998</v>
      </c>
      <c r="E331">
        <f t="shared" si="0"/>
        <v>82.608695652173921</v>
      </c>
    </row>
    <row r="332" spans="1:6">
      <c r="B332" s="1"/>
    </row>
    <row r="333" spans="1:6">
      <c r="B333" s="6" t="s">
        <v>617</v>
      </c>
      <c r="F333">
        <f>1/SUM(E334:E336)*1000</f>
        <v>9.7023670025779243</v>
      </c>
    </row>
    <row r="334" spans="1:6">
      <c r="A334" t="s">
        <v>618</v>
      </c>
      <c r="B334" s="1"/>
      <c r="C334">
        <v>10</v>
      </c>
      <c r="D334">
        <v>0.9</v>
      </c>
      <c r="E334">
        <f t="shared" si="0"/>
        <v>11.111111111111111</v>
      </c>
    </row>
    <row r="335" spans="1:6">
      <c r="A335" t="s">
        <v>619</v>
      </c>
      <c r="B335" s="1"/>
      <c r="C335">
        <v>200</v>
      </c>
      <c r="D335">
        <v>2.2999999999999998</v>
      </c>
      <c r="E335">
        <f t="shared" si="0"/>
        <v>86.956521739130437</v>
      </c>
    </row>
    <row r="336" spans="1:6">
      <c r="A336" t="s">
        <v>620</v>
      </c>
      <c r="B336" s="1"/>
      <c r="C336">
        <v>10</v>
      </c>
      <c r="D336">
        <v>2</v>
      </c>
      <c r="E336">
        <f t="shared" si="0"/>
        <v>5</v>
      </c>
    </row>
    <row r="337" spans="1:7">
      <c r="B337" s="1"/>
    </row>
    <row r="338" spans="1:7">
      <c r="A338" t="s">
        <v>621</v>
      </c>
      <c r="B338" s="1" t="s">
        <v>622</v>
      </c>
      <c r="C338">
        <v>3.3</v>
      </c>
      <c r="D338" t="s">
        <v>82</v>
      </c>
    </row>
    <row r="339" spans="1:7">
      <c r="A339" t="s">
        <v>623</v>
      </c>
      <c r="B339" s="1" t="s">
        <v>624</v>
      </c>
      <c r="C339">
        <v>20</v>
      </c>
      <c r="D339" t="s">
        <v>82</v>
      </c>
    </row>
    <row r="340" spans="1:7">
      <c r="A340" t="s">
        <v>625</v>
      </c>
      <c r="B340" s="1" t="s">
        <v>626</v>
      </c>
      <c r="C340">
        <f>C341/C339</f>
        <v>10.64</v>
      </c>
      <c r="D340" t="s">
        <v>82</v>
      </c>
    </row>
    <row r="341" spans="1:7">
      <c r="A341" t="s">
        <v>627</v>
      </c>
      <c r="B341" s="6"/>
      <c r="C341" s="2">
        <v>212.8</v>
      </c>
      <c r="D341" t="s">
        <v>155</v>
      </c>
    </row>
    <row r="342" spans="1:7" ht="15.3" customHeight="1">
      <c r="A342" t="s">
        <v>628</v>
      </c>
      <c r="B342" s="1"/>
      <c r="C342">
        <f>C341/8</f>
        <v>26.6</v>
      </c>
      <c r="D342" t="s">
        <v>155</v>
      </c>
    </row>
    <row r="343" spans="1:7">
      <c r="A343" t="s">
        <v>628</v>
      </c>
      <c r="B343" s="1"/>
      <c r="C343" s="61">
        <v>100</v>
      </c>
      <c r="D343" t="s">
        <v>155</v>
      </c>
    </row>
    <row r="344" spans="1:7">
      <c r="B344" s="1"/>
    </row>
    <row r="345" spans="1:7">
      <c r="A345" t="s">
        <v>629</v>
      </c>
      <c r="B345" s="1"/>
    </row>
    <row r="346" spans="1:7">
      <c r="B346" s="1"/>
    </row>
    <row r="347" spans="1:7">
      <c r="A347" t="s">
        <v>630</v>
      </c>
      <c r="B347" s="4" t="s">
        <v>631</v>
      </c>
      <c r="C347">
        <f>C343/10</f>
        <v>10</v>
      </c>
      <c r="D347" t="s">
        <v>155</v>
      </c>
    </row>
    <row r="348" spans="1:7">
      <c r="A348" t="s">
        <v>632</v>
      </c>
      <c r="B348" s="4" t="s">
        <v>633</v>
      </c>
      <c r="C348">
        <f>0.15*C349+4*0.15^2</f>
        <v>2.19</v>
      </c>
      <c r="D348" t="s">
        <v>155</v>
      </c>
      <c r="G348" t="s">
        <v>634</v>
      </c>
    </row>
    <row r="349" spans="1:7">
      <c r="A349" t="s">
        <v>635</v>
      </c>
      <c r="B349" s="4" t="s">
        <v>636</v>
      </c>
      <c r="C349">
        <f>(5+2)*2</f>
        <v>14</v>
      </c>
      <c r="D349" t="s">
        <v>82</v>
      </c>
      <c r="G349">
        <f>C357+C363+C367+C373+C435+C375</f>
        <v>-45.934564397870417</v>
      </c>
    </row>
    <row r="350" spans="1:7">
      <c r="A350" t="s">
        <v>637</v>
      </c>
      <c r="B350" s="4" t="s">
        <v>638</v>
      </c>
      <c r="C350">
        <v>5.8</v>
      </c>
      <c r="D350" t="s">
        <v>639</v>
      </c>
    </row>
    <row r="351" spans="1:7">
      <c r="A351" t="s">
        <v>640</v>
      </c>
      <c r="B351" s="4" t="s">
        <v>641</v>
      </c>
      <c r="C351">
        <v>7</v>
      </c>
      <c r="D351" t="s">
        <v>639</v>
      </c>
      <c r="E351" t="s">
        <v>642</v>
      </c>
    </row>
    <row r="352" spans="1:7">
      <c r="A352" t="s">
        <v>643</v>
      </c>
      <c r="B352" s="4" t="s">
        <v>644</v>
      </c>
      <c r="C352">
        <v>0.11</v>
      </c>
      <c r="D352" t="s">
        <v>645</v>
      </c>
      <c r="E352" t="s">
        <v>642</v>
      </c>
    </row>
    <row r="353" spans="1:4">
      <c r="B353" s="4"/>
    </row>
    <row r="354" spans="1:4">
      <c r="A354" t="s">
        <v>646</v>
      </c>
      <c r="B354" s="4" t="s">
        <v>647</v>
      </c>
      <c r="C354">
        <f>(C348*C351+C347*C350+C349*C352)/(C348+C347)</f>
        <v>6.1419196062346195</v>
      </c>
      <c r="D354" t="s">
        <v>639</v>
      </c>
    </row>
    <row r="355" spans="1:4">
      <c r="A355" t="s">
        <v>648</v>
      </c>
      <c r="B355" s="4" t="s">
        <v>649</v>
      </c>
      <c r="C355">
        <f>10*C354</f>
        <v>61.419196062346195</v>
      </c>
      <c r="D355" t="s">
        <v>639</v>
      </c>
    </row>
    <row r="356" spans="1:4">
      <c r="B356" s="4"/>
    </row>
    <row r="357" spans="1:4">
      <c r="A357" t="s">
        <v>650</v>
      </c>
      <c r="B357" s="4" t="s">
        <v>651</v>
      </c>
      <c r="C357">
        <f>C355*C347*(C12-C11)</f>
        <v>-15968.990976210011</v>
      </c>
      <c r="D357" t="s">
        <v>140</v>
      </c>
    </row>
    <row r="358" spans="1:4">
      <c r="B358" s="4"/>
    </row>
    <row r="359" spans="1:4">
      <c r="A359" t="s">
        <v>652</v>
      </c>
      <c r="B359" s="4" t="s">
        <v>653</v>
      </c>
      <c r="C359">
        <f>2*(C339+C340)*C338-C343</f>
        <v>102.22399999999999</v>
      </c>
      <c r="D359" t="s">
        <v>155</v>
      </c>
    </row>
    <row r="360" spans="1:4">
      <c r="A360" t="s">
        <v>654</v>
      </c>
      <c r="B360" s="4" t="s">
        <v>655</v>
      </c>
      <c r="C360">
        <v>0.1</v>
      </c>
      <c r="D360" t="s">
        <v>656</v>
      </c>
    </row>
    <row r="361" spans="1:4">
      <c r="A361" t="s">
        <v>657</v>
      </c>
      <c r="B361" s="4" t="s">
        <v>658</v>
      </c>
      <c r="C361">
        <v>0.02</v>
      </c>
      <c r="D361" t="s">
        <v>656</v>
      </c>
    </row>
    <row r="363" spans="1:4">
      <c r="A363" t="s">
        <v>659</v>
      </c>
      <c r="B363" s="4" t="s">
        <v>660</v>
      </c>
      <c r="C363">
        <f>($C$12-$C$11)/(C360+1/(F324*C359)+C361)</f>
        <v>-214.00346880613719</v>
      </c>
      <c r="D363" t="s">
        <v>140</v>
      </c>
    </row>
    <row r="364" spans="1:4">
      <c r="B364" s="4"/>
    </row>
    <row r="365" spans="1:4">
      <c r="A365" t="s">
        <v>661</v>
      </c>
      <c r="B365" s="4" t="s">
        <v>662</v>
      </c>
      <c r="C365" s="2">
        <f>C341</f>
        <v>212.8</v>
      </c>
      <c r="D365" t="s">
        <v>155</v>
      </c>
    </row>
    <row r="366" spans="1:4">
      <c r="B366" s="4"/>
    </row>
    <row r="367" spans="1:4">
      <c r="A367" t="s">
        <v>663</v>
      </c>
      <c r="B367" s="4" t="s">
        <v>664</v>
      </c>
      <c r="C367">
        <f>F329*C365*(N243-E11)</f>
        <v>-19431.86104218362</v>
      </c>
      <c r="D367" t="s">
        <v>140</v>
      </c>
    </row>
    <row r="368" spans="1:4">
      <c r="B368" s="4"/>
    </row>
    <row r="369" spans="1:4">
      <c r="A369" t="s">
        <v>665</v>
      </c>
      <c r="B369" s="4" t="s">
        <v>666</v>
      </c>
      <c r="C369">
        <f>2*C339*(SQRT(2^2+(C340/2)^2))</f>
        <v>227.3408014413603</v>
      </c>
      <c r="D369" t="s">
        <v>155</v>
      </c>
    </row>
    <row r="370" spans="1:4">
      <c r="A370" t="s">
        <v>654</v>
      </c>
      <c r="B370" s="4" t="s">
        <v>655</v>
      </c>
      <c r="C370">
        <v>0.1</v>
      </c>
      <c r="D370" t="s">
        <v>656</v>
      </c>
    </row>
    <row r="371" spans="1:4">
      <c r="A371" t="s">
        <v>657</v>
      </c>
      <c r="B371" s="4" t="s">
        <v>658</v>
      </c>
      <c r="C371">
        <v>0.02</v>
      </c>
      <c r="D371" t="s">
        <v>656</v>
      </c>
    </row>
    <row r="372" spans="1:4">
      <c r="B372" s="4"/>
    </row>
    <row r="373" spans="1:4">
      <c r="A373" t="s">
        <v>667</v>
      </c>
      <c r="B373" s="4" t="s">
        <v>668</v>
      </c>
      <c r="C373">
        <f>($C$12-$C$11)/(C370+1/(F333*C369)+C371)</f>
        <v>-215.85117769621507</v>
      </c>
      <c r="D373" t="s">
        <v>140</v>
      </c>
    </row>
    <row r="374" spans="1:4">
      <c r="B374" s="4"/>
    </row>
    <row r="375" spans="1:4">
      <c r="A375" t="s">
        <v>669</v>
      </c>
      <c r="B375" s="4" t="s">
        <v>670</v>
      </c>
      <c r="C375">
        <f>C141*C59*(C13-C11)</f>
        <v>31934.81399999982</v>
      </c>
      <c r="D375" t="s">
        <v>140</v>
      </c>
    </row>
    <row r="376" spans="1:4">
      <c r="B376" s="4"/>
    </row>
    <row r="377" spans="1:4">
      <c r="A377" t="s">
        <v>671</v>
      </c>
      <c r="B377" s="4" t="s">
        <v>672</v>
      </c>
      <c r="C377">
        <f>-(C375+C373+C367+C363+C357)</f>
        <v>3895.8926648961624</v>
      </c>
    </row>
    <row r="379" spans="1:4">
      <c r="A379" s="3" t="s">
        <v>673</v>
      </c>
    </row>
    <row r="381" spans="1:4">
      <c r="A381" t="s">
        <v>674</v>
      </c>
      <c r="B381" s="1" t="s">
        <v>675</v>
      </c>
      <c r="C381">
        <v>10</v>
      </c>
      <c r="D381" t="s">
        <v>273</v>
      </c>
    </row>
    <row r="382" spans="1:4">
      <c r="A382" t="s">
        <v>676</v>
      </c>
      <c r="B382" s="1" t="s">
        <v>677</v>
      </c>
      <c r="C382">
        <f>C281</f>
        <v>200</v>
      </c>
      <c r="D382" t="s">
        <v>273</v>
      </c>
    </row>
    <row r="383" spans="1:4">
      <c r="A383" t="s">
        <v>128</v>
      </c>
      <c r="B383" s="1" t="s">
        <v>293</v>
      </c>
      <c r="C383">
        <f>C140/(C277*(PI()/4*(C281*0.001)^2))</f>
        <v>1.0262486940251836</v>
      </c>
      <c r="D383" t="s">
        <v>130</v>
      </c>
    </row>
    <row r="384" spans="1:4">
      <c r="A384" t="s">
        <v>678</v>
      </c>
      <c r="B384" s="1" t="s">
        <v>583</v>
      </c>
      <c r="C384" s="63">
        <f>C277</f>
        <v>0.69800427911655127</v>
      </c>
      <c r="D384" t="s">
        <v>87</v>
      </c>
    </row>
    <row r="385" spans="1:4">
      <c r="A385" t="s">
        <v>679</v>
      </c>
      <c r="B385" s="1" t="s">
        <v>680</v>
      </c>
      <c r="C385" s="66">
        <f>5*10^-5</f>
        <v>5.0000000000000002E-5</v>
      </c>
      <c r="D385" t="s">
        <v>419</v>
      </c>
    </row>
    <row r="386" spans="1:4">
      <c r="A386" t="s">
        <v>417</v>
      </c>
      <c r="B386" s="1" t="s">
        <v>681</v>
      </c>
      <c r="C386" s="67">
        <f>3.5*10^-5</f>
        <v>3.5000000000000004E-5</v>
      </c>
    </row>
    <row r="387" spans="1:4">
      <c r="A387" t="s">
        <v>106</v>
      </c>
      <c r="B387" s="1" t="s">
        <v>106</v>
      </c>
      <c r="C387" s="67">
        <v>3.7999999999999999E-2</v>
      </c>
      <c r="D387" t="s">
        <v>375</v>
      </c>
    </row>
    <row r="388" spans="1:4">
      <c r="A388" t="s">
        <v>682</v>
      </c>
      <c r="B388" s="1" t="s">
        <v>682</v>
      </c>
      <c r="C388" s="63">
        <v>1025</v>
      </c>
      <c r="D388" t="s">
        <v>683</v>
      </c>
    </row>
    <row r="389" spans="1:4">
      <c r="A389" t="s">
        <v>420</v>
      </c>
      <c r="B389" s="1" t="s">
        <v>421</v>
      </c>
      <c r="C389" s="64">
        <f>C283</f>
        <v>5116.6141419096466</v>
      </c>
    </row>
    <row r="390" spans="1:4">
      <c r="A390" t="s">
        <v>684</v>
      </c>
      <c r="B390" s="1" t="s">
        <v>300</v>
      </c>
      <c r="C390">
        <f>C286</f>
        <v>3.7999999999999999E-2</v>
      </c>
    </row>
    <row r="391" spans="1:4">
      <c r="A391" t="s">
        <v>422</v>
      </c>
      <c r="B391" s="1" t="s">
        <v>685</v>
      </c>
      <c r="C391">
        <f>C386/C385</f>
        <v>0.70000000000000007</v>
      </c>
    </row>
    <row r="392" spans="1:4">
      <c r="A392" t="s">
        <v>686</v>
      </c>
      <c r="B392" s="1" t="s">
        <v>687</v>
      </c>
      <c r="C392" s="64">
        <f>0.021*C389^(0.8)*C391^(0.4)</f>
        <v>16.882806551752321</v>
      </c>
    </row>
    <row r="393" spans="1:4">
      <c r="A393" t="s">
        <v>688</v>
      </c>
      <c r="B393" s="1" t="s">
        <v>689</v>
      </c>
      <c r="C393" s="64">
        <f>C392*C387/(C382*0.001)</f>
        <v>3.2077332448329408</v>
      </c>
    </row>
    <row r="394" spans="1:4">
      <c r="A394" t="s">
        <v>690</v>
      </c>
      <c r="B394" s="1" t="s">
        <v>691</v>
      </c>
      <c r="C394" s="64">
        <f>1/C393/(PI()*C382*0.001*C338-2+2)</f>
        <v>0.1503515627790909</v>
      </c>
    </row>
    <row r="395" spans="1:4">
      <c r="B395" s="1"/>
      <c r="C395" s="64"/>
    </row>
    <row r="396" spans="1:4">
      <c r="A396" s="3" t="s">
        <v>692</v>
      </c>
      <c r="B396" s="1"/>
      <c r="C396" s="64"/>
    </row>
    <row r="397" spans="1:4" ht="15" customHeight="1">
      <c r="B397" s="1"/>
      <c r="C397" s="64"/>
    </row>
    <row r="398" spans="1:4">
      <c r="A398" t="s">
        <v>693</v>
      </c>
      <c r="B398" s="1" t="s">
        <v>693</v>
      </c>
      <c r="C398" s="84">
        <f>(LN((C382/2+C381)/(C382/2))/(2*PI()*S44*C338))</f>
        <v>9.2303068290347132E-5</v>
      </c>
    </row>
    <row r="399" spans="1:4">
      <c r="B399" s="1"/>
      <c r="C399" s="73"/>
    </row>
    <row r="400" spans="1:4">
      <c r="A400" s="3" t="s">
        <v>694</v>
      </c>
      <c r="B400" s="1"/>
      <c r="C400" s="73"/>
    </row>
    <row r="401" spans="1:5">
      <c r="B401" s="1"/>
      <c r="C401" s="64"/>
    </row>
    <row r="402" spans="1:5">
      <c r="A402" t="s">
        <v>695</v>
      </c>
      <c r="B402" s="1" t="s">
        <v>168</v>
      </c>
      <c r="C402" s="72">
        <f>(1.48*10^-5)/(2.08*10^-5)</f>
        <v>0.71153846153846156</v>
      </c>
      <c r="E402" t="s">
        <v>696</v>
      </c>
    </row>
    <row r="403" spans="1:5">
      <c r="A403" t="s">
        <v>697</v>
      </c>
      <c r="B403" s="1" t="s">
        <v>698</v>
      </c>
      <c r="C403" s="72">
        <v>300</v>
      </c>
      <c r="D403" t="s">
        <v>14</v>
      </c>
      <c r="E403">
        <f>0.0253</f>
        <v>2.53E-2</v>
      </c>
    </row>
    <row r="404" spans="1:5">
      <c r="A404" t="s">
        <v>699</v>
      </c>
      <c r="B404" s="1" t="s">
        <v>536</v>
      </c>
      <c r="C404" s="72">
        <f>9.81*(1/273.15)*C338^3*(C403-E11)/(1.48*10^-5)</f>
        <v>771775.83708090498</v>
      </c>
    </row>
    <row r="405" spans="1:5">
      <c r="A405" t="s">
        <v>700</v>
      </c>
      <c r="B405" s="1" t="s">
        <v>701</v>
      </c>
      <c r="C405" s="72">
        <f>C404+C402</f>
        <v>771776.54861936648</v>
      </c>
    </row>
    <row r="406" spans="1:5" ht="13.05" customHeight="1">
      <c r="A406" t="s">
        <v>424</v>
      </c>
      <c r="B406" s="1" t="s">
        <v>687</v>
      </c>
      <c r="C406" s="64">
        <f>0.59*C405^1/4</f>
        <v>113837.04092135654</v>
      </c>
    </row>
    <row r="407" spans="1:5" ht="13.95" customHeight="1">
      <c r="A407" t="s">
        <v>702</v>
      </c>
      <c r="B407" s="1" t="s">
        <v>703</v>
      </c>
      <c r="C407">
        <f>C406*E403/(C382+2*C381)</f>
        <v>13.091259705956002</v>
      </c>
    </row>
    <row r="408" spans="1:5" ht="13.95" customHeight="1">
      <c r="B408" s="1"/>
    </row>
    <row r="409" spans="1:5" ht="19.8" customHeight="1">
      <c r="A409" t="s">
        <v>704</v>
      </c>
      <c r="B409" s="1" t="s">
        <v>215</v>
      </c>
      <c r="C409">
        <f>1/(C407*PI()*(C382+2*C381)*C338)</f>
        <v>3.3491304828341796E-5</v>
      </c>
    </row>
    <row r="410" spans="1:5" ht="19.8" customHeight="1">
      <c r="B410" s="1"/>
    </row>
    <row r="411" spans="1:5" ht="19.8" customHeight="1">
      <c r="A411" t="s">
        <v>705</v>
      </c>
      <c r="B411" s="1"/>
    </row>
    <row r="412" spans="1:5" ht="19.8" customHeight="1">
      <c r="B412" s="1"/>
    </row>
    <row r="413" spans="1:5" ht="19.8" customHeight="1">
      <c r="A413" t="s">
        <v>530</v>
      </c>
      <c r="B413" s="1" t="s">
        <v>706</v>
      </c>
      <c r="C413" s="64">
        <f>C394+C398+C409</f>
        <v>0.15047735715220958</v>
      </c>
    </row>
    <row r="414" spans="1:5" ht="19.8" customHeight="1">
      <c r="B414" s="1"/>
    </row>
    <row r="415" spans="1:5" ht="19.8" customHeight="1">
      <c r="B415" s="1"/>
    </row>
    <row r="416" spans="1:5" ht="13.95" customHeight="1">
      <c r="B416" s="1"/>
    </row>
    <row r="417" spans="1:14">
      <c r="A417" s="3" t="s">
        <v>707</v>
      </c>
      <c r="B417" s="1"/>
    </row>
    <row r="418" spans="1:14">
      <c r="B418" s="1"/>
    </row>
    <row r="419" spans="1:14">
      <c r="A419" t="s">
        <v>708</v>
      </c>
      <c r="B419" s="1" t="s">
        <v>539</v>
      </c>
      <c r="C419" s="74">
        <v>9.81</v>
      </c>
      <c r="D419" t="s">
        <v>540</v>
      </c>
    </row>
    <row r="420" spans="1:14">
      <c r="A420" t="s">
        <v>709</v>
      </c>
      <c r="B420" s="1" t="s">
        <v>541</v>
      </c>
      <c r="C420" s="64">
        <f>1/273.15</f>
        <v>3.6609921288669233E-3</v>
      </c>
      <c r="D420" t="s">
        <v>710</v>
      </c>
    </row>
    <row r="421" spans="1:14">
      <c r="A421" t="s">
        <v>711</v>
      </c>
      <c r="B421" s="1" t="s">
        <v>712</v>
      </c>
      <c r="C421">
        <f>C338+2-2</f>
        <v>3.3</v>
      </c>
      <c r="D421" t="s">
        <v>82</v>
      </c>
    </row>
    <row r="422" spans="1:14">
      <c r="A422" t="s">
        <v>713</v>
      </c>
      <c r="B422" s="1" t="s">
        <v>714</v>
      </c>
      <c r="C422" s="64">
        <f>1.48*10^-5</f>
        <v>1.4800000000000001E-5</v>
      </c>
      <c r="D422" t="s">
        <v>419</v>
      </c>
    </row>
    <row r="423" spans="1:14">
      <c r="A423" t="s">
        <v>715</v>
      </c>
      <c r="B423" s="1" t="s">
        <v>716</v>
      </c>
      <c r="C423">
        <f>N184</f>
        <v>0.4</v>
      </c>
    </row>
    <row r="424" spans="1:14">
      <c r="A424" t="s">
        <v>717</v>
      </c>
      <c r="B424" s="1" t="s">
        <v>718</v>
      </c>
      <c r="C424">
        <f>N173</f>
        <v>0.55000000000000004</v>
      </c>
      <c r="F424" t="s">
        <v>719</v>
      </c>
    </row>
    <row r="425" spans="1:14">
      <c r="A425" t="s">
        <v>720</v>
      </c>
      <c r="B425" s="1" t="s">
        <v>461</v>
      </c>
      <c r="C425">
        <f>5.67*10^-8</f>
        <v>5.6699999999999998E-8</v>
      </c>
      <c r="D425" t="s">
        <v>721</v>
      </c>
      <c r="K425" s="73">
        <f>K433-273.15</f>
        <v>46.505362945465322</v>
      </c>
      <c r="N425" s="73">
        <f>N433-273.15</f>
        <v>44.92981662724867</v>
      </c>
    </row>
    <row r="426" spans="1:14">
      <c r="A426" t="s">
        <v>722</v>
      </c>
      <c r="B426" s="1" t="s">
        <v>723</v>
      </c>
      <c r="C426" s="64">
        <f>2.08*10^-5</f>
        <v>2.0800000000000001E-5</v>
      </c>
      <c r="D426" t="s">
        <v>419</v>
      </c>
    </row>
    <row r="427" spans="1:14">
      <c r="A427" t="s">
        <v>422</v>
      </c>
      <c r="B427" s="1" t="s">
        <v>724</v>
      </c>
      <c r="C427" s="64">
        <f>ni_Tint/C426</f>
        <v>0.71153846153846156</v>
      </c>
    </row>
    <row r="428" spans="1:14">
      <c r="A428" t="s">
        <v>725</v>
      </c>
      <c r="B428" s="1" t="s">
        <v>726</v>
      </c>
      <c r="C428">
        <f>0.0253</f>
        <v>2.53E-2</v>
      </c>
      <c r="D428" t="s">
        <v>727</v>
      </c>
    </row>
    <row r="429" spans="1:14">
      <c r="B429" s="1"/>
    </row>
    <row r="430" spans="1:14">
      <c r="B430" s="1" t="s">
        <v>728</v>
      </c>
      <c r="C430" s="1" t="s">
        <v>729</v>
      </c>
      <c r="D430" s="1" t="s">
        <v>536</v>
      </c>
      <c r="E430" s="1" t="s">
        <v>730</v>
      </c>
      <c r="F430" s="1" t="s">
        <v>687</v>
      </c>
      <c r="G430" s="1" t="s">
        <v>731</v>
      </c>
      <c r="H430" s="1" t="s">
        <v>658</v>
      </c>
      <c r="I430" s="1" t="s">
        <v>139</v>
      </c>
      <c r="J430" s="1" t="s">
        <v>732</v>
      </c>
      <c r="K430" s="1" t="s">
        <v>733</v>
      </c>
      <c r="L430" s="1" t="s">
        <v>734</v>
      </c>
      <c r="M430" s="1" t="s">
        <v>655</v>
      </c>
      <c r="N430" s="1" t="s">
        <v>728</v>
      </c>
    </row>
    <row r="431" spans="1:14">
      <c r="B431" s="75">
        <f>273.15+20</f>
        <v>293.14999999999998</v>
      </c>
      <c r="C431" s="75">
        <f>$C$424*sigma_B*(T_int^2+B431^2)*(T_int+B431)</f>
        <v>3.1104877830693969</v>
      </c>
      <c r="D431" s="75">
        <f>g*beta*L_cannaf^3*(B431-T_int)/(ni_Tint^2)</f>
        <v>11784636388.470039</v>
      </c>
      <c r="E431" s="75">
        <f>35*L_cannaf/(D431^(1/4))</f>
        <v>0.35055239409490657</v>
      </c>
      <c r="F431" s="75">
        <f>0.1*(D431*$C$427)^(1/3)</f>
        <v>203.15999298303856</v>
      </c>
      <c r="G431" s="75">
        <f>F431*$C$428/(($C$382+2*$C$381)*0.001)</f>
        <v>23.363399193049435</v>
      </c>
      <c r="H431" s="75">
        <f>1/(($C$382+$C$381*2)*0.001*PI()*L_cannaf*(C431+G431))</f>
        <v>1.6561352316517224E-2</v>
      </c>
      <c r="I431">
        <f>(B431-T_int)/H431</f>
        <v>120.76308515007733</v>
      </c>
      <c r="J431">
        <f>(2*$C$275-I431/($C$51*$C$388))/2</f>
        <v>586.63267065516857</v>
      </c>
      <c r="K431" s="73">
        <f>I431*$C$398+B431</f>
        <v>293.16114680329554</v>
      </c>
      <c r="L431" s="73">
        <f>epsilon_fumiscar*sigma_B*(J431^2+K431^2)*(J431+K431)</f>
        <v>8.5817244263920269</v>
      </c>
      <c r="M431" s="64">
        <f>1/($C$382*0.001*PI()*L_cannaf*($C$393+L431))</f>
        <v>4.0908387797703109E-2</v>
      </c>
      <c r="N431" s="64">
        <f>J431-I431*(M431+$C$398)</f>
        <v>581.68130073290661</v>
      </c>
    </row>
    <row r="432" spans="1:14">
      <c r="B432" s="75">
        <f>B431+1</f>
        <v>294.14999999999998</v>
      </c>
      <c r="C432" s="75">
        <f>$C$424*sigma_B*(T_int^2+B432^2)*(T_int+B432)</f>
        <v>3.1265309666623726</v>
      </c>
      <c r="D432" s="75">
        <f>g*beta*L_cannaf^3*(B432-T_int)/(ni_Tint^2)</f>
        <v>17676954582.705059</v>
      </c>
      <c r="E432" s="75">
        <f>35*L_cannaf/(D432^(1/4))</f>
        <v>0.31675984567438553</v>
      </c>
      <c r="F432" s="75">
        <f>0.1*(D432*$C$427)^(1/3)</f>
        <v>232.56013748471929</v>
      </c>
      <c r="G432" s="75">
        <f>F432*$C$428/(($C$382+2*$C$381)*0.001)</f>
        <v>26.744415810742719</v>
      </c>
      <c r="H432" s="75">
        <f>1/(($C$382+$C$381*2)*0.001*PI()*L_cannaf*(C432+G432))</f>
        <v>1.4677920076199495E-2</v>
      </c>
      <c r="I432">
        <f>(B432-T_int)/H432</f>
        <v>204.38863166073187</v>
      </c>
      <c r="J432">
        <f>(2*$C$275-I432/($C$51*$C$388))/2</f>
        <v>584.81997650712344</v>
      </c>
      <c r="K432" s="73">
        <f>I432*$C$398+B432</f>
        <v>294.16886569782594</v>
      </c>
      <c r="L432" s="73">
        <f>epsilon_fumiscar*sigma_B*(J432^2+K432^2)*(J432+K432)</f>
        <v>8.5433389046614288</v>
      </c>
      <c r="M432" s="64">
        <f>1/($C$382*0.001*PI()*L_cannaf*($C$393+L432))</f>
        <v>4.1042017290297113E-2</v>
      </c>
      <c r="N432" s="64">
        <f>J432-I432*(M432+$C$398)</f>
        <v>576.41258905473751</v>
      </c>
    </row>
    <row r="433" spans="1:14">
      <c r="B433" s="75">
        <f>319.3</f>
        <v>319.3</v>
      </c>
      <c r="C433" s="75">
        <f>$C$424*sigma_B*(T_int^2+B433^2)*(T_int+B433)</f>
        <v>3.5545823079076415</v>
      </c>
      <c r="D433" s="75">
        <f>g*beta*L_cannaf^3*(B433-T_int)/(ni_Tint^2)</f>
        <v>165868757167.716</v>
      </c>
      <c r="E433" s="75">
        <f>35*L_cannaf/(D433^(1/4))</f>
        <v>0.18098427257908375</v>
      </c>
      <c r="F433" s="75">
        <f>0.1*(D433*$C$427)^(1/3)</f>
        <v>490.51729389465277</v>
      </c>
      <c r="G433" s="75">
        <f>F433*$C$428/(($C$382+2*$C$381)*0.001)</f>
        <v>56.409488797885068</v>
      </c>
      <c r="H433" s="75">
        <f>1/(($C$382+$C$381*2)*0.001*PI()*L_cannaf*(C433+G433))</f>
        <v>7.3117678855664919E-3</v>
      </c>
      <c r="I433">
        <f>(B433-T_int)/H433</f>
        <v>3849.9581004982988</v>
      </c>
      <c r="J433">
        <f>(2*$C$275-I433/($C$51*$C$388))/2</f>
        <v>505.79744430027131</v>
      </c>
      <c r="K433" s="73">
        <f>I433*$C$398+B433</f>
        <v>319.6553629454653</v>
      </c>
      <c r="L433" s="73">
        <f>epsilon_fumiscar*sigma_B*(J433^2+K433^2)*(J433+K433)</f>
        <v>6.7024130938165181</v>
      </c>
      <c r="M433" s="64">
        <f>1/($C$382*0.001*PI()*L_cannaf*($C$393+L433))</f>
        <v>4.8666052937902667E-2</v>
      </c>
      <c r="N433" s="64">
        <f>J433-I433*(M433+$C$398)</f>
        <v>318.07981662724865</v>
      </c>
    </row>
    <row r="434" spans="1:14">
      <c r="B434" s="75"/>
      <c r="C434" s="75"/>
      <c r="D434" s="75"/>
      <c r="E434" s="75"/>
      <c r="F434" s="75"/>
      <c r="G434" s="75"/>
      <c r="H434" s="75"/>
      <c r="K434" s="73"/>
      <c r="L434" s="73"/>
      <c r="M434" s="64"/>
      <c r="N434" s="64"/>
    </row>
    <row r="435" spans="1:14">
      <c r="A435" t="s">
        <v>735</v>
      </c>
      <c r="B435" s="1" t="s">
        <v>672</v>
      </c>
      <c r="C435" s="75">
        <f>I433</f>
        <v>3849.9581004982988</v>
      </c>
      <c r="D435" s="75" t="s">
        <v>140</v>
      </c>
      <c r="E435" s="75"/>
      <c r="F435" s="75"/>
      <c r="G435" s="75"/>
      <c r="H435" s="75"/>
      <c r="K435" s="73"/>
      <c r="L435" s="73"/>
      <c r="M435" s="64"/>
      <c r="N435" s="64"/>
    </row>
    <row r="436" spans="1:14">
      <c r="A436" t="s">
        <v>736</v>
      </c>
      <c r="B436" s="1" t="s">
        <v>737</v>
      </c>
      <c r="C436" s="75">
        <f>J433*2-C275</f>
        <v>422.34451860724744</v>
      </c>
      <c r="D436" s="75" t="s">
        <v>14</v>
      </c>
      <c r="E436" s="75">
        <f>C436-273.15</f>
        <v>149.19451860724746</v>
      </c>
      <c r="F436" s="75" t="s">
        <v>13</v>
      </c>
      <c r="G436" s="75"/>
      <c r="H436" s="75"/>
      <c r="K436" s="73"/>
      <c r="L436" s="73"/>
      <c r="M436" s="64"/>
      <c r="N436" s="64"/>
    </row>
    <row r="437" spans="1:14">
      <c r="B437" s="75"/>
      <c r="C437" s="75"/>
      <c r="D437" s="75"/>
      <c r="E437" s="75"/>
      <c r="F437" s="75"/>
      <c r="G437" s="75"/>
      <c r="H437" s="75"/>
      <c r="K437" s="73"/>
      <c r="L437" s="73"/>
      <c r="M437" s="64"/>
      <c r="N437" s="64"/>
    </row>
    <row r="438" spans="1:14">
      <c r="B438" s="75"/>
      <c r="C438" s="75"/>
      <c r="D438" s="75"/>
      <c r="E438" s="75"/>
      <c r="F438" s="75"/>
      <c r="G438" s="75"/>
      <c r="H438" s="75"/>
      <c r="L438" s="75"/>
      <c r="N438" s="76"/>
    </row>
    <row r="439" spans="1:14">
      <c r="A439" t="s">
        <v>738</v>
      </c>
      <c r="B439" s="83" t="s">
        <v>739</v>
      </c>
      <c r="C439" s="78">
        <f>C375/(C49*1000*C44)</f>
        <v>0.75889888500409297</v>
      </c>
      <c r="D439" s="75"/>
      <c r="E439" s="81" t="s">
        <v>740</v>
      </c>
      <c r="F439" s="75"/>
      <c r="G439" s="75"/>
      <c r="H439" s="75"/>
      <c r="L439" s="75"/>
      <c r="N439" s="76"/>
    </row>
    <row r="440" spans="1:14">
      <c r="A440" t="s">
        <v>741</v>
      </c>
      <c r="B440" s="83" t="s">
        <v>742</v>
      </c>
      <c r="C440" s="78">
        <f>(C435+C375)/(C44*1000*C138)</f>
        <v>0.85038928509787948</v>
      </c>
      <c r="D440" s="75"/>
      <c r="E440" s="78">
        <f>100*(C440-C439)</f>
        <v>9.1490400093786501</v>
      </c>
      <c r="F440" s="75" t="s">
        <v>743</v>
      </c>
      <c r="G440" s="75"/>
      <c r="H440" s="75"/>
      <c r="L440" s="75"/>
      <c r="N440" s="76"/>
    </row>
    <row r="441" spans="1:14">
      <c r="B441" s="83"/>
      <c r="C441" s="75"/>
      <c r="D441" s="75"/>
      <c r="E441" s="75"/>
      <c r="F441" s="75"/>
      <c r="G441" s="75"/>
      <c r="H441" s="75"/>
      <c r="L441" s="75"/>
      <c r="N441" s="76"/>
    </row>
    <row r="442" spans="1:14">
      <c r="A442" t="s">
        <v>744</v>
      </c>
      <c r="B442" s="83" t="s">
        <v>745</v>
      </c>
      <c r="C442" s="79">
        <f>C435/(C375+C435)*100</f>
        <v>10.758649208903885</v>
      </c>
      <c r="D442" s="75" t="s">
        <v>743</v>
      </c>
      <c r="E442" s="75"/>
      <c r="F442" s="75"/>
      <c r="G442" s="75"/>
      <c r="H442" s="75"/>
      <c r="L442" s="75"/>
      <c r="N442" s="76"/>
    </row>
    <row r="443" spans="1:14">
      <c r="B443" s="83"/>
      <c r="C443" s="79"/>
      <c r="D443" s="75"/>
      <c r="E443" s="75"/>
      <c r="F443" s="75"/>
      <c r="G443" s="75"/>
      <c r="H443" s="75"/>
      <c r="L443" s="75"/>
      <c r="N443" s="76"/>
    </row>
    <row r="444" spans="1:14">
      <c r="B444" s="83"/>
      <c r="C444" s="79"/>
      <c r="D444" s="75"/>
      <c r="E444" s="75"/>
      <c r="F444" s="75"/>
      <c r="G444" s="75"/>
      <c r="H444" s="75"/>
      <c r="L444" s="75"/>
      <c r="N444" s="76"/>
    </row>
    <row r="445" spans="1:14">
      <c r="A445" s="3" t="s">
        <v>891</v>
      </c>
      <c r="B445" s="83"/>
      <c r="C445" s="79"/>
      <c r="D445" s="75"/>
      <c r="E445" s="75"/>
      <c r="F445" s="75"/>
      <c r="G445" s="75"/>
      <c r="H445" s="75"/>
      <c r="L445" s="75"/>
      <c r="N445" s="76"/>
    </row>
    <row r="446" spans="1:14">
      <c r="B446" s="83"/>
      <c r="C446" s="79"/>
      <c r="D446" s="75"/>
      <c r="E446" s="75"/>
      <c r="F446" s="75"/>
      <c r="G446" s="75"/>
      <c r="H446" s="75"/>
      <c r="L446" s="75"/>
      <c r="N446" s="76"/>
    </row>
    <row r="447" spans="1:14">
      <c r="A447" s="109"/>
      <c r="B447" s="109"/>
      <c r="C447" s="113" t="s">
        <v>975</v>
      </c>
      <c r="D447" s="113" t="s">
        <v>976</v>
      </c>
      <c r="E447" s="113" t="s">
        <v>977</v>
      </c>
      <c r="F447" s="113" t="s">
        <v>978</v>
      </c>
      <c r="G447" s="113" t="s">
        <v>979</v>
      </c>
      <c r="H447" s="113" t="s">
        <v>980</v>
      </c>
      <c r="L447" s="75"/>
      <c r="N447" s="76"/>
    </row>
    <row r="448" spans="1:14">
      <c r="A448" s="109" t="s">
        <v>983</v>
      </c>
      <c r="B448" s="110" t="s">
        <v>981</v>
      </c>
      <c r="C448" s="109">
        <v>13</v>
      </c>
      <c r="D448" s="109">
        <v>6.9</v>
      </c>
      <c r="E448" s="109">
        <v>2.9</v>
      </c>
      <c r="F448" s="109">
        <v>1.4</v>
      </c>
      <c r="G448" s="109">
        <v>3.6</v>
      </c>
      <c r="H448" s="109">
        <v>8.3000000000000007</v>
      </c>
      <c r="L448" s="75"/>
      <c r="N448" s="76"/>
    </row>
    <row r="449" spans="1:14">
      <c r="A449" s="109" t="s">
        <v>984</v>
      </c>
      <c r="B449" s="110" t="s">
        <v>651</v>
      </c>
      <c r="C449" s="111">
        <f>$C$355*$C$347*(C448-$C$11)</f>
        <v>-3070.9598031173095</v>
      </c>
      <c r="D449" s="111">
        <f t="shared" ref="D449:H449" si="1">$C$355*$C$347*(D448-$C$11)</f>
        <v>-6817.5307629204272</v>
      </c>
      <c r="E449" s="111">
        <f t="shared" si="1"/>
        <v>-9274.2986054142748</v>
      </c>
      <c r="F449" s="111">
        <f t="shared" si="1"/>
        <v>-10195.586546349468</v>
      </c>
      <c r="G449" s="111">
        <f t="shared" si="1"/>
        <v>-8844.3642329778522</v>
      </c>
      <c r="H449" s="111">
        <f t="shared" si="1"/>
        <v>-5957.6620180475802</v>
      </c>
      <c r="L449" s="75"/>
      <c r="N449" s="76"/>
    </row>
    <row r="450" spans="1:14">
      <c r="A450" s="109" t="s">
        <v>985</v>
      </c>
      <c r="B450" s="110" t="s">
        <v>660</v>
      </c>
      <c r="C450" s="111">
        <f>(C448-$C$11)/($C$360+1/($F$324*$C$359)+$C$361)</f>
        <v>-41.154513231949458</v>
      </c>
      <c r="D450" s="111">
        <f t="shared" ref="D450:H450" si="2">(D448-$C$11)/($C$360+1/($F$324*$C$359)+$C$361)</f>
        <v>-91.363019374927788</v>
      </c>
      <c r="E450" s="111">
        <f t="shared" si="2"/>
        <v>-124.28662996048736</v>
      </c>
      <c r="F450" s="111">
        <f t="shared" si="2"/>
        <v>-136.63298393007221</v>
      </c>
      <c r="G450" s="111">
        <f t="shared" si="2"/>
        <v>-118.52499810801444</v>
      </c>
      <c r="H450" s="111">
        <f t="shared" si="2"/>
        <v>-79.83975566998194</v>
      </c>
      <c r="L450" s="75"/>
      <c r="N450" s="76"/>
    </row>
    <row r="451" spans="1:14">
      <c r="A451" s="109" t="s">
        <v>986</v>
      </c>
      <c r="B451" s="110" t="s">
        <v>664</v>
      </c>
      <c r="C451" s="111">
        <f>$F$329*$C$365*($N$243-$E$11)</f>
        <v>-19431.86104218362</v>
      </c>
      <c r="D451" s="111">
        <f t="shared" ref="D451:H451" si="3">$F$329*$C$365*($N$243-$E$11)</f>
        <v>-19431.86104218362</v>
      </c>
      <c r="E451" s="111">
        <f t="shared" si="3"/>
        <v>-19431.86104218362</v>
      </c>
      <c r="F451" s="111">
        <f t="shared" si="3"/>
        <v>-19431.86104218362</v>
      </c>
      <c r="G451" s="111">
        <f t="shared" si="3"/>
        <v>-19431.86104218362</v>
      </c>
      <c r="H451" s="111">
        <f t="shared" si="3"/>
        <v>-19431.86104218362</v>
      </c>
      <c r="L451" s="75"/>
      <c r="N451" s="76"/>
    </row>
    <row r="452" spans="1:14">
      <c r="A452" s="109" t="s">
        <v>988</v>
      </c>
      <c r="B452" s="110" t="s">
        <v>668</v>
      </c>
      <c r="C452" s="111">
        <f>(C448-$C$11)/($C$370+1/($F$333*$C$369)+$C$371)</f>
        <v>-41.50984186465675</v>
      </c>
      <c r="D452" s="111">
        <f t="shared" ref="D452:H452" si="4">(D448-$C$11)/($C$370+1/($F$333*$C$369)+$C$371)</f>
        <v>-92.15184893953797</v>
      </c>
      <c r="E452" s="111">
        <f t="shared" si="4"/>
        <v>-125.35972243126336</v>
      </c>
      <c r="F452" s="111">
        <f t="shared" si="4"/>
        <v>-137.81267499066041</v>
      </c>
      <c r="G452" s="111">
        <f t="shared" si="4"/>
        <v>-119.54834457021143</v>
      </c>
      <c r="H452" s="111">
        <f t="shared" si="4"/>
        <v>-80.529093217434081</v>
      </c>
      <c r="L452" s="75"/>
      <c r="N452" s="76"/>
    </row>
    <row r="453" spans="1:14">
      <c r="A453" s="109" t="s">
        <v>987</v>
      </c>
      <c r="B453" s="112" t="s">
        <v>982</v>
      </c>
      <c r="C453" s="111">
        <f>SUM(C449:C452)</f>
        <v>-22585.485200397536</v>
      </c>
      <c r="D453" s="111">
        <f>SUM(D449:D452)</f>
        <v>-26432.906673418514</v>
      </c>
      <c r="E453" s="111">
        <f t="shared" ref="E453:H453" si="5">SUM(E449:E452)</f>
        <v>-28955.805999989643</v>
      </c>
      <c r="F453" s="111">
        <f t="shared" si="5"/>
        <v>-29901.89324745382</v>
      </c>
      <c r="G453" s="111">
        <f t="shared" si="5"/>
        <v>-28514.298617839697</v>
      </c>
      <c r="H453" s="111">
        <f t="shared" si="5"/>
        <v>-25549.891909118618</v>
      </c>
      <c r="L453" s="75"/>
      <c r="N453" s="76"/>
    </row>
    <row r="454" spans="1:14">
      <c r="A454" s="109" t="s">
        <v>989</v>
      </c>
      <c r="B454" s="112" t="s">
        <v>991</v>
      </c>
      <c r="C454" s="111">
        <f>31*24*3600</f>
        <v>2678400</v>
      </c>
      <c r="D454" s="111">
        <f>30*24*3600</f>
        <v>2592000</v>
      </c>
      <c r="E454" s="111">
        <f t="shared" ref="E454:H454" si="6">31*24*3600</f>
        <v>2678400</v>
      </c>
      <c r="F454" s="111">
        <f t="shared" si="6"/>
        <v>2678400</v>
      </c>
      <c r="G454" s="111">
        <f>28*24*3600</f>
        <v>2419200</v>
      </c>
      <c r="H454" s="111">
        <f t="shared" si="6"/>
        <v>2678400</v>
      </c>
      <c r="L454" s="75"/>
      <c r="N454" s="76"/>
    </row>
    <row r="455" spans="1:14">
      <c r="A455" s="109" t="s">
        <v>990</v>
      </c>
      <c r="B455" s="113" t="s">
        <v>992</v>
      </c>
      <c r="C455" s="111">
        <f>C453*C454</f>
        <v>-60492963560.744759</v>
      </c>
      <c r="D455" s="111">
        <f t="shared" ref="D455:H455" si="7">D453*D454</f>
        <v>-68514094097.500786</v>
      </c>
      <c r="E455" s="111">
        <f t="shared" si="7"/>
        <v>-77555230790.372253</v>
      </c>
      <c r="F455" s="111">
        <f>F453*F454</f>
        <v>-80089230873.980316</v>
      </c>
      <c r="G455" s="111">
        <f t="shared" si="7"/>
        <v>-68981791216.277802</v>
      </c>
      <c r="H455" s="111">
        <f t="shared" si="7"/>
        <v>-68432830489.383308</v>
      </c>
      <c r="L455" s="75"/>
      <c r="N455" s="76"/>
    </row>
    <row r="456" spans="1:14">
      <c r="A456" s="109" t="s">
        <v>993</v>
      </c>
      <c r="B456" s="113" t="s">
        <v>672</v>
      </c>
      <c r="C456" s="111">
        <v>3850</v>
      </c>
      <c r="D456" s="111">
        <v>3850</v>
      </c>
      <c r="E456" s="111">
        <v>3850</v>
      </c>
      <c r="F456" s="111">
        <v>3850</v>
      </c>
      <c r="G456" s="111">
        <v>3850</v>
      </c>
      <c r="H456" s="111">
        <v>3850</v>
      </c>
      <c r="L456" s="75"/>
      <c r="N456" s="76"/>
    </row>
    <row r="457" spans="1:14">
      <c r="A457" s="109" t="s">
        <v>996</v>
      </c>
      <c r="B457" s="112" t="s">
        <v>994</v>
      </c>
      <c r="C457" s="114">
        <f>(-C455/($E$9*1000+C456))/3600</f>
        <v>434.01466179326133</v>
      </c>
      <c r="D457" s="114">
        <f t="shared" ref="D457:H457" si="8">(-D455/($E$9*1000+D456))/3600</f>
        <v>491.56330963912177</v>
      </c>
      <c r="E457" s="114">
        <f t="shared" si="8"/>
        <v>556.43012476949536</v>
      </c>
      <c r="F457" s="114">
        <f t="shared" si="8"/>
        <v>574.61063907289656</v>
      </c>
      <c r="G457" s="114">
        <f t="shared" si="8"/>
        <v>494.91886365531502</v>
      </c>
      <c r="H457" s="114">
        <f t="shared" si="8"/>
        <v>490.98027327725146</v>
      </c>
      <c r="L457" s="75"/>
      <c r="N457" s="76"/>
    </row>
    <row r="458" spans="1:14">
      <c r="A458" s="115" t="s">
        <v>995</v>
      </c>
      <c r="B458" s="112" t="s">
        <v>892</v>
      </c>
      <c r="C458" s="114">
        <f>C457/31</f>
        <v>14.000472961072946</v>
      </c>
      <c r="D458" s="114">
        <f>D457/30</f>
        <v>16.385443654637392</v>
      </c>
      <c r="E458" s="114">
        <f t="shared" ref="E458:F458" si="9">E457/31</f>
        <v>17.949358863532108</v>
      </c>
      <c r="F458" s="114">
        <f t="shared" si="9"/>
        <v>18.535827066867633</v>
      </c>
      <c r="G458" s="114">
        <f>G457/28</f>
        <v>17.675673701975537</v>
      </c>
      <c r="H458" s="114">
        <f>H457/31</f>
        <v>15.838073331524241</v>
      </c>
      <c r="L458" s="75"/>
      <c r="N458" s="76"/>
    </row>
    <row r="459" spans="1:14">
      <c r="G459" s="75"/>
      <c r="H459" s="75"/>
      <c r="L459" s="75"/>
      <c r="N459" s="76"/>
    </row>
    <row r="460" spans="1:14">
      <c r="A460" t="s">
        <v>997</v>
      </c>
      <c r="B460" s="116">
        <f>SUM(C457:H457)*3600</f>
        <v>10953064.339946428</v>
      </c>
      <c r="C460" s="79" t="s">
        <v>675</v>
      </c>
      <c r="D460" s="75"/>
      <c r="E460" s="75"/>
      <c r="F460" s="75"/>
    </row>
    <row r="461" spans="1:14" ht="15" customHeight="1">
      <c r="B461" s="83"/>
      <c r="C461" s="79"/>
      <c r="D461" s="75"/>
      <c r="E461" s="75"/>
      <c r="F461" s="75"/>
    </row>
    <row r="462" spans="1:14">
      <c r="A462" s="3" t="s">
        <v>1000</v>
      </c>
      <c r="B462" s="83"/>
      <c r="C462" s="75"/>
      <c r="D462" s="75"/>
      <c r="F462" s="75"/>
    </row>
    <row r="463" spans="1:14">
      <c r="A463" s="3"/>
      <c r="B463" s="83"/>
      <c r="C463" s="75"/>
      <c r="D463" s="75"/>
      <c r="F463" s="75"/>
    </row>
    <row r="464" spans="1:14">
      <c r="A464" t="s">
        <v>746</v>
      </c>
      <c r="B464" s="83" t="s">
        <v>1004</v>
      </c>
      <c r="C464" s="80">
        <v>0.217694</v>
      </c>
      <c r="D464" s="75" t="s">
        <v>998</v>
      </c>
      <c r="E464" s="75"/>
      <c r="F464" s="75"/>
    </row>
    <row r="465" spans="1:9">
      <c r="A465" t="s">
        <v>748</v>
      </c>
      <c r="B465" s="83" t="s">
        <v>1012</v>
      </c>
      <c r="C465" s="75">
        <f>C31/C466</f>
        <v>1.2593902489936642E-3</v>
      </c>
      <c r="D465" s="75" t="s">
        <v>749</v>
      </c>
      <c r="E465" s="75"/>
      <c r="F465" s="75"/>
    </row>
    <row r="466" spans="1:9">
      <c r="A466" t="s">
        <v>750</v>
      </c>
      <c r="B466" s="1" t="s">
        <v>999</v>
      </c>
      <c r="C466" s="75">
        <v>0.66800000000000004</v>
      </c>
      <c r="D466" s="75" t="s">
        <v>87</v>
      </c>
      <c r="E466" s="75"/>
      <c r="F466" s="75"/>
    </row>
    <row r="467" spans="1:9">
      <c r="B467" s="1"/>
      <c r="C467" s="75"/>
      <c r="D467" s="75"/>
      <c r="E467" s="75"/>
      <c r="F467" s="75"/>
    </row>
    <row r="468" spans="1:9">
      <c r="A468" t="s">
        <v>751</v>
      </c>
      <c r="B468" s="83" t="s">
        <v>747</v>
      </c>
      <c r="C468" s="82">
        <f>C464*C465*B460</f>
        <v>3002.9107491172126</v>
      </c>
      <c r="D468" s="75" t="s">
        <v>752</v>
      </c>
      <c r="E468" s="75" t="s">
        <v>753</v>
      </c>
      <c r="F468" s="75"/>
    </row>
    <row r="469" spans="1:9">
      <c r="B469" s="1"/>
      <c r="I469" s="70"/>
    </row>
    <row r="470" spans="1:9">
      <c r="A470" s="3" t="s">
        <v>1001</v>
      </c>
      <c r="B470" s="1"/>
      <c r="I470" s="70"/>
    </row>
    <row r="471" spans="1:9">
      <c r="A471" s="3"/>
      <c r="B471" s="1"/>
      <c r="I471" s="70"/>
    </row>
    <row r="472" spans="1:9">
      <c r="A472" t="s">
        <v>1002</v>
      </c>
      <c r="B472" s="1" t="s">
        <v>1003</v>
      </c>
      <c r="C472" s="70">
        <f>C247+C305</f>
        <v>1622.3348637720069</v>
      </c>
      <c r="D472" t="s">
        <v>140</v>
      </c>
      <c r="I472" s="70"/>
    </row>
    <row r="473" spans="1:9">
      <c r="A473" t="s">
        <v>1006</v>
      </c>
      <c r="B473" s="1" t="s">
        <v>1007</v>
      </c>
      <c r="C473">
        <v>5.432E-2</v>
      </c>
      <c r="D473" t="s">
        <v>1005</v>
      </c>
      <c r="I473" s="70"/>
    </row>
    <row r="474" spans="1:9">
      <c r="B474" s="1"/>
      <c r="I474" s="70"/>
    </row>
    <row r="475" spans="1:9">
      <c r="A475" t="s">
        <v>1008</v>
      </c>
      <c r="B475" s="1" t="s">
        <v>1009</v>
      </c>
      <c r="C475" s="117">
        <f>C472/1000*B460/3600*C473</f>
        <v>268.12258665916926</v>
      </c>
      <c r="D475" t="s">
        <v>752</v>
      </c>
      <c r="I475" s="70"/>
    </row>
    <row r="476" spans="1:9">
      <c r="B476" s="1"/>
      <c r="I476" s="70"/>
    </row>
    <row r="477" spans="1:9">
      <c r="A477" t="s">
        <v>1011</v>
      </c>
      <c r="B477" s="1" t="s">
        <v>1010</v>
      </c>
      <c r="C477" s="70">
        <f>C475+C468</f>
        <v>3271.033335776382</v>
      </c>
      <c r="D477" t="s">
        <v>752</v>
      </c>
      <c r="G477" s="70"/>
      <c r="H477" s="70"/>
      <c r="I477" s="70"/>
    </row>
    <row r="478" spans="1:9">
      <c r="B478" s="1"/>
    </row>
    <row r="479" spans="1:9">
      <c r="B479" s="1"/>
    </row>
    <row r="480" spans="1:9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</sheetData>
  <autoFilter ref="B1:B487" xr:uid="{1DD633F9-E44D-4CA5-BC4F-7D206A6EAAC4}"/>
  <mergeCells count="30">
    <mergeCell ref="P61:Q62"/>
    <mergeCell ref="N65:O65"/>
    <mergeCell ref="P215:P216"/>
    <mergeCell ref="N69:O69"/>
    <mergeCell ref="A1:P3"/>
    <mergeCell ref="A5:M6"/>
    <mergeCell ref="N31:AS33"/>
    <mergeCell ref="AN72:AO72"/>
    <mergeCell ref="L163:Z164"/>
    <mergeCell ref="N73:O73"/>
    <mergeCell ref="D39:D40"/>
    <mergeCell ref="E39:G39"/>
    <mergeCell ref="E36:G36"/>
    <mergeCell ref="G7:I8"/>
    <mergeCell ref="A102:K103"/>
    <mergeCell ref="A309:K310"/>
    <mergeCell ref="AN76:AO76"/>
    <mergeCell ref="O248:O249"/>
    <mergeCell ref="N264:Q264"/>
    <mergeCell ref="N265:Q265"/>
    <mergeCell ref="N266:Z266"/>
    <mergeCell ref="O260:Q260"/>
    <mergeCell ref="O263:P263"/>
    <mergeCell ref="O259:Q259"/>
    <mergeCell ref="G225:J228"/>
    <mergeCell ref="L222:Z223"/>
    <mergeCell ref="L224:O224"/>
    <mergeCell ref="P233:P234"/>
    <mergeCell ref="L241:L242"/>
    <mergeCell ref="P250:Q251"/>
  </mergeCells>
  <pageMargins left="0.7" right="0.7" top="0.75" bottom="0.75" header="0.3" footer="0.3"/>
  <pageSetup paperSize="9" orientation="portrait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D11-66C9-4836-9F8C-89C0F5509F8C}">
  <dimension ref="A1:AG203"/>
  <sheetViews>
    <sheetView tabSelected="1" topLeftCell="S107" zoomScale="70" zoomScaleNormal="85" workbookViewId="0">
      <selection activeCell="V121" sqref="V121"/>
    </sheetView>
  </sheetViews>
  <sheetFormatPr defaultColWidth="8.77734375" defaultRowHeight="14.4"/>
  <cols>
    <col min="1" max="1" width="34.6640625" bestFit="1" customWidth="1"/>
    <col min="2" max="2" width="10.109375" bestFit="1" customWidth="1"/>
    <col min="3" max="3" width="12.44140625" bestFit="1" customWidth="1"/>
    <col min="6" max="6" width="12.109375" bestFit="1" customWidth="1"/>
    <col min="9" max="9" width="35.109375" customWidth="1"/>
    <col min="10" max="10" width="8.77734375" style="4"/>
    <col min="11" max="11" width="9.77734375" bestFit="1" customWidth="1"/>
    <col min="12" max="12" width="13.44140625" bestFit="1" customWidth="1"/>
    <col min="15" max="15" width="27.109375" customWidth="1"/>
    <col min="16" max="16" width="8.77734375" style="1" customWidth="1"/>
    <col min="17" max="17" width="13.109375" bestFit="1" customWidth="1"/>
    <col min="20" max="20" width="37.33203125" bestFit="1" customWidth="1"/>
    <col min="21" max="21" width="11.33203125" bestFit="1" customWidth="1"/>
    <col min="22" max="22" width="16.109375" bestFit="1" customWidth="1"/>
    <col min="23" max="23" width="20.109375" bestFit="1" customWidth="1"/>
    <col min="24" max="24" width="18" customWidth="1"/>
    <col min="25" max="25" width="17.33203125" customWidth="1"/>
    <col min="26" max="26" width="18.77734375" customWidth="1"/>
    <col min="27" max="27" width="18.6640625" customWidth="1"/>
    <col min="28" max="28" width="9.109375" bestFit="1" customWidth="1"/>
  </cols>
  <sheetData>
    <row r="1" spans="1:33" ht="14.7" customHeight="1">
      <c r="A1" s="241" t="s">
        <v>754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U1" s="1"/>
    </row>
    <row r="2" spans="1:33" ht="14.7" customHeight="1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U2" s="1"/>
    </row>
    <row r="3" spans="1:33">
      <c r="U3" s="1"/>
    </row>
    <row r="4" spans="1:33">
      <c r="A4" s="96" t="s">
        <v>755</v>
      </c>
      <c r="I4" s="96" t="s">
        <v>44</v>
      </c>
      <c r="U4" s="1"/>
    </row>
    <row r="5" spans="1:33">
      <c r="U5" s="1"/>
      <c r="AG5" s="106"/>
    </row>
    <row r="6" spans="1:33">
      <c r="I6" s="60" t="s">
        <v>893</v>
      </c>
      <c r="T6" s="60" t="s">
        <v>894</v>
      </c>
      <c r="U6" s="1"/>
      <c r="AA6" s="60" t="s">
        <v>1022</v>
      </c>
      <c r="AB6" s="60" t="s">
        <v>1023</v>
      </c>
      <c r="AG6" s="106"/>
    </row>
    <row r="7" spans="1:33">
      <c r="U7" s="1"/>
      <c r="AG7" s="106"/>
    </row>
    <row r="8" spans="1:33">
      <c r="A8" s="89" t="s">
        <v>2</v>
      </c>
      <c r="B8" s="90"/>
      <c r="C8" s="90"/>
      <c r="D8" s="90"/>
      <c r="E8" s="90"/>
      <c r="F8" s="90"/>
      <c r="G8" s="90"/>
      <c r="I8" s="98" t="s">
        <v>756</v>
      </c>
      <c r="O8" s="98" t="s">
        <v>757</v>
      </c>
      <c r="T8" s="108" t="s">
        <v>895</v>
      </c>
      <c r="U8" s="1"/>
      <c r="AG8" s="106"/>
    </row>
    <row r="9" spans="1:33">
      <c r="A9" s="91"/>
      <c r="B9" s="90"/>
      <c r="C9" s="90"/>
      <c r="D9" s="90"/>
      <c r="E9" s="90"/>
      <c r="F9" s="90"/>
      <c r="G9" s="90"/>
      <c r="I9" s="98"/>
      <c r="U9" s="1"/>
      <c r="AA9" s="121" t="s">
        <v>1024</v>
      </c>
      <c r="AB9">
        <f>V20*C41</f>
        <v>2281.05814285713</v>
      </c>
      <c r="AD9" t="s">
        <v>1028</v>
      </c>
      <c r="AG9" s="106"/>
    </row>
    <row r="10" spans="1:33">
      <c r="A10" s="92" t="s">
        <v>4</v>
      </c>
      <c r="B10" s="93" t="s">
        <v>5</v>
      </c>
      <c r="C10" s="94">
        <f>30000</f>
        <v>30000</v>
      </c>
      <c r="D10" s="90" t="s">
        <v>6</v>
      </c>
      <c r="E10" s="90">
        <f>4.184*C10/3600</f>
        <v>34.866666666666667</v>
      </c>
      <c r="F10" s="90" t="s">
        <v>7</v>
      </c>
      <c r="G10" s="90"/>
      <c r="I10" t="s">
        <v>66</v>
      </c>
      <c r="J10" s="4" t="s">
        <v>67</v>
      </c>
      <c r="K10">
        <f>'Parte S'!C66</f>
        <v>2030.0688249608897</v>
      </c>
      <c r="L10" t="s">
        <v>14</v>
      </c>
      <c r="O10" t="s">
        <v>114</v>
      </c>
      <c r="P10" s="1" t="s">
        <v>115</v>
      </c>
      <c r="Q10">
        <f>C44</f>
        <v>0.16</v>
      </c>
      <c r="R10" t="s">
        <v>82</v>
      </c>
      <c r="T10" t="s">
        <v>66</v>
      </c>
      <c r="U10" s="4" t="s">
        <v>67</v>
      </c>
      <c r="V10">
        <f>K10</f>
        <v>2030.0688249608897</v>
      </c>
      <c r="W10" t="s">
        <v>14</v>
      </c>
      <c r="X10">
        <f>V10-273.15</f>
        <v>1756.9188249608897</v>
      </c>
      <c r="AA10" t="s">
        <v>1025</v>
      </c>
      <c r="AB10">
        <f>V21*C38</f>
        <v>18.732593936667001</v>
      </c>
      <c r="AD10" t="s">
        <v>1027</v>
      </c>
      <c r="AG10" s="106"/>
    </row>
    <row r="11" spans="1:33">
      <c r="A11" s="92" t="s">
        <v>8</v>
      </c>
      <c r="B11" s="93" t="s">
        <v>9</v>
      </c>
      <c r="C11" s="94">
        <v>50020</v>
      </c>
      <c r="D11" s="90" t="s">
        <v>10</v>
      </c>
      <c r="E11" s="90"/>
      <c r="F11" s="90"/>
      <c r="G11" s="90"/>
      <c r="I11" t="s">
        <v>758</v>
      </c>
      <c r="J11" s="4" t="s">
        <v>759</v>
      </c>
      <c r="K11">
        <f>C27</f>
        <v>333</v>
      </c>
      <c r="L11" t="s">
        <v>14</v>
      </c>
      <c r="O11" t="s">
        <v>119</v>
      </c>
      <c r="P11" s="1" t="s">
        <v>120</v>
      </c>
      <c r="Q11">
        <f>C45</f>
        <v>0.16800000000000001</v>
      </c>
      <c r="R11" t="s">
        <v>82</v>
      </c>
      <c r="T11" t="s">
        <v>758</v>
      </c>
      <c r="U11" s="4" t="s">
        <v>759</v>
      </c>
      <c r="V11">
        <f t="shared" ref="V11:V23" si="0">K11</f>
        <v>333</v>
      </c>
      <c r="W11" t="s">
        <v>14</v>
      </c>
      <c r="X11">
        <f>V11-273.15</f>
        <v>59.850000000000023</v>
      </c>
      <c r="AA11" t="s">
        <v>1026</v>
      </c>
      <c r="AB11">
        <f>AB10*(V10-V12)</f>
        <v>32598.536763240729</v>
      </c>
      <c r="AC11" t="s">
        <v>140</v>
      </c>
      <c r="AG11" s="106"/>
    </row>
    <row r="12" spans="1:33">
      <c r="A12" s="92" t="s">
        <v>11</v>
      </c>
      <c r="B12" s="93" t="s">
        <v>12</v>
      </c>
      <c r="C12" s="94">
        <v>18</v>
      </c>
      <c r="D12" s="90" t="s">
        <v>13</v>
      </c>
      <c r="E12" s="90">
        <f>C12+273.15</f>
        <v>291.14999999999998</v>
      </c>
      <c r="F12" s="90" t="s">
        <v>14</v>
      </c>
      <c r="G12" s="90"/>
      <c r="I12" t="s">
        <v>760</v>
      </c>
      <c r="J12" s="4" t="s">
        <v>74</v>
      </c>
      <c r="K12">
        <f>'Parte S'!C46</f>
        <v>289.86472544039236</v>
      </c>
      <c r="L12" t="s">
        <v>14</v>
      </c>
      <c r="O12" t="s">
        <v>674</v>
      </c>
      <c r="P12" s="1" t="s">
        <v>761</v>
      </c>
      <c r="Q12">
        <v>4.0000000000000001E-3</v>
      </c>
      <c r="R12" t="s">
        <v>82</v>
      </c>
      <c r="T12" t="s">
        <v>760</v>
      </c>
      <c r="U12" s="4" t="s">
        <v>74</v>
      </c>
      <c r="V12">
        <f t="shared" si="0"/>
        <v>289.86472544039236</v>
      </c>
      <c r="W12" t="s">
        <v>14</v>
      </c>
      <c r="X12">
        <f>V12-273.15</f>
        <v>16.714725440392385</v>
      </c>
      <c r="AA12" t="s">
        <v>1030</v>
      </c>
      <c r="AB12">
        <f>AB10/AB9</f>
        <v>8.2122386907698755E-3</v>
      </c>
      <c r="AG12" s="106"/>
    </row>
    <row r="13" spans="1:33">
      <c r="A13" s="92" t="s">
        <v>15</v>
      </c>
      <c r="B13" s="93" t="s">
        <v>16</v>
      </c>
      <c r="C13" s="94">
        <v>-8</v>
      </c>
      <c r="D13" s="90" t="s">
        <v>13</v>
      </c>
      <c r="E13" s="90">
        <f>C13+273.15</f>
        <v>265.14999999999998</v>
      </c>
      <c r="F13" s="90" t="s">
        <v>14</v>
      </c>
      <c r="G13" s="90"/>
      <c r="I13" t="s">
        <v>762</v>
      </c>
      <c r="J13" s="4" t="s">
        <v>18</v>
      </c>
      <c r="K13">
        <f>E14</f>
        <v>305.14999999999998</v>
      </c>
      <c r="L13" t="s">
        <v>14</v>
      </c>
      <c r="O13" t="s">
        <v>148</v>
      </c>
      <c r="P13" s="1" t="s">
        <v>149</v>
      </c>
      <c r="Q13">
        <f>C46</f>
        <v>0.44500000000000001</v>
      </c>
      <c r="R13" t="s">
        <v>82</v>
      </c>
      <c r="T13" t="s">
        <v>762</v>
      </c>
      <c r="U13" s="4" t="s">
        <v>18</v>
      </c>
      <c r="V13">
        <f t="shared" si="0"/>
        <v>305.14999999999998</v>
      </c>
      <c r="W13" t="s">
        <v>14</v>
      </c>
      <c r="X13">
        <f>V13-273.15</f>
        <v>32</v>
      </c>
      <c r="AA13" t="s">
        <v>1029</v>
      </c>
      <c r="AB13">
        <f>1/(V82/V83)/AB10</f>
        <v>3.8400070202779237</v>
      </c>
      <c r="AG13" s="106"/>
    </row>
    <row r="14" spans="1:33" ht="14.7" customHeight="1">
      <c r="A14" s="92" t="s">
        <v>17</v>
      </c>
      <c r="B14" s="93" t="s">
        <v>18</v>
      </c>
      <c r="C14" s="94">
        <v>32</v>
      </c>
      <c r="D14" s="90" t="s">
        <v>13</v>
      </c>
      <c r="E14" s="90">
        <f>C14+273.15</f>
        <v>305.14999999999998</v>
      </c>
      <c r="F14" s="90" t="s">
        <v>14</v>
      </c>
      <c r="G14" s="90"/>
      <c r="I14" t="s">
        <v>763</v>
      </c>
      <c r="J14" s="4" t="s">
        <v>763</v>
      </c>
      <c r="K14">
        <f>K10-K13</f>
        <v>1724.9188249608897</v>
      </c>
      <c r="L14" t="s">
        <v>14</v>
      </c>
      <c r="M14" s="242" t="s">
        <v>137</v>
      </c>
      <c r="O14" t="s">
        <v>764</v>
      </c>
      <c r="P14" s="1" t="s">
        <v>765</v>
      </c>
      <c r="Q14">
        <f>PI()/4*Q10^2</f>
        <v>2.0106192982974676E-2</v>
      </c>
      <c r="R14" t="s">
        <v>82</v>
      </c>
      <c r="T14" t="s">
        <v>763</v>
      </c>
      <c r="U14" s="4" t="s">
        <v>763</v>
      </c>
      <c r="V14">
        <f>K14</f>
        <v>1724.9188249608897</v>
      </c>
      <c r="W14" t="s">
        <v>14</v>
      </c>
      <c r="AG14" s="106"/>
    </row>
    <row r="15" spans="1:33">
      <c r="A15" s="92" t="s">
        <v>19</v>
      </c>
      <c r="B15" s="93" t="s">
        <v>20</v>
      </c>
      <c r="C15" s="94">
        <v>0.87</v>
      </c>
      <c r="D15" s="90"/>
      <c r="E15" s="90"/>
      <c r="F15" s="90"/>
      <c r="G15" s="90"/>
      <c r="I15" t="s">
        <v>766</v>
      </c>
      <c r="J15" s="4" t="s">
        <v>766</v>
      </c>
      <c r="K15">
        <f>K11-K12</f>
        <v>43.135274559607637</v>
      </c>
      <c r="L15" t="s">
        <v>14</v>
      </c>
      <c r="M15" s="242"/>
      <c r="O15" t="s">
        <v>767</v>
      </c>
      <c r="P15" s="1" t="s">
        <v>768</v>
      </c>
      <c r="Q15">
        <f>PI()/4*Q11^2</f>
        <v>2.2167077763729583E-2</v>
      </c>
      <c r="R15" t="s">
        <v>82</v>
      </c>
      <c r="T15" t="s">
        <v>766</v>
      </c>
      <c r="U15" s="4" t="s">
        <v>766</v>
      </c>
      <c r="V15">
        <f t="shared" si="0"/>
        <v>43.135274559607637</v>
      </c>
      <c r="W15" t="s">
        <v>14</v>
      </c>
      <c r="AA15" t="s">
        <v>143</v>
      </c>
      <c r="AB15">
        <f>2*(1+AB12+SQRT(1+AB12^2)*(1-EXP(-AB13*SQRT(1+AB12^2)))/(1-EXP(-AB13*SQRT(1+AB12^2))))^(-1)</f>
        <v>0.99589394988234015</v>
      </c>
      <c r="AG15" s="106"/>
    </row>
    <row r="16" spans="1:33">
      <c r="A16" s="92" t="s">
        <v>22</v>
      </c>
      <c r="B16" s="93" t="s">
        <v>23</v>
      </c>
      <c r="C16" s="94">
        <v>0.5</v>
      </c>
      <c r="D16" s="90"/>
      <c r="E16" s="90"/>
      <c r="F16" s="90"/>
      <c r="G16" s="90"/>
      <c r="I16" t="s">
        <v>769</v>
      </c>
      <c r="J16" s="4" t="s">
        <v>770</v>
      </c>
      <c r="K16">
        <f>(K14-K15)/LN(K14/K15)</f>
        <v>455.94160583824163</v>
      </c>
      <c r="M16" s="242"/>
      <c r="O16" t="s">
        <v>771</v>
      </c>
      <c r="P16" s="1" t="s">
        <v>772</v>
      </c>
      <c r="Q16">
        <f>Q10</f>
        <v>0.16</v>
      </c>
      <c r="R16" t="s">
        <v>82</v>
      </c>
      <c r="T16" t="s">
        <v>769</v>
      </c>
      <c r="U16" s="4" t="s">
        <v>770</v>
      </c>
      <c r="V16">
        <f t="shared" si="0"/>
        <v>455.94160583824163</v>
      </c>
      <c r="X16" t="s">
        <v>1033</v>
      </c>
      <c r="AA16" t="s">
        <v>1031</v>
      </c>
      <c r="AB16">
        <f>AB11+AB15</f>
        <v>32599.532657190612</v>
      </c>
      <c r="AG16" s="106"/>
    </row>
    <row r="17" spans="1:33">
      <c r="A17" s="92"/>
      <c r="B17" s="93"/>
      <c r="C17" s="94"/>
      <c r="D17" s="90"/>
      <c r="E17" s="90"/>
      <c r="F17" s="90"/>
      <c r="G17" s="90"/>
      <c r="I17" t="s">
        <v>773</v>
      </c>
      <c r="J17" s="4" t="s">
        <v>774</v>
      </c>
      <c r="K17">
        <v>48.8</v>
      </c>
      <c r="L17" t="s">
        <v>727</v>
      </c>
      <c r="O17" t="s">
        <v>775</v>
      </c>
      <c r="P17" s="1" t="s">
        <v>776</v>
      </c>
      <c r="Q17">
        <f>Q13-Q11</f>
        <v>0.27700000000000002</v>
      </c>
      <c r="R17" t="s">
        <v>82</v>
      </c>
      <c r="T17" t="s">
        <v>773</v>
      </c>
      <c r="U17" s="4" t="s">
        <v>774</v>
      </c>
      <c r="V17">
        <f t="shared" si="0"/>
        <v>48.8</v>
      </c>
      <c r="W17" t="s">
        <v>727</v>
      </c>
      <c r="X17">
        <f>(Q101+V13)/2</f>
        <v>304.47572985281778</v>
      </c>
      <c r="AG17" s="106"/>
    </row>
    <row r="18" spans="1:33">
      <c r="A18" s="92" t="s">
        <v>24</v>
      </c>
      <c r="B18" s="93" t="s">
        <v>25</v>
      </c>
      <c r="C18" s="95">
        <f>(2*79/21*28 + 2*32)/16</f>
        <v>17.166666666666664</v>
      </c>
      <c r="D18" s="90"/>
      <c r="E18" s="90"/>
      <c r="F18" s="90"/>
      <c r="G18" s="90"/>
      <c r="I18" t="s">
        <v>777</v>
      </c>
      <c r="J18" s="4" t="s">
        <v>732</v>
      </c>
      <c r="K18">
        <f>(K10+K11)*0.5</f>
        <v>1181.5344124804449</v>
      </c>
      <c r="L18" t="s">
        <v>14</v>
      </c>
      <c r="O18" t="s">
        <v>179</v>
      </c>
      <c r="P18" s="1" t="s">
        <v>778</v>
      </c>
      <c r="Q18">
        <f>Q10</f>
        <v>0.16</v>
      </c>
      <c r="R18" t="s">
        <v>82</v>
      </c>
      <c r="T18" t="s">
        <v>777</v>
      </c>
      <c r="U18" s="4" t="s">
        <v>732</v>
      </c>
      <c r="V18">
        <f t="shared" si="0"/>
        <v>1181.5344124804449</v>
      </c>
      <c r="W18" t="s">
        <v>14</v>
      </c>
      <c r="AG18" s="106"/>
    </row>
    <row r="19" spans="1:33">
      <c r="A19" s="92" t="s">
        <v>779</v>
      </c>
      <c r="B19" s="93" t="s">
        <v>27</v>
      </c>
      <c r="C19" s="94">
        <f>(1+C16)*C18</f>
        <v>25.749999999999996</v>
      </c>
      <c r="D19" s="90"/>
      <c r="E19" s="90"/>
      <c r="F19" s="90"/>
      <c r="G19" s="90"/>
      <c r="I19" t="s">
        <v>780</v>
      </c>
      <c r="J19" s="4" t="s">
        <v>781</v>
      </c>
      <c r="K19">
        <f>(K12+K13)*0.5</f>
        <v>297.50736272019617</v>
      </c>
      <c r="L19" t="s">
        <v>14</v>
      </c>
      <c r="O19" t="s">
        <v>185</v>
      </c>
      <c r="P19" s="1" t="s">
        <v>782</v>
      </c>
      <c r="Q19">
        <f>(Q13^2-Q11^2)/Q11</f>
        <v>1.010720238095238</v>
      </c>
      <c r="R19" t="s">
        <v>82</v>
      </c>
      <c r="T19" t="s">
        <v>780</v>
      </c>
      <c r="U19" s="4" t="s">
        <v>781</v>
      </c>
      <c r="V19">
        <f t="shared" si="0"/>
        <v>297.50736272019617</v>
      </c>
      <c r="W19" t="s">
        <v>14</v>
      </c>
      <c r="AA19" s="60" t="s">
        <v>1022</v>
      </c>
      <c r="AB19" s="60" t="s">
        <v>1032</v>
      </c>
      <c r="AG19" s="106"/>
    </row>
    <row r="20" spans="1:33">
      <c r="A20" s="90"/>
      <c r="B20" s="90"/>
      <c r="C20" s="90"/>
      <c r="D20" s="90"/>
      <c r="E20" s="90"/>
      <c r="F20" s="90"/>
      <c r="G20" s="90"/>
      <c r="I20" t="s">
        <v>783</v>
      </c>
      <c r="J20" s="4" t="s">
        <v>784</v>
      </c>
      <c r="K20">
        <f>1005</f>
        <v>1005</v>
      </c>
      <c r="L20" t="s">
        <v>785</v>
      </c>
      <c r="T20" t="s">
        <v>783</v>
      </c>
      <c r="U20" s="4" t="s">
        <v>784</v>
      </c>
      <c r="V20">
        <f t="shared" si="0"/>
        <v>1005</v>
      </c>
      <c r="W20" t="s">
        <v>785</v>
      </c>
      <c r="AG20" s="106"/>
    </row>
    <row r="21" spans="1:33">
      <c r="A21" s="97" t="s">
        <v>786</v>
      </c>
      <c r="B21" s="3"/>
      <c r="C21">
        <f>2*18/16</f>
        <v>2.25</v>
      </c>
      <c r="I21" t="s">
        <v>787</v>
      </c>
      <c r="J21" s="4" t="s">
        <v>788</v>
      </c>
      <c r="K21">
        <f>1175</f>
        <v>1175</v>
      </c>
      <c r="L21" t="s">
        <v>785</v>
      </c>
      <c r="T21" t="s">
        <v>787</v>
      </c>
      <c r="U21" s="4" t="s">
        <v>788</v>
      </c>
      <c r="V21">
        <f t="shared" si="0"/>
        <v>1175</v>
      </c>
      <c r="W21" t="s">
        <v>785</v>
      </c>
      <c r="AG21" s="106"/>
    </row>
    <row r="22" spans="1:33">
      <c r="A22" s="97" t="s">
        <v>789</v>
      </c>
      <c r="C22">
        <f>C21/(C19+1)</f>
        <v>8.411214953271029E-2</v>
      </c>
      <c r="I22" t="s">
        <v>582</v>
      </c>
      <c r="J22" s="4" t="s">
        <v>583</v>
      </c>
      <c r="K22">
        <f>0.294</f>
        <v>0.29399999999999998</v>
      </c>
      <c r="L22" t="s">
        <v>87</v>
      </c>
      <c r="T22" t="s">
        <v>582</v>
      </c>
      <c r="U22" s="4" t="s">
        <v>583</v>
      </c>
      <c r="V22">
        <f t="shared" si="0"/>
        <v>0.29399999999999998</v>
      </c>
      <c r="W22" t="s">
        <v>87</v>
      </c>
      <c r="AA22" s="121" t="s">
        <v>1024</v>
      </c>
      <c r="AB22">
        <f>V20*C41</f>
        <v>2281.05814285713</v>
      </c>
      <c r="AD22" t="s">
        <v>1028</v>
      </c>
      <c r="AG22" s="106"/>
    </row>
    <row r="23" spans="1:33">
      <c r="I23" t="s">
        <v>282</v>
      </c>
      <c r="J23" s="4" t="s">
        <v>283</v>
      </c>
      <c r="K23">
        <f>1.177</f>
        <v>1.177</v>
      </c>
      <c r="L23" t="s">
        <v>87</v>
      </c>
      <c r="T23" t="s">
        <v>282</v>
      </c>
      <c r="U23" s="4" t="s">
        <v>283</v>
      </c>
      <c r="V23">
        <f t="shared" si="0"/>
        <v>1.177</v>
      </c>
      <c r="W23" t="s">
        <v>87</v>
      </c>
      <c r="AA23" t="s">
        <v>1025</v>
      </c>
      <c r="AB23">
        <f>1007*'Parte A'!C38</f>
        <v>16.054231569552062</v>
      </c>
      <c r="AD23" t="s">
        <v>1027</v>
      </c>
      <c r="AG23" s="106"/>
    </row>
    <row r="24" spans="1:33">
      <c r="A24" s="97" t="s">
        <v>790</v>
      </c>
      <c r="B24" s="3" t="s">
        <v>328</v>
      </c>
      <c r="C24">
        <v>1</v>
      </c>
      <c r="D24" t="s">
        <v>791</v>
      </c>
      <c r="I24" t="s">
        <v>792</v>
      </c>
      <c r="J24" s="4" t="s">
        <v>793</v>
      </c>
      <c r="K24" s="64">
        <f>4.65*10^-5</f>
        <v>4.6500000000000005E-5</v>
      </c>
      <c r="L24" t="s">
        <v>794</v>
      </c>
      <c r="T24" t="s">
        <v>896</v>
      </c>
      <c r="U24" s="1" t="s">
        <v>897</v>
      </c>
      <c r="V24">
        <f>1000</f>
        <v>1000</v>
      </c>
      <c r="W24" t="s">
        <v>87</v>
      </c>
      <c r="AA24" t="s">
        <v>1026</v>
      </c>
      <c r="AB24" s="64">
        <f>V87</f>
        <v>3076.1654860977069</v>
      </c>
      <c r="AC24" t="s">
        <v>140</v>
      </c>
      <c r="AG24" s="106"/>
    </row>
    <row r="25" spans="1:33">
      <c r="A25" s="97" t="s">
        <v>795</v>
      </c>
      <c r="B25" s="3" t="s">
        <v>796</v>
      </c>
      <c r="C25">
        <f>(2/(1+2+2*(79/21)))*C24</f>
        <v>0.19004524886877827</v>
      </c>
      <c r="D25" t="s">
        <v>791</v>
      </c>
      <c r="I25" t="s">
        <v>797</v>
      </c>
      <c r="J25" s="4" t="s">
        <v>798</v>
      </c>
      <c r="K25" s="64">
        <f>1.85*10^-5</f>
        <v>1.8500000000000002E-5</v>
      </c>
      <c r="L25" t="s">
        <v>794</v>
      </c>
      <c r="T25" t="s">
        <v>792</v>
      </c>
      <c r="U25" s="4" t="s">
        <v>793</v>
      </c>
      <c r="V25" s="64">
        <f>K24</f>
        <v>4.6500000000000005E-5</v>
      </c>
      <c r="W25" t="s">
        <v>794</v>
      </c>
      <c r="AA25" t="s">
        <v>1030</v>
      </c>
      <c r="AB25">
        <f>AB23/AB22</f>
        <v>7.0380632864725668E-3</v>
      </c>
      <c r="AG25" s="106"/>
    </row>
    <row r="26" spans="1:33">
      <c r="I26" t="s">
        <v>715</v>
      </c>
      <c r="J26" s="4" t="s">
        <v>799</v>
      </c>
      <c r="K26">
        <v>0.55000000000000004</v>
      </c>
      <c r="T26" t="s">
        <v>797</v>
      </c>
      <c r="U26" s="4" t="s">
        <v>798</v>
      </c>
      <c r="V26" s="64">
        <f>K25</f>
        <v>1.8500000000000002E-5</v>
      </c>
      <c r="W26" t="s">
        <v>794</v>
      </c>
      <c r="AA26" t="s">
        <v>1029</v>
      </c>
      <c r="AB26">
        <f>1/(V102/V103)/AB23</f>
        <v>6.7187199953736689</v>
      </c>
      <c r="AG26" s="106"/>
    </row>
    <row r="27" spans="1:33">
      <c r="A27" s="97" t="s">
        <v>800</v>
      </c>
      <c r="B27" s="3" t="s">
        <v>759</v>
      </c>
      <c r="C27">
        <f>60+273</f>
        <v>333</v>
      </c>
      <c r="D27" t="s">
        <v>14</v>
      </c>
      <c r="E27" t="s">
        <v>801</v>
      </c>
      <c r="I27" t="s">
        <v>802</v>
      </c>
      <c r="J27" s="4" t="s">
        <v>803</v>
      </c>
      <c r="K27">
        <v>0.55000000000000004</v>
      </c>
      <c r="T27" t="s">
        <v>898</v>
      </c>
      <c r="U27" s="1" t="s">
        <v>899</v>
      </c>
      <c r="V27" s="64">
        <f>466.6*10^(-6)</f>
        <v>4.6660000000000001E-4</v>
      </c>
      <c r="W27" t="s">
        <v>794</v>
      </c>
      <c r="AG27" s="106"/>
    </row>
    <row r="28" spans="1:33">
      <c r="A28" s="97" t="s">
        <v>804</v>
      </c>
      <c r="B28" s="3" t="s">
        <v>76</v>
      </c>
      <c r="C28">
        <f>C27</f>
        <v>333</v>
      </c>
      <c r="D28" t="s">
        <v>14</v>
      </c>
      <c r="I28" t="s">
        <v>805</v>
      </c>
      <c r="J28" s="4" t="s">
        <v>806</v>
      </c>
      <c r="K28">
        <v>0.55000000000000004</v>
      </c>
      <c r="T28" t="s">
        <v>715</v>
      </c>
      <c r="U28" s="4" t="s">
        <v>799</v>
      </c>
      <c r="V28">
        <f>K26</f>
        <v>0.55000000000000004</v>
      </c>
      <c r="AA28" t="s">
        <v>143</v>
      </c>
      <c r="AB28">
        <f>1-EXP(-AB26)</f>
        <v>0.99879191642272114</v>
      </c>
      <c r="AG28" s="106"/>
    </row>
    <row r="29" spans="1:33">
      <c r="A29" s="97" t="s">
        <v>807</v>
      </c>
      <c r="B29" s="3" t="s">
        <v>67</v>
      </c>
      <c r="C29">
        <f>2030</f>
        <v>2030</v>
      </c>
      <c r="D29" t="s">
        <v>14</v>
      </c>
      <c r="I29" t="s">
        <v>725</v>
      </c>
      <c r="J29" s="4" t="s">
        <v>808</v>
      </c>
      <c r="K29">
        <f>0.0261</f>
        <v>2.6100000000000002E-2</v>
      </c>
      <c r="L29" t="s">
        <v>727</v>
      </c>
      <c r="T29" t="s">
        <v>802</v>
      </c>
      <c r="U29" s="4" t="s">
        <v>803</v>
      </c>
      <c r="V29">
        <f>K27</f>
        <v>0.55000000000000004</v>
      </c>
      <c r="AA29" t="s">
        <v>1031</v>
      </c>
      <c r="AB29">
        <f>AB24+AB28</f>
        <v>3077.1642780141296</v>
      </c>
      <c r="AG29" s="106"/>
    </row>
    <row r="30" spans="1:33">
      <c r="A30" s="97" t="s">
        <v>809</v>
      </c>
      <c r="B30" s="3" t="s">
        <v>810</v>
      </c>
      <c r="C30">
        <f>(C29+C28)/2</f>
        <v>1181.5</v>
      </c>
      <c r="D30" t="s">
        <v>14</v>
      </c>
      <c r="I30" t="s">
        <v>811</v>
      </c>
      <c r="J30" s="4" t="s">
        <v>812</v>
      </c>
      <c r="K30">
        <f>0.0759</f>
        <v>7.5899999999999995E-2</v>
      </c>
      <c r="L30" t="s">
        <v>727</v>
      </c>
      <c r="T30" t="s">
        <v>805</v>
      </c>
      <c r="U30" s="4" t="s">
        <v>806</v>
      </c>
      <c r="V30">
        <f>K28</f>
        <v>0.55000000000000004</v>
      </c>
      <c r="AG30" s="106"/>
    </row>
    <row r="31" spans="1:33">
      <c r="A31" s="97" t="s">
        <v>813</v>
      </c>
      <c r="B31" s="3" t="s">
        <v>814</v>
      </c>
      <c r="C31">
        <f>2358.4*1000</f>
        <v>2358400</v>
      </c>
      <c r="D31" t="s">
        <v>815</v>
      </c>
      <c r="I31" t="s">
        <v>816</v>
      </c>
      <c r="J31" s="4" t="s">
        <v>461</v>
      </c>
      <c r="K31">
        <f>5.67*10^-8</f>
        <v>5.6699999999999998E-8</v>
      </c>
      <c r="L31" t="s">
        <v>721</v>
      </c>
      <c r="T31" t="s">
        <v>725</v>
      </c>
      <c r="U31" s="4" t="s">
        <v>808</v>
      </c>
      <c r="V31">
        <f>K29</f>
        <v>2.6100000000000002E-2</v>
      </c>
      <c r="W31" t="s">
        <v>727</v>
      </c>
      <c r="AG31" s="106"/>
    </row>
    <row r="32" spans="1:33">
      <c r="I32" t="s">
        <v>585</v>
      </c>
      <c r="J32" s="4" t="s">
        <v>293</v>
      </c>
      <c r="K32" s="64">
        <f>C38/(K22*Q14)</f>
        <v>2.6970119788987379</v>
      </c>
      <c r="L32" t="s">
        <v>130</v>
      </c>
      <c r="T32" t="s">
        <v>811</v>
      </c>
      <c r="U32" s="4" t="s">
        <v>812</v>
      </c>
      <c r="V32">
        <f>K30</f>
        <v>7.5899999999999995E-2</v>
      </c>
      <c r="W32" t="s">
        <v>727</v>
      </c>
      <c r="AG32" s="106"/>
    </row>
    <row r="33" spans="1:33">
      <c r="A33" s="97" t="s">
        <v>817</v>
      </c>
      <c r="B33" s="3" t="s">
        <v>104</v>
      </c>
      <c r="C33">
        <f>1141+(1175-1141)*(C30-1000)/(1200-1000)</f>
        <v>1171.855</v>
      </c>
      <c r="D33" t="s">
        <v>103</v>
      </c>
      <c r="E33" t="s">
        <v>818</v>
      </c>
      <c r="I33" t="s">
        <v>819</v>
      </c>
      <c r="J33" s="4" t="s">
        <v>820</v>
      </c>
      <c r="K33">
        <f>C41/(K23*PI()/4*(C46^2-C45^2))</f>
        <v>14.459847269110966</v>
      </c>
      <c r="L33" t="s">
        <v>130</v>
      </c>
      <c r="T33" t="s">
        <v>900</v>
      </c>
      <c r="U33" s="1" t="s">
        <v>901</v>
      </c>
      <c r="V33">
        <f>0.6543</f>
        <v>0.65429999999999999</v>
      </c>
      <c r="W33" t="s">
        <v>727</v>
      </c>
      <c r="AG33" s="106"/>
    </row>
    <row r="34" spans="1:33">
      <c r="A34" s="97" t="s">
        <v>821</v>
      </c>
      <c r="B34" s="3" t="s">
        <v>139</v>
      </c>
      <c r="C34">
        <f>E10*1000</f>
        <v>34866.666666666664</v>
      </c>
      <c r="D34" t="s">
        <v>140</v>
      </c>
      <c r="T34" t="s">
        <v>816</v>
      </c>
      <c r="U34" s="4" t="s">
        <v>461</v>
      </c>
      <c r="V34">
        <f>K31</f>
        <v>5.6699999999999998E-8</v>
      </c>
      <c r="W34" t="s">
        <v>721</v>
      </c>
      <c r="AG34" s="106"/>
    </row>
    <row r="35" spans="1:33">
      <c r="A35" s="97" t="s">
        <v>582</v>
      </c>
      <c r="B35" s="3" t="s">
        <v>822</v>
      </c>
      <c r="C35">
        <f>0.353+(0.294-0.353)*(C30-1000)/(1200-1000)</f>
        <v>0.29945749999999999</v>
      </c>
      <c r="D35" t="s">
        <v>87</v>
      </c>
      <c r="E35" t="s">
        <v>818</v>
      </c>
      <c r="I35" s="98" t="s">
        <v>823</v>
      </c>
      <c r="O35" s="98" t="s">
        <v>824</v>
      </c>
      <c r="U35" s="4"/>
      <c r="AG35" s="106"/>
    </row>
    <row r="36" spans="1:33">
      <c r="A36" s="97" t="s">
        <v>825</v>
      </c>
      <c r="B36" s="3" t="s">
        <v>293</v>
      </c>
      <c r="C36" s="70">
        <f>'Parte S'!C100</f>
        <v>2.7001060146631315</v>
      </c>
      <c r="D36" t="s">
        <v>130</v>
      </c>
      <c r="U36" s="4"/>
      <c r="AG36" s="106"/>
    </row>
    <row r="37" spans="1:33">
      <c r="I37" t="s">
        <v>826</v>
      </c>
      <c r="J37" s="4" t="s">
        <v>441</v>
      </c>
      <c r="K37" s="64">
        <f>K23*K33*Q17/K25</f>
        <v>254828.62407032325</v>
      </c>
      <c r="M37" t="s">
        <v>827</v>
      </c>
      <c r="O37" t="s">
        <v>828</v>
      </c>
      <c r="P37" s="1" t="s">
        <v>829</v>
      </c>
      <c r="Q37" s="64">
        <f>K42*K30/Q18</f>
        <v>4.8973201276320601</v>
      </c>
      <c r="R37" t="s">
        <v>830</v>
      </c>
      <c r="T37" s="98" t="s">
        <v>902</v>
      </c>
      <c r="U37" s="1"/>
      <c r="AG37" s="106"/>
    </row>
    <row r="38" spans="1:33">
      <c r="A38" s="97" t="s">
        <v>831</v>
      </c>
      <c r="B38" s="3" t="s">
        <v>48</v>
      </c>
      <c r="C38">
        <f>C34/(C33*(C29-C27)+C22*C31+(1-C22)*C33*(C27-C28))</f>
        <v>1.5942633137588938E-2</v>
      </c>
      <c r="D38" t="s">
        <v>43</v>
      </c>
      <c r="I38" t="s">
        <v>832</v>
      </c>
      <c r="J38" s="4" t="s">
        <v>421</v>
      </c>
      <c r="K38" s="64">
        <f>K22*K32*Q16/K24</f>
        <v>2728.3321180085291</v>
      </c>
      <c r="M38" t="s">
        <v>827</v>
      </c>
      <c r="O38" t="s">
        <v>833</v>
      </c>
      <c r="P38" s="1" t="s">
        <v>834</v>
      </c>
      <c r="Q38" s="64">
        <f>K41*K29/Q19</f>
        <v>10.007055784545386</v>
      </c>
      <c r="R38" t="s">
        <v>830</v>
      </c>
      <c r="U38" s="1"/>
      <c r="AG38" s="106"/>
    </row>
    <row r="39" spans="1:33">
      <c r="A39" s="97" t="s">
        <v>835</v>
      </c>
      <c r="B39" s="3" t="s">
        <v>836</v>
      </c>
      <c r="C39">
        <f>C38*C22</f>
        <v>1.3409691424140229E-3</v>
      </c>
      <c r="D39" t="s">
        <v>43</v>
      </c>
      <c r="I39" t="s">
        <v>837</v>
      </c>
      <c r="J39" s="4" t="s">
        <v>443</v>
      </c>
      <c r="K39" s="64">
        <f>K20*K25/K29</f>
        <v>0.71235632183908049</v>
      </c>
      <c r="T39" t="s">
        <v>903</v>
      </c>
      <c r="U39" s="1" t="s">
        <v>139</v>
      </c>
      <c r="V39">
        <f>Q41</f>
        <v>31790.501180568957</v>
      </c>
      <c r="W39" t="s">
        <v>140</v>
      </c>
      <c r="AG39" s="106"/>
    </row>
    <row r="40" spans="1:33">
      <c r="A40" s="97" t="s">
        <v>838</v>
      </c>
      <c r="B40" s="3" t="s">
        <v>42</v>
      </c>
      <c r="C40">
        <f>C39/C21</f>
        <v>5.9598628551734345E-4</v>
      </c>
      <c r="D40" t="s">
        <v>43</v>
      </c>
      <c r="I40" t="s">
        <v>839</v>
      </c>
      <c r="J40" s="4" t="s">
        <v>423</v>
      </c>
      <c r="K40" s="64">
        <f>K21*K24/K30</f>
        <v>0.7198616600790515</v>
      </c>
      <c r="O40" t="s">
        <v>840</v>
      </c>
      <c r="P40" s="1" t="s">
        <v>841</v>
      </c>
      <c r="Q40">
        <f>(LN(Q11/Q10))/(2*PI()*K17)</f>
        <v>1.5912286479160225E-4</v>
      </c>
      <c r="R40" t="s">
        <v>842</v>
      </c>
      <c r="T40" s="3" t="s">
        <v>904</v>
      </c>
      <c r="U40" s="1"/>
      <c r="AG40" s="106"/>
    </row>
    <row r="41" spans="1:33">
      <c r="A41" s="97" t="s">
        <v>843</v>
      </c>
      <c r="B41" s="3" t="s">
        <v>65</v>
      </c>
      <c r="C41">
        <f>'Parte S'!C37</f>
        <v>2.2697095948827162</v>
      </c>
      <c r="D41" t="s">
        <v>43</v>
      </c>
      <c r="I41" t="s">
        <v>844</v>
      </c>
      <c r="J41" s="4" t="s">
        <v>444</v>
      </c>
      <c r="K41" s="64">
        <f>0.021*K39^0.4*K37^0.8</f>
        <v>387.52236801486754</v>
      </c>
      <c r="O41" t="s">
        <v>845</v>
      </c>
      <c r="P41" s="1" t="s">
        <v>846</v>
      </c>
      <c r="Q41">
        <f>C38*K21*(K10-K11)</f>
        <v>31790.501180568957</v>
      </c>
      <c r="R41" t="s">
        <v>140</v>
      </c>
      <c r="U41" s="1"/>
      <c r="AG41" s="106"/>
    </row>
    <row r="42" spans="1:33">
      <c r="A42" s="97" t="s">
        <v>847</v>
      </c>
      <c r="B42" s="3" t="s">
        <v>820</v>
      </c>
      <c r="C42" s="70">
        <f>'Parte S'!C99</f>
        <v>14.466455161003086</v>
      </c>
      <c r="D42" t="s">
        <v>130</v>
      </c>
      <c r="I42" t="s">
        <v>848</v>
      </c>
      <c r="J42" s="4" t="s">
        <v>425</v>
      </c>
      <c r="K42" s="64">
        <f>0.021*K40^0.4*K38^0.8</f>
        <v>10.323731494349534</v>
      </c>
      <c r="O42" t="s">
        <v>849</v>
      </c>
      <c r="P42" s="1" t="s">
        <v>850</v>
      </c>
      <c r="Q42">
        <f>Q41/(C41*K20)+K12</f>
        <v>303.80145970563558</v>
      </c>
      <c r="R42" t="s">
        <v>14</v>
      </c>
      <c r="T42" t="s">
        <v>905</v>
      </c>
      <c r="U42" s="1" t="s">
        <v>115</v>
      </c>
      <c r="V42">
        <v>2.1000000000000001E-2</v>
      </c>
      <c r="W42" t="s">
        <v>82</v>
      </c>
      <c r="AG42" s="106"/>
    </row>
    <row r="43" spans="1:33">
      <c r="T43" t="s">
        <v>906</v>
      </c>
      <c r="U43" s="1" t="s">
        <v>281</v>
      </c>
      <c r="V43">
        <v>5.0000000000000001E-4</v>
      </c>
      <c r="W43" t="s">
        <v>82</v>
      </c>
      <c r="AG43" s="106"/>
    </row>
    <row r="44" spans="1:33">
      <c r="A44" s="97" t="s">
        <v>114</v>
      </c>
      <c r="B44" s="3" t="s">
        <v>851</v>
      </c>
      <c r="C44">
        <f>_xlfn.CEILING.MATH(SQRT((4*C38)/(PI()*C36*C35)),0.02)</f>
        <v>0.16</v>
      </c>
      <c r="D44" t="s">
        <v>82</v>
      </c>
      <c r="I44" s="98" t="s">
        <v>852</v>
      </c>
      <c r="T44" t="s">
        <v>907</v>
      </c>
      <c r="U44" s="1" t="s">
        <v>120</v>
      </c>
      <c r="V44" s="2">
        <f>V42+2*V43</f>
        <v>2.2000000000000002E-2</v>
      </c>
      <c r="W44" t="s">
        <v>82</v>
      </c>
      <c r="AG44" s="106"/>
    </row>
    <row r="45" spans="1:33">
      <c r="A45" s="97" t="s">
        <v>119</v>
      </c>
      <c r="B45" s="3" t="s">
        <v>853</v>
      </c>
      <c r="C45">
        <f>C44+0.008</f>
        <v>0.16800000000000001</v>
      </c>
      <c r="D45" t="s">
        <v>82</v>
      </c>
      <c r="T45" s="3" t="s">
        <v>908</v>
      </c>
      <c r="U45" s="1"/>
      <c r="AG45" s="106"/>
    </row>
    <row r="46" spans="1:33">
      <c r="A46" s="97" t="s">
        <v>148</v>
      </c>
      <c r="B46" s="3" t="s">
        <v>854</v>
      </c>
      <c r="C46">
        <f>_xlfn.CEILING.MATH(SQRT((4*C41)/(PI()*C42*K23)+C45^2),0.0001)</f>
        <v>0.44500000000000001</v>
      </c>
      <c r="D46" t="s">
        <v>82</v>
      </c>
      <c r="I46" s="100" t="s">
        <v>855</v>
      </c>
      <c r="J46" s="4" t="s">
        <v>856</v>
      </c>
      <c r="K46" s="99">
        <v>960.45347977939787</v>
      </c>
      <c r="L46" s="4" t="s">
        <v>14</v>
      </c>
      <c r="M46" s="4"/>
      <c r="O46" t="s">
        <v>857</v>
      </c>
      <c r="P46" s="1" t="s">
        <v>858</v>
      </c>
      <c r="Q46">
        <f>(K18-K46)/(K51)-Q41</f>
        <v>53637.737537122928</v>
      </c>
      <c r="T46" t="s">
        <v>909</v>
      </c>
      <c r="U46" s="1" t="s">
        <v>910</v>
      </c>
      <c r="V46">
        <v>1.8</v>
      </c>
      <c r="AG46" s="106"/>
    </row>
    <row r="47" spans="1:33">
      <c r="I47" t="s">
        <v>859</v>
      </c>
      <c r="J47" s="4" t="s">
        <v>860</v>
      </c>
      <c r="K47">
        <f>$K$26*$K$31*($K$18^2+K46^2)*($K$18+K46)</f>
        <v>154.87054316142658</v>
      </c>
      <c r="L47" t="s">
        <v>861</v>
      </c>
      <c r="O47" t="s">
        <v>862</v>
      </c>
      <c r="P47" s="1" t="s">
        <v>863</v>
      </c>
      <c r="Q47">
        <f>(K46-K48)/(LN(Q11/Q10)/(2*PI()*K17*K50))-Q41</f>
        <v>-3.5604898585006595E-8</v>
      </c>
      <c r="T47" t="s">
        <v>911</v>
      </c>
      <c r="U47" s="1" t="s">
        <v>912</v>
      </c>
      <c r="V47">
        <f>V46*V44</f>
        <v>3.9600000000000003E-2</v>
      </c>
      <c r="W47" t="s">
        <v>82</v>
      </c>
      <c r="X47">
        <f>V47-V44</f>
        <v>1.7600000000000001E-2</v>
      </c>
      <c r="AG47" s="106"/>
    </row>
    <row r="48" spans="1:33">
      <c r="I48" s="100" t="s">
        <v>864</v>
      </c>
      <c r="J48" s="4" t="s">
        <v>466</v>
      </c>
      <c r="K48" s="99">
        <f>K46-Q41*LN(Q11/Q10)/(2*PI()*K17*K50)</f>
        <v>960.41142657703665</v>
      </c>
      <c r="L48" s="4" t="s">
        <v>14</v>
      </c>
      <c r="O48" t="s">
        <v>865</v>
      </c>
      <c r="P48" s="1" t="s">
        <v>866</v>
      </c>
      <c r="Q48">
        <f>(K48-K19)/(K52)-Q41</f>
        <v>55994.80473848473</v>
      </c>
      <c r="T48" t="s">
        <v>913</v>
      </c>
      <c r="U48" s="1" t="s">
        <v>914</v>
      </c>
      <c r="V48">
        <f>1</f>
        <v>1</v>
      </c>
      <c r="AG48" s="106"/>
    </row>
    <row r="49" spans="9:33">
      <c r="I49" t="s">
        <v>867</v>
      </c>
      <c r="J49" s="4" t="s">
        <v>868</v>
      </c>
      <c r="K49">
        <f>$K$28*$K$31*(K48^2+$K$19^2)*($K$19+K48)</f>
        <v>39.65581379277976</v>
      </c>
      <c r="L49" t="s">
        <v>861</v>
      </c>
      <c r="O49" t="s">
        <v>869</v>
      </c>
      <c r="P49" s="1" t="s">
        <v>184</v>
      </c>
      <c r="Q49">
        <f>Q46^2+Q47^2+Q48^2</f>
        <v>6012425045.8023186</v>
      </c>
      <c r="T49" t="s">
        <v>915</v>
      </c>
      <c r="U49" s="1" t="s">
        <v>916</v>
      </c>
      <c r="V49">
        <v>0.85</v>
      </c>
      <c r="AG49" s="106"/>
    </row>
    <row r="50" spans="9:33">
      <c r="I50" t="s">
        <v>870</v>
      </c>
      <c r="J50" s="4" t="s">
        <v>81</v>
      </c>
      <c r="K50">
        <v>120.29037830594626</v>
      </c>
      <c r="L50" t="s">
        <v>82</v>
      </c>
      <c r="T50" t="s">
        <v>917</v>
      </c>
      <c r="U50" s="1" t="s">
        <v>81</v>
      </c>
      <c r="V50">
        <v>4</v>
      </c>
      <c r="W50" t="s">
        <v>82</v>
      </c>
      <c r="AG50" s="106"/>
    </row>
    <row r="51" spans="9:33">
      <c r="I51" t="s">
        <v>871</v>
      </c>
      <c r="J51" s="4" t="s">
        <v>655</v>
      </c>
      <c r="K51">
        <f>1/((K47+Q37)*Q14*K50)</f>
        <v>2.5879139734068042E-3</v>
      </c>
      <c r="L51" t="s">
        <v>656</v>
      </c>
      <c r="T51" t="s">
        <v>918</v>
      </c>
      <c r="U51" s="1" t="s">
        <v>919</v>
      </c>
      <c r="V51">
        <v>15</v>
      </c>
      <c r="W51" t="s">
        <v>920</v>
      </c>
      <c r="AG51" s="106"/>
    </row>
    <row r="52" spans="9:33">
      <c r="I52" t="s">
        <v>872</v>
      </c>
      <c r="J52" s="4" t="s">
        <v>658</v>
      </c>
      <c r="K52">
        <f>1/((K49+Q38)*K50*Q15)</f>
        <v>7.5514239759909294E-3</v>
      </c>
      <c r="L52" t="s">
        <v>656</v>
      </c>
      <c r="T52" t="s">
        <v>918</v>
      </c>
      <c r="U52" s="1" t="s">
        <v>921</v>
      </c>
      <c r="V52">
        <v>20</v>
      </c>
      <c r="W52" t="s">
        <v>920</v>
      </c>
      <c r="AG52" s="106"/>
    </row>
    <row r="53" spans="9:33">
      <c r="I53" t="s">
        <v>873</v>
      </c>
      <c r="J53" s="4" t="s">
        <v>874</v>
      </c>
      <c r="K53">
        <f>K50*Q40</f>
        <v>1.914094960290777E-2</v>
      </c>
      <c r="L53" t="s">
        <v>656</v>
      </c>
      <c r="T53" t="s">
        <v>922</v>
      </c>
      <c r="U53" s="1" t="s">
        <v>774</v>
      </c>
      <c r="V53">
        <f>K17</f>
        <v>48.8</v>
      </c>
      <c r="W53" t="s">
        <v>375</v>
      </c>
      <c r="AG53" s="106"/>
    </row>
    <row r="54" spans="9:33">
      <c r="I54" t="s">
        <v>875</v>
      </c>
      <c r="J54" s="4" t="s">
        <v>876</v>
      </c>
      <c r="K54">
        <f>(K18-K19)/(K51+K52+K53)</f>
        <v>30191.884153495659</v>
      </c>
      <c r="L54" t="s">
        <v>140</v>
      </c>
      <c r="T54" t="s">
        <v>923</v>
      </c>
      <c r="U54" s="1" t="s">
        <v>1016</v>
      </c>
      <c r="AG54" s="106"/>
    </row>
    <row r="55" spans="9:33">
      <c r="T55" t="s">
        <v>924</v>
      </c>
      <c r="U55" s="1" t="s">
        <v>217</v>
      </c>
      <c r="V55">
        <f>1/(1/V52+LN(V44/V42)*V44/(2*V53)+V44/V42/V51)</f>
        <v>8.343640795282619</v>
      </c>
      <c r="W55" t="s">
        <v>920</v>
      </c>
      <c r="AG55" s="106"/>
    </row>
    <row r="56" spans="9:33">
      <c r="I56" s="98" t="s">
        <v>877</v>
      </c>
      <c r="O56" s="98" t="s">
        <v>878</v>
      </c>
      <c r="T56" t="s">
        <v>925</v>
      </c>
      <c r="U56" s="1" t="s">
        <v>926</v>
      </c>
      <c r="V56">
        <f>1/(1/V51+LN(V44/V42)*V42/(2*V53)+V42/V44/V52)</f>
        <v>8.7409570236294094</v>
      </c>
      <c r="W56" t="s">
        <v>920</v>
      </c>
      <c r="AG56" s="106"/>
    </row>
    <row r="57" spans="9:33">
      <c r="T57" t="s">
        <v>927</v>
      </c>
      <c r="U57" s="1" t="s">
        <v>928</v>
      </c>
      <c r="V57">
        <f>K16</f>
        <v>455.94160583824163</v>
      </c>
      <c r="W57" t="s">
        <v>14</v>
      </c>
      <c r="AG57" s="106"/>
    </row>
    <row r="58" spans="9:33">
      <c r="I58" t="s">
        <v>203</v>
      </c>
      <c r="J58" s="4" t="s">
        <v>204</v>
      </c>
      <c r="K58">
        <v>0.05</v>
      </c>
      <c r="L58" t="s">
        <v>82</v>
      </c>
      <c r="O58" t="s">
        <v>879</v>
      </c>
      <c r="P58" s="1" t="s">
        <v>782</v>
      </c>
      <c r="Q58">
        <f>4*(PI()*Q13^2/4-PI()*Q11^2/4-K61*K58*K59)/(PI()*Q11+2*K58*K61)</f>
        <v>5.692514857181305E-2</v>
      </c>
      <c r="R58" t="s">
        <v>82</v>
      </c>
      <c r="T58" t="s">
        <v>929</v>
      </c>
      <c r="U58" s="1" t="s">
        <v>930</v>
      </c>
      <c r="V58" s="2">
        <f>(V11-V10)/(V12-V10)</f>
        <v>0.97521251985816293</v>
      </c>
      <c r="AG58" s="106"/>
    </row>
    <row r="59" spans="9:33">
      <c r="I59" t="s">
        <v>674</v>
      </c>
      <c r="J59" s="4" t="s">
        <v>201</v>
      </c>
      <c r="K59">
        <v>3.0000000000000001E-3</v>
      </c>
      <c r="L59" t="s">
        <v>82</v>
      </c>
      <c r="O59" t="s">
        <v>172</v>
      </c>
      <c r="P59" s="1" t="s">
        <v>776</v>
      </c>
      <c r="Q59">
        <f>4*(PI()*Q13^2/4-PI()*Q11^2/4-K61*K58*K59)/(PI()*Q11+PI()*Q13+2*K58*K61)</f>
        <v>4.8907468948966241E-2</v>
      </c>
      <c r="R59" t="s">
        <v>82</v>
      </c>
      <c r="T59" t="s">
        <v>929</v>
      </c>
      <c r="U59" s="1" t="s">
        <v>215</v>
      </c>
      <c r="V59" s="2">
        <f>(V12-V13)/(V11-V10)</f>
        <v>9.0068678033490331E-3</v>
      </c>
      <c r="AG59" s="106"/>
    </row>
    <row r="60" spans="9:33">
      <c r="I60" t="s">
        <v>880</v>
      </c>
      <c r="J60" s="4" t="s">
        <v>231</v>
      </c>
      <c r="K60">
        <f>$Q11*PI()/(2*$K$59)</f>
        <v>87.964594300514207</v>
      </c>
      <c r="O60" t="s">
        <v>881</v>
      </c>
      <c r="P60" s="1" t="s">
        <v>882</v>
      </c>
      <c r="Q60">
        <f>PI()/4*(Q13^2-Q11^2)-K58*K59*K61</f>
        <v>0.12136139354305013</v>
      </c>
      <c r="R60" t="s">
        <v>82</v>
      </c>
      <c r="T60" t="s">
        <v>931</v>
      </c>
      <c r="U60" s="1" t="s">
        <v>932</v>
      </c>
      <c r="V60">
        <v>0.96930000000000005</v>
      </c>
      <c r="AG60" s="106"/>
    </row>
    <row r="61" spans="9:33">
      <c r="I61" t="s">
        <v>883</v>
      </c>
      <c r="J61" s="4" t="s">
        <v>198</v>
      </c>
      <c r="K61">
        <f>_xlfn.FLOOR.MATH(K60,10)</f>
        <v>80</v>
      </c>
      <c r="O61" t="s">
        <v>819</v>
      </c>
      <c r="P61" s="1" t="s">
        <v>820</v>
      </c>
      <c r="Q61">
        <f>C41/(K23*Q60)</f>
        <v>15.889611398902204</v>
      </c>
      <c r="R61" t="s">
        <v>130</v>
      </c>
      <c r="T61" t="s">
        <v>933</v>
      </c>
      <c r="U61" s="1" t="s">
        <v>928</v>
      </c>
      <c r="V61">
        <f>V60*V57</f>
        <v>441.94419853900763</v>
      </c>
      <c r="W61" t="s">
        <v>14</v>
      </c>
      <c r="AG61" s="106"/>
    </row>
    <row r="62" spans="9:33">
      <c r="I62" t="s">
        <v>884</v>
      </c>
      <c r="J62" s="4" t="s">
        <v>82</v>
      </c>
      <c r="K62">
        <f>SQRT(2*Q64/(K59*K17))</f>
        <v>25.568132605546655</v>
      </c>
      <c r="O62" t="s">
        <v>826</v>
      </c>
      <c r="P62" s="1" t="s">
        <v>441</v>
      </c>
      <c r="Q62" s="64">
        <f>Q61*K23*Q59/K25</f>
        <v>49441.677609360624</v>
      </c>
      <c r="T62" t="s">
        <v>934</v>
      </c>
      <c r="U62" s="1" t="s">
        <v>935</v>
      </c>
      <c r="V62">
        <f>V39/(V55*V61)</f>
        <v>8.6213313815579244</v>
      </c>
      <c r="W62" t="s">
        <v>155</v>
      </c>
      <c r="AG62" s="106"/>
    </row>
    <row r="63" spans="9:33">
      <c r="I63" t="s">
        <v>251</v>
      </c>
      <c r="J63" s="4" t="s">
        <v>20</v>
      </c>
      <c r="K63">
        <f>TANH(K62*K58)/(K58*K62)</f>
        <v>0.66963029461879842</v>
      </c>
      <c r="O63" t="s">
        <v>844</v>
      </c>
      <c r="P63" s="1" t="s">
        <v>444</v>
      </c>
      <c r="Q63" s="64">
        <f>0.021*K39^0.4*Q62^0.8</f>
        <v>104.36929901619881</v>
      </c>
      <c r="T63" t="s">
        <v>936</v>
      </c>
      <c r="U63" s="1" t="s">
        <v>937</v>
      </c>
      <c r="V63">
        <f>_xlfn.CEILING.MATH(V62/(PI()*V44*V50),1)</f>
        <v>32</v>
      </c>
      <c r="AG63" s="106"/>
    </row>
    <row r="64" spans="9:33">
      <c r="I64" t="s">
        <v>885</v>
      </c>
      <c r="J64" s="4" t="s">
        <v>206</v>
      </c>
      <c r="K64">
        <f>1-(2*K58*K61)/(PI()*$Q$11-K59*K61+2*K58*K61)*(1-K63)</f>
        <v>0.68110214914835232</v>
      </c>
      <c r="O64" t="s">
        <v>833</v>
      </c>
      <c r="P64" s="1" t="s">
        <v>886</v>
      </c>
      <c r="Q64" s="64">
        <f>Q63*K29/Q58</f>
        <v>47.852992441228672</v>
      </c>
      <c r="T64" t="s">
        <v>938</v>
      </c>
      <c r="U64" s="1" t="s">
        <v>939</v>
      </c>
      <c r="V64">
        <f>_xlfn.CEILING.MATH(0.637*SQRT(V48/V49*V62*V46^2*V44/V50),0.01)</f>
        <v>0.28000000000000003</v>
      </c>
      <c r="W64" t="s">
        <v>82</v>
      </c>
      <c r="Y64">
        <f>V64*39.37</f>
        <v>11.0236</v>
      </c>
      <c r="Z64" t="s">
        <v>940</v>
      </c>
      <c r="AG64" s="106"/>
    </row>
    <row r="65" spans="9:33">
      <c r="T65" t="s">
        <v>936</v>
      </c>
      <c r="U65" s="1" t="s">
        <v>937</v>
      </c>
      <c r="V65">
        <v>40</v>
      </c>
      <c r="W65" t="s">
        <v>1021</v>
      </c>
      <c r="Z65">
        <f>PI()*V44^2/4*V65</f>
        <v>1.5205308443374602E-2</v>
      </c>
      <c r="AG65" s="106"/>
    </row>
    <row r="66" spans="9:33">
      <c r="T66" t="s">
        <v>585</v>
      </c>
      <c r="U66" s="1" t="s">
        <v>293</v>
      </c>
      <c r="V66">
        <f>(4*C38/V65*4)/(PI()*V42^2*V22)</f>
        <v>15.656123959140061</v>
      </c>
      <c r="W66" t="s">
        <v>130</v>
      </c>
      <c r="Z66">
        <f>PI()*V64^2/4</f>
        <v>6.1575216010359951E-2</v>
      </c>
      <c r="AG66" s="106"/>
    </row>
    <row r="67" spans="9:33">
      <c r="I67" s="98" t="s">
        <v>852</v>
      </c>
      <c r="O67" s="98" t="s">
        <v>824</v>
      </c>
      <c r="U67" s="1"/>
      <c r="AG67" s="106"/>
    </row>
    <row r="68" spans="9:33">
      <c r="T68" s="98" t="s">
        <v>941</v>
      </c>
      <c r="U68" s="1"/>
      <c r="Y68">
        <f>C41/V23/Z68</f>
        <v>41.587000781543203</v>
      </c>
      <c r="Z68">
        <f>Z66-Z65</f>
        <v>4.6369907566985349E-2</v>
      </c>
      <c r="AG68" s="106"/>
    </row>
    <row r="69" spans="9:33">
      <c r="I69" s="100" t="s">
        <v>855</v>
      </c>
      <c r="J69" s="4" t="s">
        <v>856</v>
      </c>
      <c r="K69" s="99">
        <v>410.81928244706171</v>
      </c>
      <c r="L69" s="4" t="s">
        <v>14</v>
      </c>
      <c r="M69" s="4"/>
      <c r="O69" t="s">
        <v>828</v>
      </c>
      <c r="P69" s="1" t="s">
        <v>829</v>
      </c>
      <c r="Q69" s="64">
        <f>Q37</f>
        <v>4.8973201276320601</v>
      </c>
      <c r="R69" t="s">
        <v>830</v>
      </c>
      <c r="U69" s="1"/>
      <c r="AG69" s="106"/>
    </row>
    <row r="70" spans="9:33">
      <c r="I70" t="s">
        <v>859</v>
      </c>
      <c r="J70" s="4" t="s">
        <v>860</v>
      </c>
      <c r="K70">
        <f>$K$26*$K$31*($K$18^2+K69^2)*($K$18+K69)</f>
        <v>77.703938090663939</v>
      </c>
      <c r="L70" t="s">
        <v>861</v>
      </c>
      <c r="O70" t="s">
        <v>833</v>
      </c>
      <c r="P70" s="1" t="s">
        <v>834</v>
      </c>
      <c r="Q70" s="64">
        <f>Q64*K64</f>
        <v>32.592775994900705</v>
      </c>
      <c r="R70" t="s">
        <v>830</v>
      </c>
      <c r="T70" t="s">
        <v>942</v>
      </c>
      <c r="U70" s="1" t="s">
        <v>943</v>
      </c>
      <c r="V70" s="2">
        <f>_xlfn.CEILING.MATH(5*V64,0.001)</f>
        <v>1.4000000000000001</v>
      </c>
      <c r="W70" t="s">
        <v>82</v>
      </c>
      <c r="AG70" s="106"/>
    </row>
    <row r="71" spans="9:33">
      <c r="I71" s="100" t="s">
        <v>864</v>
      </c>
      <c r="J71" s="4" t="s">
        <v>466</v>
      </c>
      <c r="K71" s="99">
        <f>K69-Q73*LN(Q11/Q10)/(2*PI()*K17*K73)</f>
        <v>410.74024971503218</v>
      </c>
      <c r="L71" s="4" t="s">
        <v>14</v>
      </c>
      <c r="T71" t="s">
        <v>944</v>
      </c>
      <c r="U71" s="1" t="s">
        <v>945</v>
      </c>
      <c r="V71">
        <f>25%</f>
        <v>0.25</v>
      </c>
      <c r="AG71" s="106"/>
    </row>
    <row r="72" spans="9:33">
      <c r="I72" t="s">
        <v>867</v>
      </c>
      <c r="J72" s="4" t="s">
        <v>868</v>
      </c>
      <c r="K72">
        <f>$K$28*$K$31*(K71^2+$K$19^2)*($K$19+K71)</f>
        <v>5.6811013173062008</v>
      </c>
      <c r="L72" t="s">
        <v>861</v>
      </c>
      <c r="O72" t="s">
        <v>840</v>
      </c>
      <c r="P72" s="1" t="s">
        <v>841</v>
      </c>
      <c r="Q72">
        <f>(Q40)</f>
        <v>1.5912286479160225E-4</v>
      </c>
      <c r="R72" t="s">
        <v>842</v>
      </c>
      <c r="T72" t="s">
        <v>946</v>
      </c>
      <c r="U72" s="1" t="s">
        <v>947</v>
      </c>
      <c r="V72">
        <f>(4*(V47^2-PI()*V44^2/4))/(PI()*V44)</f>
        <v>6.8756514748722408E-2</v>
      </c>
      <c r="W72" t="s">
        <v>82</v>
      </c>
      <c r="AG72" s="106"/>
    </row>
    <row r="73" spans="9:33">
      <c r="I73" t="s">
        <v>870</v>
      </c>
      <c r="J73" s="4" t="s">
        <v>81</v>
      </c>
      <c r="K73">
        <v>64.006336249693391</v>
      </c>
      <c r="L73" t="s">
        <v>82</v>
      </c>
      <c r="O73" t="s">
        <v>845</v>
      </c>
      <c r="P73" s="1" t="s">
        <v>846</v>
      </c>
      <c r="Q73">
        <f>Q41</f>
        <v>31790.501180568957</v>
      </c>
      <c r="R73" t="s">
        <v>140</v>
      </c>
      <c r="T73" t="s">
        <v>948</v>
      </c>
      <c r="U73" s="1" t="s">
        <v>949</v>
      </c>
      <c r="V73">
        <f>V64*(V47-V44)*V70/V47</f>
        <v>0.17422222222222225</v>
      </c>
      <c r="W73" t="s">
        <v>155</v>
      </c>
      <c r="AG73" s="106"/>
    </row>
    <row r="74" spans="9:33">
      <c r="I74" t="s">
        <v>871</v>
      </c>
      <c r="J74" s="4" t="s">
        <v>655</v>
      </c>
      <c r="K74">
        <f>1/((K70+Q69)*Q14*K73)</f>
        <v>9.407203130563084E-3</v>
      </c>
      <c r="L74" t="s">
        <v>656</v>
      </c>
      <c r="O74" t="s">
        <v>849</v>
      </c>
      <c r="P74" s="1" t="s">
        <v>850</v>
      </c>
      <c r="Q74">
        <f>Q42</f>
        <v>303.80145970563558</v>
      </c>
      <c r="R74" t="s">
        <v>14</v>
      </c>
      <c r="T74" t="s">
        <v>950</v>
      </c>
      <c r="U74" s="1" t="s">
        <v>951</v>
      </c>
      <c r="V74">
        <f>C41/V73</f>
        <v>13.027669868587017</v>
      </c>
      <c r="W74" t="s">
        <v>952</v>
      </c>
      <c r="AG74" s="106"/>
    </row>
    <row r="75" spans="9:33">
      <c r="I75" t="s">
        <v>872</v>
      </c>
      <c r="J75" s="4" t="s">
        <v>658</v>
      </c>
      <c r="K75">
        <f>1/((Q70+K72)*K73*Q60)</f>
        <v>3.3635200144134353E-3</v>
      </c>
      <c r="L75" t="s">
        <v>656</v>
      </c>
      <c r="T75" t="s">
        <v>953</v>
      </c>
      <c r="U75" s="1" t="s">
        <v>954</v>
      </c>
      <c r="V75" s="64">
        <f>V74*V72/V26</f>
        <v>48418.225700594034</v>
      </c>
      <c r="AG75" s="106"/>
    </row>
    <row r="76" spans="9:33">
      <c r="I76" t="s">
        <v>873</v>
      </c>
      <c r="J76" s="4" t="s">
        <v>874</v>
      </c>
      <c r="K76">
        <f>K73*Q72</f>
        <v>1.0184871588865791E-2</v>
      </c>
      <c r="L76" t="s">
        <v>656</v>
      </c>
      <c r="T76" t="s">
        <v>955</v>
      </c>
      <c r="U76" s="1" t="s">
        <v>956</v>
      </c>
      <c r="V76" s="64">
        <f>0.36*(V72*V74/V26)^0.55*(V21*V26/V32)^0.333*(V26/V25)^0.14</f>
        <v>78.738709378928831</v>
      </c>
      <c r="X76" t="s">
        <v>957</v>
      </c>
      <c r="AG76" s="106"/>
    </row>
    <row r="77" spans="9:33">
      <c r="I77" t="s">
        <v>875</v>
      </c>
      <c r="J77" s="4" t="s">
        <v>876</v>
      </c>
      <c r="K77">
        <f>(K18-K19)/(K74+K75+K76)</f>
        <v>38510.309142937207</v>
      </c>
      <c r="L77" t="s">
        <v>140</v>
      </c>
      <c r="T77" t="s">
        <v>958</v>
      </c>
      <c r="U77" s="1" t="s">
        <v>959</v>
      </c>
      <c r="V77" s="64">
        <f>V22*V66*V42/V25</f>
        <v>2078.7292327684027</v>
      </c>
      <c r="AG77" s="106"/>
    </row>
    <row r="78" spans="9:33">
      <c r="O78" t="s">
        <v>857</v>
      </c>
      <c r="P78" s="1" t="s">
        <v>858</v>
      </c>
      <c r="Q78">
        <f>(K18-K69)/(K74)-Q73</f>
        <v>50137.689306718908</v>
      </c>
      <c r="T78" t="s">
        <v>960</v>
      </c>
      <c r="U78" s="1" t="s">
        <v>300</v>
      </c>
      <c r="V78">
        <f>(1.58*LN(V77)-3.28)^(-2)</f>
        <v>1.2941358158205523E-2</v>
      </c>
      <c r="AG78" s="106"/>
    </row>
    <row r="79" spans="9:33">
      <c r="O79" t="s">
        <v>862</v>
      </c>
      <c r="P79" s="1" t="s">
        <v>863</v>
      </c>
      <c r="Q79">
        <f>(K69-K71)/(LN(Q11/Q10)/(2*PI()*K17*K73))-Q73</f>
        <v>7.439666660502553E-9</v>
      </c>
      <c r="T79" t="s">
        <v>961</v>
      </c>
      <c r="U79" s="1" t="s">
        <v>962</v>
      </c>
      <c r="V79" s="64">
        <f>(V78/2*(V77-1000)*K40)/(1+12.7*(V78/2)^0.5*(K40^(2/3)-1))</f>
        <v>6.289012079397299</v>
      </c>
      <c r="AG79" s="106"/>
    </row>
    <row r="80" spans="9:33">
      <c r="O80" t="s">
        <v>865</v>
      </c>
      <c r="P80" s="1" t="s">
        <v>866</v>
      </c>
      <c r="Q80">
        <f>(K71-K19)/(K75)-Q73</f>
        <v>1874.4945707890729</v>
      </c>
      <c r="T80" t="s">
        <v>963</v>
      </c>
      <c r="U80" s="1" t="s">
        <v>964</v>
      </c>
      <c r="V80" s="64">
        <f>V76*V32/V72</f>
        <v>86.919298683209448</v>
      </c>
      <c r="W80" t="s">
        <v>920</v>
      </c>
      <c r="AG80" s="106"/>
    </row>
    <row r="81" spans="9:33">
      <c r="O81" t="s">
        <v>869</v>
      </c>
      <c r="P81" s="1" t="s">
        <v>184</v>
      </c>
      <c r="Q81">
        <f>Q78^2+Q79^2+Q80^2</f>
        <v>2517301618.9129934</v>
      </c>
      <c r="T81" t="s">
        <v>963</v>
      </c>
      <c r="U81" s="1" t="s">
        <v>965</v>
      </c>
      <c r="V81" s="64">
        <f>V79*V31/V42</f>
        <v>7.8163435843937865</v>
      </c>
      <c r="W81" t="s">
        <v>920</v>
      </c>
      <c r="AG81" s="106"/>
    </row>
    <row r="82" spans="9:33">
      <c r="T82" s="3" t="s">
        <v>966</v>
      </c>
      <c r="U82" s="1" t="s">
        <v>967</v>
      </c>
      <c r="V82">
        <f>1/V81/(PI()*V42*V65)+LN(V44/V42)/(2*PI()*V53)+1/V80/(PI()*V44*V65)</f>
        <v>5.2793744156803303E-2</v>
      </c>
      <c r="AG82" s="106"/>
    </row>
    <row r="83" spans="9:33">
      <c r="I83" s="98" t="s">
        <v>887</v>
      </c>
      <c r="O83" s="98" t="s">
        <v>878</v>
      </c>
      <c r="T83" t="s">
        <v>545</v>
      </c>
      <c r="U83" s="1" t="s">
        <v>968</v>
      </c>
      <c r="V83">
        <f>$V$39*V82/$V$61</f>
        <v>3.7976278260735543</v>
      </c>
      <c r="W83" t="s">
        <v>82</v>
      </c>
      <c r="AG83" s="106"/>
    </row>
    <row r="84" spans="9:33">
      <c r="U84" s="1"/>
      <c r="AG84" s="106"/>
    </row>
    <row r="85" spans="9:33">
      <c r="I85" t="s">
        <v>203</v>
      </c>
      <c r="J85" s="4" t="s">
        <v>204</v>
      </c>
      <c r="K85">
        <v>2E-3</v>
      </c>
      <c r="L85" t="s">
        <v>82</v>
      </c>
      <c r="O85" t="s">
        <v>179</v>
      </c>
      <c r="P85" s="1" t="s">
        <v>778</v>
      </c>
      <c r="Q85">
        <f>4*(PI()*Q10^2/4-K88*K85*K86)/(PI()*Q10+2*K85*K88)</f>
        <v>9.6984506196968467E-2</v>
      </c>
      <c r="R85" t="s">
        <v>82</v>
      </c>
      <c r="T85" s="60" t="s">
        <v>969</v>
      </c>
      <c r="U85" s="1"/>
      <c r="AG85" s="106"/>
    </row>
    <row r="86" spans="9:33">
      <c r="I86" t="s">
        <v>674</v>
      </c>
      <c r="J86" s="4" t="s">
        <v>201</v>
      </c>
      <c r="K86">
        <v>1E-3</v>
      </c>
      <c r="L86" t="s">
        <v>82</v>
      </c>
      <c r="O86" t="s">
        <v>165</v>
      </c>
      <c r="P86" s="1" t="s">
        <v>776</v>
      </c>
      <c r="Q86">
        <f>4*(PI()*Q10^2/4-K88*K85*K86)/(PI()*Q10+2*K85*K88)</f>
        <v>9.6984506196968467E-2</v>
      </c>
      <c r="R86" t="s">
        <v>82</v>
      </c>
      <c r="U86" s="1"/>
      <c r="AG86" s="106"/>
    </row>
    <row r="87" spans="9:33">
      <c r="I87" t="s">
        <v>880</v>
      </c>
      <c r="J87" s="4" t="s">
        <v>231</v>
      </c>
      <c r="K87">
        <f>(Q10-2*K85)*PI()/(2*$K$59)</f>
        <v>81.681408993334614</v>
      </c>
      <c r="O87" t="s">
        <v>888</v>
      </c>
      <c r="P87" s="1" t="s">
        <v>889</v>
      </c>
      <c r="Q87">
        <f>PI()/4*(Q10^2)-K85*K86*K88</f>
        <v>1.9946192982974675E-2</v>
      </c>
      <c r="R87" t="s">
        <v>82</v>
      </c>
      <c r="T87" t="s">
        <v>903</v>
      </c>
      <c r="U87" s="1" t="s">
        <v>139</v>
      </c>
      <c r="V87">
        <f>E10*1000-Q41</f>
        <v>3076.1654860977069</v>
      </c>
      <c r="W87" t="s">
        <v>140</v>
      </c>
      <c r="AG87" s="106"/>
    </row>
    <row r="88" spans="9:33">
      <c r="I88" t="s">
        <v>883</v>
      </c>
      <c r="J88" s="4" t="s">
        <v>198</v>
      </c>
      <c r="K88">
        <f>_xlfn.FLOOR.MATH(K87,5)</f>
        <v>80</v>
      </c>
      <c r="O88" t="s">
        <v>585</v>
      </c>
      <c r="P88" s="1" t="s">
        <v>293</v>
      </c>
      <c r="Q88">
        <f>C38/(K22*(Q14-K85*K88*K86))</f>
        <v>2.7186462785865095</v>
      </c>
      <c r="R88" t="s">
        <v>130</v>
      </c>
      <c r="T88" t="s">
        <v>254</v>
      </c>
      <c r="U88" s="1" t="s">
        <v>928</v>
      </c>
      <c r="V88">
        <f>(V11-Q42-(V11-V13))/LN((V11-Q42)/(V11-V13))</f>
        <v>28.518956450067652</v>
      </c>
      <c r="W88" t="s">
        <v>14</v>
      </c>
      <c r="AG88" s="106"/>
    </row>
    <row r="89" spans="9:33">
      <c r="I89" t="s">
        <v>884</v>
      </c>
      <c r="J89" s="4" t="s">
        <v>82</v>
      </c>
      <c r="K89">
        <f>SQRT(2*Q91/(K86*K30))</f>
        <v>378.88119564867333</v>
      </c>
      <c r="O89" t="s">
        <v>832</v>
      </c>
      <c r="P89" s="1" t="s">
        <v>421</v>
      </c>
      <c r="Q89" s="64">
        <f>K22*Q88*Q86/K24</f>
        <v>1667.0531323605146</v>
      </c>
      <c r="T89" t="s">
        <v>1018</v>
      </c>
      <c r="U89" s="1" t="s">
        <v>1016</v>
      </c>
      <c r="V89">
        <f>0.00035</f>
        <v>3.5E-4</v>
      </c>
      <c r="W89" t="s">
        <v>1017</v>
      </c>
      <c r="AG89" s="106"/>
    </row>
    <row r="90" spans="9:33">
      <c r="I90" t="s">
        <v>251</v>
      </c>
      <c r="J90" s="4" t="s">
        <v>20</v>
      </c>
      <c r="K90">
        <f>TANH(K89*K85)/(K85*K89)</f>
        <v>0.84427134464199005</v>
      </c>
      <c r="O90" t="s">
        <v>848</v>
      </c>
      <c r="P90" s="1" t="s">
        <v>425</v>
      </c>
      <c r="Q90" s="64">
        <f>0.021*K40^0.4*Q89^0.8</f>
        <v>6.961109505031323</v>
      </c>
      <c r="U90" s="1"/>
      <c r="AG90" s="106"/>
    </row>
    <row r="91" spans="9:33">
      <c r="I91" t="s">
        <v>885</v>
      </c>
      <c r="J91" s="4" t="s">
        <v>206</v>
      </c>
      <c r="K91">
        <f>1-(2*K85*K88)/(PI()*$Q$10-K86*K88+2*K85*K88)*(1-K90)</f>
        <v>0.93289861175664779</v>
      </c>
      <c r="O91" t="s">
        <v>828</v>
      </c>
      <c r="P91" s="1" t="s">
        <v>890</v>
      </c>
      <c r="Q91" s="64">
        <f>Q90*K30/Q85</f>
        <v>5.4477589477935853</v>
      </c>
      <c r="T91" s="98" t="s">
        <v>941</v>
      </c>
      <c r="U91" s="1"/>
      <c r="AG91" s="106"/>
    </row>
    <row r="92" spans="9:33">
      <c r="U92" s="1"/>
      <c r="AG92" s="106"/>
    </row>
    <row r="93" spans="9:33">
      <c r="T93" t="s">
        <v>942</v>
      </c>
      <c r="U93" s="1" t="s">
        <v>943</v>
      </c>
      <c r="V93" s="2">
        <f>V70</f>
        <v>1.4000000000000001</v>
      </c>
      <c r="W93" t="s">
        <v>82</v>
      </c>
      <c r="AG93" s="106"/>
    </row>
    <row r="94" spans="9:33">
      <c r="I94" s="98" t="s">
        <v>852</v>
      </c>
      <c r="O94" s="98" t="s">
        <v>824</v>
      </c>
      <c r="T94" t="s">
        <v>944</v>
      </c>
      <c r="U94" s="1" t="s">
        <v>945</v>
      </c>
      <c r="V94" s="2">
        <f>V71</f>
        <v>0.25</v>
      </c>
      <c r="AG94" s="106"/>
    </row>
    <row r="95" spans="9:33">
      <c r="T95" t="s">
        <v>946</v>
      </c>
      <c r="U95" s="1" t="s">
        <v>947</v>
      </c>
      <c r="V95" s="2">
        <f>V72</f>
        <v>6.8756514748722408E-2</v>
      </c>
      <c r="W95" t="s">
        <v>82</v>
      </c>
      <c r="AG95" s="106"/>
    </row>
    <row r="96" spans="9:33">
      <c r="I96" s="100" t="s">
        <v>855</v>
      </c>
      <c r="J96" s="4" t="s">
        <v>856</v>
      </c>
      <c r="K96" s="99">
        <v>421.23543799052982</v>
      </c>
      <c r="L96" s="4" t="s">
        <v>14</v>
      </c>
      <c r="M96" s="4"/>
      <c r="O96" t="s">
        <v>828</v>
      </c>
      <c r="P96" s="1" t="s">
        <v>829</v>
      </c>
      <c r="Q96" s="64">
        <f>Q91*K91</f>
        <v>5.0822067595814922</v>
      </c>
      <c r="R96" t="s">
        <v>830</v>
      </c>
      <c r="T96" t="s">
        <v>948</v>
      </c>
      <c r="U96" s="1" t="s">
        <v>949</v>
      </c>
      <c r="V96" s="2">
        <f>V73</f>
        <v>0.17422222222222225</v>
      </c>
      <c r="W96" t="s">
        <v>155</v>
      </c>
      <c r="AG96" s="106"/>
    </row>
    <row r="97" spans="1:33">
      <c r="I97" t="s">
        <v>859</v>
      </c>
      <c r="J97" s="4" t="s">
        <v>860</v>
      </c>
      <c r="K97">
        <f>$K$26*$K$31*($K$18^2+K96^2)*($K$18+K96)</f>
        <v>78.645415206927169</v>
      </c>
      <c r="L97" t="s">
        <v>861</v>
      </c>
      <c r="O97" t="s">
        <v>833</v>
      </c>
      <c r="P97" s="1" t="s">
        <v>834</v>
      </c>
      <c r="Q97" s="64">
        <f>Q70</f>
        <v>32.592775994900705</v>
      </c>
      <c r="R97" t="s">
        <v>830</v>
      </c>
      <c r="T97" t="s">
        <v>950</v>
      </c>
      <c r="U97" s="1" t="s">
        <v>951</v>
      </c>
      <c r="V97" s="2">
        <f>V74</f>
        <v>13.027669868587017</v>
      </c>
      <c r="W97" t="s">
        <v>952</v>
      </c>
      <c r="AG97" s="106"/>
    </row>
    <row r="98" spans="1:33">
      <c r="I98" s="100" t="s">
        <v>864</v>
      </c>
      <c r="J98" s="4" t="s">
        <v>466</v>
      </c>
      <c r="K98" s="99">
        <f>K96-Q100*LN(Q11/Q10)/(2*PI()*K17*K100)</f>
        <v>421.15120129917057</v>
      </c>
      <c r="L98" s="4" t="s">
        <v>14</v>
      </c>
      <c r="T98" t="s">
        <v>970</v>
      </c>
      <c r="U98" s="1" t="s">
        <v>971</v>
      </c>
      <c r="V98" s="2">
        <f>(V11+(K13+Q42)/2)/2</f>
        <v>318.73786492640886</v>
      </c>
      <c r="W98" t="s">
        <v>14</v>
      </c>
      <c r="X98" t="s">
        <v>972</v>
      </c>
      <c r="AG98" s="106"/>
    </row>
    <row r="99" spans="1:33">
      <c r="I99" t="s">
        <v>867</v>
      </c>
      <c r="J99" s="4" t="s">
        <v>868</v>
      </c>
      <c r="K99">
        <f>$K$28*$K$31*(K98^2+$K$19^2)*($K$19+K98)</f>
        <v>5.9587111521157627</v>
      </c>
      <c r="L99" t="s">
        <v>861</v>
      </c>
      <c r="O99" t="s">
        <v>840</v>
      </c>
      <c r="P99" s="1" t="s">
        <v>841</v>
      </c>
      <c r="Q99">
        <f>Q72</f>
        <v>1.5912286479160225E-4</v>
      </c>
      <c r="R99" t="s">
        <v>842</v>
      </c>
      <c r="U99" s="1"/>
      <c r="V99" s="2"/>
    </row>
    <row r="100" spans="1:33">
      <c r="I100" t="s">
        <v>870</v>
      </c>
      <c r="J100" s="4" t="s">
        <v>81</v>
      </c>
      <c r="K100">
        <v>60.052164198115179</v>
      </c>
      <c r="L100" t="s">
        <v>82</v>
      </c>
      <c r="O100" t="s">
        <v>845</v>
      </c>
      <c r="P100" s="1" t="s">
        <v>846</v>
      </c>
      <c r="Q100">
        <f>Q73</f>
        <v>31790.501180568957</v>
      </c>
      <c r="R100" t="s">
        <v>140</v>
      </c>
      <c r="T100" t="s">
        <v>1019</v>
      </c>
      <c r="U100" s="1" t="s">
        <v>964</v>
      </c>
      <c r="V100" s="125">
        <f>V80</f>
        <v>86.919298683209448</v>
      </c>
      <c r="W100" t="s">
        <v>920</v>
      </c>
      <c r="X100" t="s">
        <v>1020</v>
      </c>
    </row>
    <row r="101" spans="1:33">
      <c r="I101" t="s">
        <v>871</v>
      </c>
      <c r="J101" s="4" t="s">
        <v>655</v>
      </c>
      <c r="K101">
        <f>1/((K97+Q96)*Q87*K100)</f>
        <v>9.9710883284948332E-3</v>
      </c>
      <c r="L101" t="s">
        <v>656</v>
      </c>
      <c r="O101" t="s">
        <v>849</v>
      </c>
      <c r="P101" s="1" t="s">
        <v>850</v>
      </c>
      <c r="Q101">
        <f>Q74</f>
        <v>303.80145970563558</v>
      </c>
      <c r="R101" t="s">
        <v>14</v>
      </c>
      <c r="T101" t="s">
        <v>963</v>
      </c>
      <c r="U101" s="1" t="s">
        <v>965</v>
      </c>
      <c r="V101" s="2">
        <f>0.815*((V33^3*V24*(V24-V22)*9.81*V32)/(PI()*V27*V42*(V11-V98)))^(0.25)</f>
        <v>120.31269571471805</v>
      </c>
      <c r="W101" t="s">
        <v>920</v>
      </c>
    </row>
    <row r="102" spans="1:33">
      <c r="I102" t="s">
        <v>872</v>
      </c>
      <c r="J102" s="4" t="s">
        <v>658</v>
      </c>
      <c r="K102">
        <f>1/((Q97+K99)*K100*Q60)</f>
        <v>3.5591774902194958E-3</v>
      </c>
      <c r="L102" t="s">
        <v>656</v>
      </c>
      <c r="T102" s="3" t="s">
        <v>966</v>
      </c>
      <c r="U102" s="1" t="s">
        <v>967</v>
      </c>
      <c r="V102" s="2">
        <f>1/V101/(PI()*V42*V65)+LN(V44/V42)/(2*PI()*V53)+1/V100/(PI()*V44*V65)+V89</f>
        <v>7.8128608092072234E-3</v>
      </c>
    </row>
    <row r="103" spans="1:33">
      <c r="I103" t="s">
        <v>873</v>
      </c>
      <c r="J103" s="4" t="s">
        <v>874</v>
      </c>
      <c r="K103">
        <f>K100*Q99</f>
        <v>9.5556724041397784E-3</v>
      </c>
      <c r="L103" t="s">
        <v>656</v>
      </c>
      <c r="T103" t="s">
        <v>545</v>
      </c>
      <c r="U103" s="1" t="s">
        <v>973</v>
      </c>
      <c r="V103">
        <f>V87*V102/V88</f>
        <v>0.84272553278896889</v>
      </c>
      <c r="W103" t="s">
        <v>82</v>
      </c>
    </row>
    <row r="104" spans="1:33">
      <c r="I104" t="s">
        <v>875</v>
      </c>
      <c r="J104" s="4" t="s">
        <v>876</v>
      </c>
      <c r="K104">
        <f>(K18-K19)/(K101+K102+K103)</f>
        <v>38292.87946742832</v>
      </c>
      <c r="L104" t="s">
        <v>140</v>
      </c>
      <c r="U104" s="1"/>
    </row>
    <row r="105" spans="1:33">
      <c r="O105" t="s">
        <v>857</v>
      </c>
      <c r="P105" s="1" t="s">
        <v>858</v>
      </c>
      <c r="Q105">
        <f>(K18-K96)/(K101)-Q100</f>
        <v>44459.848775430728</v>
      </c>
      <c r="T105" t="s">
        <v>974</v>
      </c>
      <c r="U105" s="1" t="s">
        <v>81</v>
      </c>
      <c r="V105">
        <f>V103+V83</f>
        <v>4.640353358862523</v>
      </c>
      <c r="W105" t="s">
        <v>82</v>
      </c>
    </row>
    <row r="106" spans="1:33">
      <c r="O106" t="s">
        <v>862</v>
      </c>
      <c r="P106" s="1" t="s">
        <v>863</v>
      </c>
      <c r="Q106">
        <f>(K96-K98)/(LN(Q11/Q10)/(2*PI()*K17*K100))-Q100</f>
        <v>-7.7379809226840734E-9</v>
      </c>
      <c r="U106" s="1"/>
    </row>
    <row r="107" spans="1:33">
      <c r="O107" t="s">
        <v>865</v>
      </c>
      <c r="P107" s="1" t="s">
        <v>866</v>
      </c>
      <c r="Q107">
        <f>(K98-K19)/(K102)-Q100</f>
        <v>2948.9404232127199</v>
      </c>
      <c r="U107" s="1"/>
    </row>
    <row r="108" spans="1:33">
      <c r="O108" t="s">
        <v>869</v>
      </c>
      <c r="P108" s="1" t="s">
        <v>184</v>
      </c>
      <c r="Q108">
        <f>Q105^2+Q106^2+Q107^2</f>
        <v>1985374402.7538271</v>
      </c>
      <c r="T108" t="s">
        <v>1015</v>
      </c>
      <c r="U108" s="83" t="s">
        <v>739</v>
      </c>
      <c r="V108" s="2">
        <f>'Parte S'!C375/(V129*1000*'Parte S'!C44)</f>
        <v>0.87394936060277006</v>
      </c>
    </row>
    <row r="109" spans="1:33">
      <c r="A109" s="243" t="s">
        <v>1045</v>
      </c>
      <c r="B109" s="243"/>
      <c r="C109" s="243"/>
      <c r="D109" s="243"/>
      <c r="E109" s="243"/>
      <c r="F109" s="243"/>
      <c r="U109" s="1"/>
    </row>
    <row r="110" spans="1:33">
      <c r="A110" s="243"/>
      <c r="B110" s="243"/>
      <c r="C110" s="243"/>
      <c r="D110" s="243"/>
      <c r="E110" s="243"/>
      <c r="F110" s="243"/>
      <c r="T110" s="3" t="s">
        <v>891</v>
      </c>
      <c r="U110" s="83"/>
      <c r="V110" s="79"/>
      <c r="W110" s="75"/>
      <c r="X110" s="75"/>
      <c r="Y110" s="75"/>
      <c r="Z110" s="75"/>
      <c r="AA110" s="75"/>
    </row>
    <row r="111" spans="1:33">
      <c r="U111" s="83"/>
      <c r="V111" s="79"/>
      <c r="W111" s="75"/>
      <c r="X111" s="75"/>
      <c r="Y111" s="75"/>
      <c r="Z111" s="75"/>
      <c r="AA111" s="75"/>
    </row>
    <row r="112" spans="1:33">
      <c r="A112" s="244" t="s">
        <v>1044</v>
      </c>
      <c r="B112" s="244"/>
      <c r="C112" s="244"/>
      <c r="D112" t="s">
        <v>1046</v>
      </c>
      <c r="T112" s="109"/>
      <c r="U112" s="109"/>
      <c r="V112" s="113" t="s">
        <v>975</v>
      </c>
      <c r="W112" s="113" t="s">
        <v>976</v>
      </c>
      <c r="X112" s="113" t="s">
        <v>977</v>
      </c>
      <c r="Y112" s="113" t="s">
        <v>978</v>
      </c>
      <c r="Z112" s="113" t="s">
        <v>979</v>
      </c>
      <c r="AA112" s="113" t="s">
        <v>980</v>
      </c>
    </row>
    <row r="113" spans="1:27">
      <c r="T113" s="109" t="s">
        <v>983</v>
      </c>
      <c r="U113" s="110" t="s">
        <v>981</v>
      </c>
      <c r="V113" s="109">
        <v>13</v>
      </c>
      <c r="W113" s="109">
        <v>6.9</v>
      </c>
      <c r="X113" s="109">
        <v>2.9</v>
      </c>
      <c r="Y113" s="109">
        <v>1.4</v>
      </c>
      <c r="Z113" s="109">
        <v>3.6</v>
      </c>
      <c r="AA113" s="109">
        <v>8.3000000000000007</v>
      </c>
    </row>
    <row r="114" spans="1:27">
      <c r="A114" t="s">
        <v>1042</v>
      </c>
      <c r="B114" s="4" t="s">
        <v>1040</v>
      </c>
      <c r="C114" s="70">
        <f>'Parte S'!C122+'Parte S'!C190</f>
        <v>314.73901680144769</v>
      </c>
      <c r="D114" t="s">
        <v>328</v>
      </c>
      <c r="T114" s="109" t="s">
        <v>984</v>
      </c>
      <c r="U114" s="110" t="s">
        <v>651</v>
      </c>
      <c r="V114" s="111">
        <f>'Parte S'!C449</f>
        <v>-3070.9598031173095</v>
      </c>
      <c r="W114" s="111">
        <f>'Parte S'!D449</f>
        <v>-6817.5307629204272</v>
      </c>
      <c r="X114" s="111">
        <f>'Parte S'!E449</f>
        <v>-9274.2986054142748</v>
      </c>
      <c r="Y114" s="111">
        <f>'Parte S'!F449</f>
        <v>-10195.586546349468</v>
      </c>
      <c r="Z114" s="111">
        <f>'Parte S'!G449</f>
        <v>-8844.3642329778522</v>
      </c>
      <c r="AA114" s="111">
        <f>'Parte S'!H449</f>
        <v>-5957.6620180475802</v>
      </c>
    </row>
    <row r="115" spans="1:27">
      <c r="A115" t="s">
        <v>1041</v>
      </c>
      <c r="B115" s="4" t="s">
        <v>1043</v>
      </c>
      <c r="C115" s="70">
        <f>'Parte S'!C133+'Parte S'!C217</f>
        <v>198.31597565866349</v>
      </c>
      <c r="D115" t="s">
        <v>328</v>
      </c>
      <c r="T115" s="109" t="s">
        <v>985</v>
      </c>
      <c r="U115" s="110" t="s">
        <v>660</v>
      </c>
      <c r="V115" s="111">
        <f>'Parte S'!C450</f>
        <v>-41.154513231949458</v>
      </c>
      <c r="W115" s="111">
        <f>'Parte S'!D450</f>
        <v>-91.363019374927788</v>
      </c>
      <c r="X115" s="111">
        <f>'Parte S'!E450</f>
        <v>-124.28662996048736</v>
      </c>
      <c r="Y115" s="111">
        <f>'Parte S'!F450</f>
        <v>-136.63298393007221</v>
      </c>
      <c r="Z115" s="111">
        <f>'Parte S'!G450</f>
        <v>-118.52499810801444</v>
      </c>
      <c r="AA115" s="111">
        <f>'Parte S'!H450</f>
        <v>-79.83975566998194</v>
      </c>
    </row>
    <row r="116" spans="1:27">
      <c r="B116" s="4"/>
      <c r="T116" s="109" t="s">
        <v>986</v>
      </c>
      <c r="U116" s="110" t="s">
        <v>664</v>
      </c>
      <c r="V116" s="111">
        <f>'Parte S'!C451</f>
        <v>-19431.86104218362</v>
      </c>
      <c r="W116" s="111">
        <f>'Parte S'!D451</f>
        <v>-19431.86104218362</v>
      </c>
      <c r="X116" s="111">
        <f>'Parte S'!E451</f>
        <v>-19431.86104218362</v>
      </c>
      <c r="Y116" s="111">
        <f>'Parte S'!F451</f>
        <v>-19431.86104218362</v>
      </c>
      <c r="Z116" s="111">
        <f>'Parte S'!G451</f>
        <v>-19431.86104218362</v>
      </c>
      <c r="AA116" s="111">
        <f>'Parte S'!H451</f>
        <v>-19431.86104218362</v>
      </c>
    </row>
    <row r="117" spans="1:27">
      <c r="A117" s="245" t="s">
        <v>1047</v>
      </c>
      <c r="B117" s="245"/>
      <c r="T117" s="109" t="s">
        <v>988</v>
      </c>
      <c r="U117" s="110" t="s">
        <v>668</v>
      </c>
      <c r="V117" s="111">
        <f>'Parte S'!C452</f>
        <v>-41.50984186465675</v>
      </c>
      <c r="W117" s="111">
        <f>'Parte S'!D452</f>
        <v>-92.15184893953797</v>
      </c>
      <c r="X117" s="111">
        <f>'Parte S'!E452</f>
        <v>-125.35972243126336</v>
      </c>
      <c r="Y117" s="111">
        <f>'Parte S'!F452</f>
        <v>-137.81267499066041</v>
      </c>
      <c r="Z117" s="111">
        <f>'Parte S'!G452</f>
        <v>-119.54834457021143</v>
      </c>
      <c r="AA117" s="111">
        <f>'Parte S'!H452</f>
        <v>-80.529093217434081</v>
      </c>
    </row>
    <row r="118" spans="1:27">
      <c r="B118" s="4"/>
      <c r="T118" s="109" t="s">
        <v>987</v>
      </c>
      <c r="U118" s="112" t="s">
        <v>982</v>
      </c>
      <c r="V118" s="111">
        <f>SUM(V114:V117)</f>
        <v>-22585.485200397536</v>
      </c>
      <c r="W118" s="111">
        <f t="shared" ref="W118:AA118" si="1">SUM(W114:W117)</f>
        <v>-26432.906673418514</v>
      </c>
      <c r="X118" s="111">
        <f t="shared" si="1"/>
        <v>-28955.805999989643</v>
      </c>
      <c r="Y118" s="111">
        <f t="shared" si="1"/>
        <v>-29901.89324745382</v>
      </c>
      <c r="Z118" s="111">
        <f t="shared" si="1"/>
        <v>-28514.298617839697</v>
      </c>
      <c r="AA118" s="111">
        <f t="shared" si="1"/>
        <v>-25549.891909118618</v>
      </c>
    </row>
    <row r="119" spans="1:27">
      <c r="A119" t="s">
        <v>1048</v>
      </c>
      <c r="B119" s="4" t="s">
        <v>939</v>
      </c>
      <c r="C119">
        <f>V64</f>
        <v>0.28000000000000003</v>
      </c>
      <c r="D119" t="s">
        <v>82</v>
      </c>
      <c r="T119" s="109" t="s">
        <v>989</v>
      </c>
      <c r="U119" s="112" t="s">
        <v>991</v>
      </c>
      <c r="V119" s="111">
        <f>31*24*3600</f>
        <v>2678400</v>
      </c>
      <c r="W119" s="111">
        <f>30*24*3600</f>
        <v>2592000</v>
      </c>
      <c r="X119" s="111">
        <f t="shared" ref="X119:AA119" si="2">31*24*3600</f>
        <v>2678400</v>
      </c>
      <c r="Y119" s="111">
        <f t="shared" si="2"/>
        <v>2678400</v>
      </c>
      <c r="Z119" s="111">
        <f>28*24*3600</f>
        <v>2419200</v>
      </c>
      <c r="AA119" s="111">
        <f t="shared" si="2"/>
        <v>2678400</v>
      </c>
    </row>
    <row r="120" spans="1:27">
      <c r="A120" t="s">
        <v>80</v>
      </c>
      <c r="B120" s="4" t="s">
        <v>81</v>
      </c>
      <c r="C120" s="70">
        <f>V105</f>
        <v>4.640353358862523</v>
      </c>
      <c r="D120" t="s">
        <v>82</v>
      </c>
      <c r="T120" s="109" t="s">
        <v>990</v>
      </c>
      <c r="U120" s="113" t="s">
        <v>992</v>
      </c>
      <c r="V120" s="136">
        <f>V119*V118</f>
        <v>-60492963560.744759</v>
      </c>
      <c r="W120" s="111">
        <f t="shared" ref="W120:AA120" si="3">W119*W118</f>
        <v>-68514094097.500786</v>
      </c>
      <c r="X120" s="111">
        <f>X119*X118</f>
        <v>-77555230790.372253</v>
      </c>
      <c r="Y120" s="111">
        <f t="shared" si="3"/>
        <v>-80089230873.980316</v>
      </c>
      <c r="Z120" s="111">
        <f t="shared" si="3"/>
        <v>-68981791216.277802</v>
      </c>
      <c r="AA120" s="111">
        <f t="shared" si="3"/>
        <v>-68432830489.383308</v>
      </c>
    </row>
    <row r="121" spans="1:27">
      <c r="A121" t="s">
        <v>948</v>
      </c>
      <c r="B121" s="1" t="s">
        <v>949</v>
      </c>
      <c r="C121" s="2">
        <f>V96</f>
        <v>0.17422222222222225</v>
      </c>
      <c r="D121" t="s">
        <v>155</v>
      </c>
      <c r="T121" s="109" t="s">
        <v>993</v>
      </c>
      <c r="U121" s="113" t="s">
        <v>672</v>
      </c>
      <c r="V121" s="111">
        <f>3850</f>
        <v>3850</v>
      </c>
      <c r="W121" s="111">
        <v>3850</v>
      </c>
      <c r="X121" s="111">
        <v>3850</v>
      </c>
      <c r="Y121" s="111">
        <v>3850</v>
      </c>
      <c r="Z121" s="111">
        <v>3850</v>
      </c>
      <c r="AA121" s="111">
        <v>3850</v>
      </c>
    </row>
    <row r="122" spans="1:27">
      <c r="A122" t="s">
        <v>1049</v>
      </c>
      <c r="B122" s="4" t="s">
        <v>279</v>
      </c>
      <c r="C122" s="128">
        <f>_xlfn.FLOOR.MATH(V105/V70)</f>
        <v>3</v>
      </c>
      <c r="T122" s="109" t="s">
        <v>996</v>
      </c>
      <c r="U122" s="112" t="s">
        <v>994</v>
      </c>
      <c r="V122" s="114">
        <f>(-V120/('Parte S'!$E$9*1000+V121))/3600</f>
        <v>434.01466179326133</v>
      </c>
      <c r="W122" s="114">
        <f>(-W120/('Parte S'!$E$9*1000+W121))/3600</f>
        <v>491.56330963912177</v>
      </c>
      <c r="X122" s="114">
        <f>(-X120/('Parte S'!$E$9*1000+X121))/3600</f>
        <v>556.43012476949536</v>
      </c>
      <c r="Y122" s="114">
        <f>(-Y120/('Parte S'!$E$9*1000+Y121))/3600</f>
        <v>574.61063907289656</v>
      </c>
      <c r="Z122" s="114">
        <f>(-Z120/('Parte S'!$E$9*1000+Z121))/3600</f>
        <v>494.91886365531502</v>
      </c>
      <c r="AA122" s="114">
        <f>(-AA120/('Parte S'!$E$9*1000+AA121))/3600</f>
        <v>490.98027327725146</v>
      </c>
    </row>
    <row r="123" spans="1:27">
      <c r="A123" t="s">
        <v>819</v>
      </c>
      <c r="B123" s="4" t="s">
        <v>820</v>
      </c>
      <c r="C123" s="129">
        <f>C41/C124/(PI()*C119^2/4 - V65 * PI()*V44^2/4)</f>
        <v>41.587000781543203</v>
      </c>
      <c r="D123" t="s">
        <v>130</v>
      </c>
      <c r="F123" t="s">
        <v>1059</v>
      </c>
      <c r="T123" s="115" t="s">
        <v>995</v>
      </c>
      <c r="U123" s="112" t="s">
        <v>892</v>
      </c>
      <c r="V123" s="111">
        <f>'Parte S'!C458</f>
        <v>14.000472961072946</v>
      </c>
      <c r="W123" s="114">
        <f>W122/30</f>
        <v>16.385443654637392</v>
      </c>
      <c r="X123" s="114">
        <f t="shared" ref="X123:AA123" si="4">X122/31</f>
        <v>17.949358863532108</v>
      </c>
      <c r="Y123" s="114">
        <f t="shared" si="4"/>
        <v>18.535827066867633</v>
      </c>
      <c r="Z123" s="114">
        <f>Z122/28</f>
        <v>17.675673701975537</v>
      </c>
      <c r="AA123" s="114">
        <f t="shared" si="4"/>
        <v>15.838073331524241</v>
      </c>
    </row>
    <row r="124" spans="1:27">
      <c r="A124" t="s">
        <v>1050</v>
      </c>
      <c r="B124" s="4" t="s">
        <v>283</v>
      </c>
      <c r="C124" s="130">
        <f>V23</f>
        <v>1.177</v>
      </c>
      <c r="D124" t="s">
        <v>1051</v>
      </c>
      <c r="F124">
        <f>4*C121/(PI()*(C119+128*V44))</f>
        <v>7.1649426002897476E-2</v>
      </c>
      <c r="Z124" s="75"/>
      <c r="AA124" s="75"/>
    </row>
    <row r="125" spans="1:27">
      <c r="A125" t="s">
        <v>562</v>
      </c>
      <c r="B125" s="4" t="s">
        <v>1052</v>
      </c>
      <c r="C125" s="123">
        <f>4*C121/PI()*V44</f>
        <v>4.880185703909354E-3</v>
      </c>
      <c r="D125" t="s">
        <v>82</v>
      </c>
      <c r="T125" t="s">
        <v>997</v>
      </c>
      <c r="U125" s="116">
        <f>SUM(V122:AA122)*3600</f>
        <v>10953064.339946428</v>
      </c>
      <c r="V125" s="79" t="s">
        <v>675</v>
      </c>
      <c r="W125" s="75"/>
      <c r="X125" s="75"/>
      <c r="Y125" s="75"/>
    </row>
    <row r="126" spans="1:27">
      <c r="A126" t="s">
        <v>428</v>
      </c>
      <c r="B126" s="4" t="s">
        <v>798</v>
      </c>
      <c r="C126" s="64">
        <f>'Parte S'!C263</f>
        <v>4.9000000000000005E-5</v>
      </c>
      <c r="U126" s="116"/>
      <c r="V126" s="79"/>
      <c r="W126" s="75"/>
      <c r="X126" s="75"/>
      <c r="Y126" s="75"/>
    </row>
    <row r="127" spans="1:27">
      <c r="A127" t="s">
        <v>420</v>
      </c>
      <c r="B127" s="4" t="s">
        <v>441</v>
      </c>
      <c r="C127" s="64">
        <f>C124*C123*C120/C126</f>
        <v>4635419.4245400988</v>
      </c>
      <c r="U127" s="83"/>
      <c r="V127" s="79"/>
      <c r="W127" s="75"/>
      <c r="X127" s="75"/>
      <c r="Y127" s="75"/>
    </row>
    <row r="128" spans="1:27">
      <c r="A128" t="s">
        <v>378</v>
      </c>
      <c r="B128" s="4" t="s">
        <v>143</v>
      </c>
      <c r="C128" s="70">
        <f>'Parte S'!C266</f>
        <v>0.09</v>
      </c>
      <c r="D128" t="s">
        <v>273</v>
      </c>
      <c r="T128" s="3" t="s">
        <v>1000</v>
      </c>
      <c r="U128" s="83"/>
      <c r="V128" s="75"/>
      <c r="W128" s="75"/>
      <c r="Y128" s="75"/>
    </row>
    <row r="129" spans="1:25">
      <c r="A129" t="s">
        <v>382</v>
      </c>
      <c r="B129" s="4" t="s">
        <v>383</v>
      </c>
      <c r="C129" s="67">
        <f>C128/C119*10^-3</f>
        <v>3.2142857142857141E-4</v>
      </c>
      <c r="T129" s="75" t="s">
        <v>1013</v>
      </c>
      <c r="U129" s="83" t="s">
        <v>42</v>
      </c>
      <c r="V129" s="75">
        <f>Q41/('Parte S'!C10*10^3*'Parte S'!C14)</f>
        <v>7.3052390952972732E-4</v>
      </c>
      <c r="W129" s="75" t="s">
        <v>43</v>
      </c>
      <c r="Y129" s="75"/>
    </row>
    <row r="130" spans="1:25">
      <c r="B130" s="4" t="s">
        <v>300</v>
      </c>
      <c r="C130">
        <v>1.7000000000000001E-2</v>
      </c>
      <c r="T130" t="s">
        <v>746</v>
      </c>
      <c r="U130" s="83" t="s">
        <v>1004</v>
      </c>
      <c r="V130" s="80">
        <v>0.217694</v>
      </c>
      <c r="W130" s="75" t="s">
        <v>998</v>
      </c>
      <c r="X130" s="75"/>
      <c r="Y130" s="75"/>
    </row>
    <row r="131" spans="1:25">
      <c r="B131" s="4"/>
      <c r="T131" t="s">
        <v>748</v>
      </c>
      <c r="U131" s="83" t="s">
        <v>1012</v>
      </c>
      <c r="V131" s="75">
        <f>V129/V132</f>
        <v>1.0935986669606695E-3</v>
      </c>
      <c r="W131" s="75" t="s">
        <v>749</v>
      </c>
      <c r="X131" s="75"/>
      <c r="Y131" s="75"/>
    </row>
    <row r="132" spans="1:25">
      <c r="A132" t="s">
        <v>1057</v>
      </c>
      <c r="B132" s="4" t="s">
        <v>1058</v>
      </c>
      <c r="C132" s="117">
        <f>4*C130*(C123/C121)^2*C119*(C122+1)/(2*C124*V44)</f>
        <v>83792.64495178689</v>
      </c>
      <c r="D132" t="s">
        <v>328</v>
      </c>
      <c r="F132" s="4"/>
      <c r="G132" s="4"/>
      <c r="H132" s="126"/>
      <c r="I132" s="4"/>
      <c r="T132" t="s">
        <v>750</v>
      </c>
      <c r="U132" s="1" t="s">
        <v>999</v>
      </c>
      <c r="V132" s="75">
        <v>0.66800000000000004</v>
      </c>
      <c r="W132" s="75" t="s">
        <v>87</v>
      </c>
      <c r="X132" s="75"/>
      <c r="Y132" s="75"/>
    </row>
    <row r="133" spans="1:25">
      <c r="B133" s="4"/>
      <c r="C133" s="117"/>
      <c r="F133" s="4"/>
      <c r="G133" s="4"/>
      <c r="H133" s="126"/>
      <c r="I133" s="4"/>
      <c r="P133" s="127"/>
      <c r="U133" s="127"/>
      <c r="V133" s="75"/>
      <c r="W133" s="75"/>
      <c r="X133" s="75"/>
      <c r="Y133" s="75"/>
    </row>
    <row r="134" spans="1:25">
      <c r="A134" t="s">
        <v>1055</v>
      </c>
      <c r="B134" s="4" t="s">
        <v>1056</v>
      </c>
      <c r="C134" s="117">
        <f>C132+C114+C115</f>
        <v>84305.699944247011</v>
      </c>
      <c r="D134" t="s">
        <v>328</v>
      </c>
      <c r="U134" s="1"/>
      <c r="V134" s="75"/>
      <c r="W134" s="75"/>
      <c r="X134" s="75"/>
      <c r="Y134" s="75"/>
    </row>
    <row r="135" spans="1:25">
      <c r="B135" s="4"/>
      <c r="U135" s="1"/>
      <c r="V135" s="75"/>
      <c r="W135" s="75"/>
      <c r="X135" s="75"/>
      <c r="Y135" s="75"/>
    </row>
    <row r="136" spans="1:25">
      <c r="A136" s="124" t="s">
        <v>518</v>
      </c>
      <c r="B136" s="4"/>
      <c r="T136" t="s">
        <v>751</v>
      </c>
      <c r="U136" s="83" t="s">
        <v>747</v>
      </c>
      <c r="V136" s="82">
        <f>V130*V131*U125</f>
        <v>2607.5945838556117</v>
      </c>
      <c r="W136" s="75" t="s">
        <v>752</v>
      </c>
      <c r="X136" s="75" t="s">
        <v>753</v>
      </c>
      <c r="Y136" s="75"/>
    </row>
    <row r="137" spans="1:25">
      <c r="B137" s="4"/>
      <c r="U137" s="1"/>
    </row>
    <row r="138" spans="1:25">
      <c r="A138" t="s">
        <v>522</v>
      </c>
      <c r="B138" s="4" t="s">
        <v>523</v>
      </c>
      <c r="C138">
        <v>0.8</v>
      </c>
      <c r="T138" s="3" t="s">
        <v>1001</v>
      </c>
      <c r="U138" s="1"/>
    </row>
    <row r="139" spans="1:25">
      <c r="B139" s="4"/>
      <c r="T139" s="3"/>
      <c r="U139" s="1"/>
    </row>
    <row r="140" spans="1:25">
      <c r="A140" t="s">
        <v>518</v>
      </c>
      <c r="B140" s="4" t="s">
        <v>529</v>
      </c>
      <c r="C140" s="191">
        <f>C134*C41/C124/C138</f>
        <v>203217.34926376454</v>
      </c>
      <c r="D140" t="s">
        <v>140</v>
      </c>
      <c r="T140" t="s">
        <v>1002</v>
      </c>
      <c r="U140" s="1" t="s">
        <v>1003</v>
      </c>
      <c r="V140" s="70">
        <f>(C203+C140)*10^-3</f>
        <v>203.61418662911777</v>
      </c>
      <c r="W140" t="s">
        <v>140</v>
      </c>
    </row>
    <row r="141" spans="1:25">
      <c r="B141" s="4"/>
      <c r="T141" t="s">
        <v>1006</v>
      </c>
      <c r="U141" s="1" t="s">
        <v>1007</v>
      </c>
      <c r="V141">
        <v>5.432E-2</v>
      </c>
      <c r="W141" t="s">
        <v>1005</v>
      </c>
    </row>
    <row r="142" spans="1:25">
      <c r="A142" s="240" t="s">
        <v>1054</v>
      </c>
      <c r="B142" s="240"/>
      <c r="C142" s="240"/>
      <c r="D142" s="192" t="s">
        <v>1053</v>
      </c>
      <c r="U142" s="1"/>
    </row>
    <row r="143" spans="1:25">
      <c r="A143" s="192"/>
      <c r="B143" s="193"/>
      <c r="C143" s="192"/>
      <c r="D143" s="192"/>
      <c r="T143" s="118" t="s">
        <v>1008</v>
      </c>
      <c r="U143" s="119" t="s">
        <v>1009</v>
      </c>
      <c r="V143" s="120">
        <f>V140*U125/3600*V141</f>
        <v>33651.229236712097</v>
      </c>
      <c r="W143" s="118" t="s">
        <v>752</v>
      </c>
      <c r="X143" t="s">
        <v>1014</v>
      </c>
    </row>
    <row r="144" spans="1:25">
      <c r="A144" s="194" t="s">
        <v>1183</v>
      </c>
      <c r="B144" s="192"/>
      <c r="C144" s="192"/>
      <c r="D144" s="192"/>
      <c r="U144" s="1"/>
    </row>
    <row r="145" spans="1:27">
      <c r="A145" s="192"/>
      <c r="B145" s="192"/>
      <c r="C145" s="192"/>
      <c r="D145" s="192"/>
      <c r="T145" t="s">
        <v>1011</v>
      </c>
      <c r="U145" s="1" t="s">
        <v>1010</v>
      </c>
      <c r="V145" s="70">
        <f>V136</f>
        <v>2607.5945838556117</v>
      </c>
      <c r="W145" t="s">
        <v>752</v>
      </c>
      <c r="Z145" s="70"/>
      <c r="AA145" s="70"/>
    </row>
    <row r="146" spans="1:27">
      <c r="A146" s="195" t="s">
        <v>464</v>
      </c>
      <c r="B146" s="192"/>
      <c r="C146" s="192"/>
      <c r="D146" s="192"/>
    </row>
    <row r="147" spans="1:27">
      <c r="A147" s="192"/>
      <c r="B147" s="192"/>
      <c r="C147" s="192"/>
      <c r="D147" s="192"/>
    </row>
    <row r="148" spans="1:27">
      <c r="A148" s="192" t="s">
        <v>1184</v>
      </c>
      <c r="B148" s="193" t="s">
        <v>1185</v>
      </c>
      <c r="C148" s="192">
        <f>V42</f>
        <v>2.1000000000000001E-2</v>
      </c>
      <c r="D148" s="192" t="s">
        <v>82</v>
      </c>
    </row>
    <row r="149" spans="1:27">
      <c r="A149" s="192" t="s">
        <v>582</v>
      </c>
      <c r="B149" s="193" t="s">
        <v>583</v>
      </c>
      <c r="C149" s="192">
        <f>V22</f>
        <v>0.29399999999999998</v>
      </c>
      <c r="D149" s="192" t="s">
        <v>87</v>
      </c>
    </row>
    <row r="150" spans="1:27">
      <c r="A150" s="192" t="s">
        <v>585</v>
      </c>
      <c r="B150" s="193" t="s">
        <v>293</v>
      </c>
      <c r="C150" s="196">
        <f>V66</f>
        <v>15.656123959140061</v>
      </c>
      <c r="D150" s="192" t="s">
        <v>130</v>
      </c>
    </row>
    <row r="151" spans="1:27">
      <c r="A151" s="192" t="s">
        <v>545</v>
      </c>
      <c r="B151" s="193" t="s">
        <v>1186</v>
      </c>
      <c r="C151" s="196">
        <f>C120*V65</f>
        <v>185.61413435450092</v>
      </c>
      <c r="D151" s="192" t="s">
        <v>82</v>
      </c>
    </row>
    <row r="152" spans="1:27">
      <c r="A152" s="192" t="s">
        <v>1187</v>
      </c>
      <c r="B152" s="193" t="s">
        <v>1188</v>
      </c>
      <c r="C152" s="192">
        <f>C148</f>
        <v>2.1000000000000001E-2</v>
      </c>
      <c r="D152" s="192" t="s">
        <v>82</v>
      </c>
    </row>
    <row r="153" spans="1:27">
      <c r="A153" s="192" t="s">
        <v>428</v>
      </c>
      <c r="B153" s="193" t="s">
        <v>793</v>
      </c>
      <c r="C153" s="197">
        <f>'Parte S'!C263</f>
        <v>4.9000000000000005E-5</v>
      </c>
      <c r="D153" s="192"/>
    </row>
    <row r="154" spans="1:27">
      <c r="A154" s="192" t="s">
        <v>420</v>
      </c>
      <c r="B154" s="193" t="s">
        <v>441</v>
      </c>
      <c r="C154" s="197">
        <f>C149*C150*C151/C153</f>
        <v>17435987.37613526</v>
      </c>
      <c r="D154" s="192"/>
    </row>
    <row r="155" spans="1:27">
      <c r="A155" s="192" t="s">
        <v>378</v>
      </c>
      <c r="B155" s="193" t="s">
        <v>143</v>
      </c>
      <c r="C155" s="196">
        <f>C128</f>
        <v>0.09</v>
      </c>
      <c r="D155" s="192" t="s">
        <v>273</v>
      </c>
    </row>
    <row r="156" spans="1:27">
      <c r="A156" s="192" t="s">
        <v>382</v>
      </c>
      <c r="B156" s="193" t="s">
        <v>383</v>
      </c>
      <c r="C156" s="198">
        <f>C155/C148*10^-3</f>
        <v>4.2857142857142859E-3</v>
      </c>
      <c r="D156" s="192"/>
    </row>
    <row r="157" spans="1:27">
      <c r="A157" s="192" t="s">
        <v>386</v>
      </c>
      <c r="B157" s="193" t="s">
        <v>300</v>
      </c>
      <c r="C157" s="192">
        <v>1.4999999999999999E-2</v>
      </c>
      <c r="D157" s="192"/>
    </row>
    <row r="158" spans="1:27">
      <c r="A158" s="192"/>
      <c r="B158" s="192"/>
      <c r="C158" s="192"/>
      <c r="D158" s="192"/>
    </row>
    <row r="159" spans="1:27">
      <c r="A159" s="192" t="s">
        <v>1189</v>
      </c>
      <c r="B159" s="193" t="s">
        <v>1190</v>
      </c>
      <c r="C159" s="199">
        <f>C157*C149*C150^2/2*C151/C152</f>
        <v>4777.1496449385613</v>
      </c>
      <c r="D159" s="192" t="s">
        <v>328</v>
      </c>
    </row>
    <row r="160" spans="1:27">
      <c r="A160" s="192"/>
      <c r="B160" s="193"/>
      <c r="C160" s="192"/>
      <c r="D160" s="192"/>
    </row>
    <row r="161" spans="1:4">
      <c r="A161" s="195" t="s">
        <v>573</v>
      </c>
      <c r="B161" s="193"/>
      <c r="C161" s="192"/>
      <c r="D161" s="192"/>
    </row>
    <row r="162" spans="1:4">
      <c r="A162" s="192"/>
      <c r="B162" s="193"/>
      <c r="C162" s="192"/>
      <c r="D162" s="192"/>
    </row>
    <row r="163" spans="1:4">
      <c r="A163" s="192" t="s">
        <v>1191</v>
      </c>
      <c r="B163" s="193" t="s">
        <v>1192</v>
      </c>
      <c r="C163" s="192">
        <f>'Parte S'!C281*10^-3</f>
        <v>0.2</v>
      </c>
      <c r="D163" s="192" t="s">
        <v>82</v>
      </c>
    </row>
    <row r="164" spans="1:4">
      <c r="A164" s="192" t="s">
        <v>582</v>
      </c>
      <c r="B164" s="193" t="s">
        <v>583</v>
      </c>
      <c r="C164" s="192">
        <v>0.98</v>
      </c>
      <c r="D164" s="192" t="s">
        <v>87</v>
      </c>
    </row>
    <row r="165" spans="1:4">
      <c r="A165" s="192" t="s">
        <v>585</v>
      </c>
      <c r="B165" s="193" t="s">
        <v>293</v>
      </c>
      <c r="C165" s="196">
        <f>C150</f>
        <v>15.656123959140061</v>
      </c>
      <c r="D165" s="192" t="s">
        <v>130</v>
      </c>
    </row>
    <row r="166" spans="1:4">
      <c r="A166" s="192" t="s">
        <v>545</v>
      </c>
      <c r="B166" s="193" t="s">
        <v>575</v>
      </c>
      <c r="C166" s="196">
        <f>'Parte S'!C273</f>
        <v>7</v>
      </c>
      <c r="D166" s="192" t="s">
        <v>82</v>
      </c>
    </row>
    <row r="167" spans="1:4">
      <c r="A167" s="192" t="s">
        <v>1187</v>
      </c>
      <c r="B167" s="193" t="s">
        <v>1188</v>
      </c>
      <c r="C167" s="192">
        <f>C163</f>
        <v>0.2</v>
      </c>
      <c r="D167" s="192" t="s">
        <v>82</v>
      </c>
    </row>
    <row r="168" spans="1:4">
      <c r="A168" s="192" t="s">
        <v>428</v>
      </c>
      <c r="B168" s="193" t="s">
        <v>793</v>
      </c>
      <c r="C168" s="192">
        <f>21.75*10^-6</f>
        <v>2.175E-5</v>
      </c>
      <c r="D168" s="192"/>
    </row>
    <row r="169" spans="1:4">
      <c r="A169" s="192" t="s">
        <v>420</v>
      </c>
      <c r="B169" s="193" t="s">
        <v>441</v>
      </c>
      <c r="C169" s="197">
        <f>C164*C165*C166/C168</f>
        <v>4937977.4878023369</v>
      </c>
      <c r="D169" s="192"/>
    </row>
    <row r="170" spans="1:4">
      <c r="A170" s="192" t="s">
        <v>378</v>
      </c>
      <c r="B170" s="193" t="s">
        <v>143</v>
      </c>
      <c r="C170" s="196">
        <f>C155</f>
        <v>0.09</v>
      </c>
      <c r="D170" s="192" t="s">
        <v>273</v>
      </c>
    </row>
    <row r="171" spans="1:4">
      <c r="A171" s="192" t="s">
        <v>382</v>
      </c>
      <c r="B171" s="193" t="s">
        <v>383</v>
      </c>
      <c r="C171" s="198">
        <f>C170/C163*10^-3</f>
        <v>4.4999999999999999E-4</v>
      </c>
      <c r="D171" s="192"/>
    </row>
    <row r="172" spans="1:4">
      <c r="A172" s="192" t="s">
        <v>386</v>
      </c>
      <c r="B172" s="193" t="s">
        <v>300</v>
      </c>
      <c r="C172" s="192">
        <v>1.7999999999999999E-2</v>
      </c>
      <c r="D172" s="192"/>
    </row>
    <row r="173" spans="1:4">
      <c r="A173" s="192"/>
      <c r="B173" s="193"/>
      <c r="C173" s="192"/>
      <c r="D173" s="192"/>
    </row>
    <row r="174" spans="1:4">
      <c r="A174" s="192" t="s">
        <v>1189</v>
      </c>
      <c r="B174" s="193" t="s">
        <v>1190</v>
      </c>
      <c r="C174" s="199">
        <f>C172*C164*C165^2/2*C166/C167</f>
        <v>75.666758918776267</v>
      </c>
      <c r="D174" s="192" t="s">
        <v>328</v>
      </c>
    </row>
    <row r="175" spans="1:4">
      <c r="A175" s="192"/>
      <c r="B175" s="192"/>
      <c r="C175" s="192"/>
      <c r="D175" s="192"/>
    </row>
    <row r="176" spans="1:4">
      <c r="A176" s="192" t="s">
        <v>1193</v>
      </c>
      <c r="B176" s="193" t="s">
        <v>1194</v>
      </c>
      <c r="C176" s="199">
        <f>C159+C174</f>
        <v>4852.8164038573377</v>
      </c>
      <c r="D176" s="192"/>
    </row>
    <row r="177" spans="1:4">
      <c r="A177" s="192"/>
      <c r="B177" s="192"/>
      <c r="C177" s="192"/>
      <c r="D177" s="192"/>
    </row>
    <row r="178" spans="1:4">
      <c r="A178" s="194" t="s">
        <v>1195</v>
      </c>
      <c r="B178" s="193"/>
      <c r="C178" s="192"/>
      <c r="D178" s="192"/>
    </row>
    <row r="179" spans="1:4">
      <c r="A179" s="194"/>
      <c r="B179" s="193"/>
      <c r="C179" s="192"/>
      <c r="D179" s="192"/>
    </row>
    <row r="180" spans="1:4">
      <c r="A180" s="195" t="s">
        <v>464</v>
      </c>
      <c r="B180" s="193"/>
      <c r="C180" s="192"/>
      <c r="D180" s="192"/>
    </row>
    <row r="181" spans="1:4">
      <c r="A181" s="192"/>
      <c r="B181" s="193"/>
      <c r="C181" s="192"/>
      <c r="D181" s="192"/>
    </row>
    <row r="182" spans="1:4">
      <c r="A182" s="192" t="s">
        <v>1196</v>
      </c>
      <c r="B182" s="193"/>
      <c r="C182" s="192">
        <v>0.9</v>
      </c>
      <c r="D182" s="192"/>
    </row>
    <row r="183" spans="1:4">
      <c r="A183" s="192" t="s">
        <v>1197</v>
      </c>
      <c r="B183" s="193" t="s">
        <v>1198</v>
      </c>
      <c r="C183" s="192">
        <f>V65/4*3</f>
        <v>30</v>
      </c>
      <c r="D183" s="192"/>
    </row>
    <row r="184" spans="1:4">
      <c r="A184" s="192"/>
      <c r="B184" s="193"/>
      <c r="C184" s="192"/>
      <c r="D184" s="192"/>
    </row>
    <row r="185" spans="1:4">
      <c r="A185" s="192" t="s">
        <v>1199</v>
      </c>
      <c r="B185" s="193" t="s">
        <v>1200</v>
      </c>
      <c r="C185" s="199">
        <f>C182*C149*C150^2/2*C183</f>
        <v>972.85832895569501</v>
      </c>
      <c r="D185" s="192" t="s">
        <v>328</v>
      </c>
    </row>
    <row r="186" spans="1:4">
      <c r="A186" s="192"/>
      <c r="B186" s="193"/>
      <c r="C186" s="192"/>
      <c r="D186" s="192"/>
    </row>
    <row r="187" spans="1:4">
      <c r="A187" s="195" t="s">
        <v>1201</v>
      </c>
      <c r="B187" s="193"/>
      <c r="C187" s="192"/>
      <c r="D187" s="192"/>
    </row>
    <row r="188" spans="1:4">
      <c r="A188" s="192"/>
      <c r="B188" s="192"/>
      <c r="C188" s="192"/>
      <c r="D188" s="192"/>
    </row>
    <row r="189" spans="1:4">
      <c r="A189" s="192" t="s">
        <v>304</v>
      </c>
      <c r="B189" s="193"/>
      <c r="C189" s="192"/>
      <c r="D189" s="192"/>
    </row>
    <row r="190" spans="1:4">
      <c r="A190" s="192" t="s">
        <v>594</v>
      </c>
      <c r="B190" s="193"/>
      <c r="C190" s="192">
        <v>0.4</v>
      </c>
      <c r="D190" s="192"/>
    </row>
    <row r="191" spans="1:4">
      <c r="A191" s="192" t="s">
        <v>316</v>
      </c>
      <c r="B191" s="193"/>
      <c r="C191" s="192">
        <v>0.4</v>
      </c>
      <c r="D191" s="192"/>
    </row>
    <row r="192" spans="1:4">
      <c r="A192" s="192"/>
      <c r="B192" s="193"/>
      <c r="C192" s="192"/>
      <c r="D192" s="192"/>
    </row>
    <row r="193" spans="1:4">
      <c r="A193" s="192" t="s">
        <v>595</v>
      </c>
      <c r="B193" s="193" t="s">
        <v>596</v>
      </c>
      <c r="C193" s="196">
        <f>(C191+C190)*C149*C150^2/2</f>
        <v>28.825431969057629</v>
      </c>
      <c r="D193" s="192" t="s">
        <v>328</v>
      </c>
    </row>
    <row r="194" spans="1:4">
      <c r="A194" s="192"/>
      <c r="B194" s="193"/>
      <c r="C194" s="192"/>
      <c r="D194" s="192"/>
    </row>
    <row r="195" spans="1:4">
      <c r="A195" s="192" t="s">
        <v>1202</v>
      </c>
      <c r="B195" s="193" t="s">
        <v>1203</v>
      </c>
      <c r="C195" s="199">
        <f>C193+C185</f>
        <v>1001.6837609247526</v>
      </c>
      <c r="D195" s="192" t="s">
        <v>328</v>
      </c>
    </row>
    <row r="196" spans="1:4">
      <c r="A196" s="192"/>
      <c r="B196" s="193"/>
      <c r="C196" s="192"/>
      <c r="D196" s="192"/>
    </row>
    <row r="197" spans="1:4">
      <c r="A197" s="192" t="s">
        <v>597</v>
      </c>
      <c r="B197" s="193" t="s">
        <v>1204</v>
      </c>
      <c r="C197" s="199">
        <f>C195+C176</f>
        <v>5854.50016478209</v>
      </c>
      <c r="D197" s="192" t="s">
        <v>328</v>
      </c>
    </row>
    <row r="198" spans="1:4">
      <c r="A198" s="192"/>
      <c r="B198" s="193"/>
      <c r="C198" s="192"/>
      <c r="D198" s="192"/>
    </row>
    <row r="199" spans="1:4">
      <c r="A199" s="194" t="s">
        <v>518</v>
      </c>
      <c r="B199" s="193"/>
      <c r="C199" s="192"/>
      <c r="D199" s="192"/>
    </row>
    <row r="200" spans="1:4">
      <c r="A200" s="192"/>
      <c r="B200" s="193"/>
      <c r="C200" s="192"/>
      <c r="D200" s="192"/>
    </row>
    <row r="201" spans="1:4">
      <c r="A201" s="192" t="s">
        <v>522</v>
      </c>
      <c r="B201" s="193" t="s">
        <v>523</v>
      </c>
      <c r="C201" s="192">
        <v>0.8</v>
      </c>
      <c r="D201" s="192"/>
    </row>
    <row r="202" spans="1:4">
      <c r="A202" s="192"/>
      <c r="B202" s="193"/>
      <c r="C202" s="192"/>
      <c r="D202" s="192"/>
    </row>
    <row r="203" spans="1:4">
      <c r="A203" s="192" t="s">
        <v>518</v>
      </c>
      <c r="B203" s="193" t="s">
        <v>529</v>
      </c>
      <c r="C203" s="200">
        <f>C197*C38/C149/C201</f>
        <v>396.83736535320946</v>
      </c>
      <c r="D203" s="192" t="s">
        <v>140</v>
      </c>
    </row>
  </sheetData>
  <mergeCells count="6">
    <mergeCell ref="A142:C142"/>
    <mergeCell ref="A1:P2"/>
    <mergeCell ref="M14:M16"/>
    <mergeCell ref="A109:F110"/>
    <mergeCell ref="A112:C112"/>
    <mergeCell ref="A117:B117"/>
  </mergeCells>
  <pageMargins left="0.7" right="0.7" top="0.75" bottom="0.75" header="0.3" footer="0.3"/>
  <pageSetup paperSize="9" orientation="landscape" verticalDpi="4294967295" r:id="rId1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 sizeWithCells="1">
              <from>
                <xdr:col>26</xdr:col>
                <xdr:colOff>434340</xdr:colOff>
                <xdr:row>84</xdr:row>
                <xdr:rowOff>38100</xdr:rowOff>
              </from>
              <to>
                <xdr:col>30</xdr:col>
                <xdr:colOff>327660</xdr:colOff>
                <xdr:row>92</xdr:row>
                <xdr:rowOff>129540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4952-1868-40AB-8D46-96348A364044}">
  <dimension ref="A1:M133"/>
  <sheetViews>
    <sheetView zoomScale="80" zoomScaleNormal="80" workbookViewId="0">
      <selection activeCell="B103" sqref="B103"/>
    </sheetView>
  </sheetViews>
  <sheetFormatPr defaultColWidth="8.77734375" defaultRowHeight="14.4"/>
  <cols>
    <col min="1" max="1" width="41" customWidth="1"/>
    <col min="2" max="2" width="12.44140625" customWidth="1"/>
    <col min="3" max="3" width="11.77734375" customWidth="1"/>
    <col min="4" max="4" width="10.6640625" customWidth="1"/>
    <col min="5" max="5" width="13.6640625" customWidth="1"/>
    <col min="8" max="8" width="7.77734375" bestFit="1" customWidth="1"/>
    <col min="10" max="10" width="12.44140625" customWidth="1"/>
    <col min="11" max="11" width="22.77734375" customWidth="1"/>
  </cols>
  <sheetData>
    <row r="1" spans="1:12">
      <c r="A1" s="246" t="s">
        <v>1034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</row>
    <row r="2" spans="1:12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</row>
    <row r="4" spans="1:12">
      <c r="A4" s="122" t="s">
        <v>1035</v>
      </c>
    </row>
    <row r="6" spans="1:12">
      <c r="A6" t="s">
        <v>1036</v>
      </c>
      <c r="B6" s="132" t="s">
        <v>1037</v>
      </c>
      <c r="C6" s="133">
        <v>282</v>
      </c>
      <c r="D6" t="s">
        <v>14</v>
      </c>
      <c r="E6">
        <f>C6-273</f>
        <v>9</v>
      </c>
      <c r="F6" t="s">
        <v>13</v>
      </c>
    </row>
    <row r="7" spans="1:12">
      <c r="A7" t="s">
        <v>1039</v>
      </c>
      <c r="B7" s="132" t="s">
        <v>1038</v>
      </c>
      <c r="C7" s="133">
        <v>100000</v>
      </c>
      <c r="D7" t="s">
        <v>328</v>
      </c>
    </row>
    <row r="8" spans="1:12">
      <c r="A8" t="s">
        <v>1096</v>
      </c>
      <c r="B8" s="132" t="s">
        <v>1097</v>
      </c>
      <c r="C8">
        <f>(300.6 - (300-C6)*40.5/40)*10^3</f>
        <v>282375</v>
      </c>
      <c r="D8" t="s">
        <v>815</v>
      </c>
    </row>
    <row r="9" spans="1:12">
      <c r="A9" t="s">
        <v>1098</v>
      </c>
      <c r="B9" s="132" t="s">
        <v>1099</v>
      </c>
      <c r="C9">
        <f>(6.8726-(300-C6)*0.145/40)*10^3</f>
        <v>6807.35</v>
      </c>
      <c r="D9" t="s">
        <v>815</v>
      </c>
      <c r="E9">
        <v>6839.9750000000004</v>
      </c>
    </row>
    <row r="10" spans="1:12">
      <c r="A10" t="s">
        <v>84</v>
      </c>
      <c r="B10" s="132" t="s">
        <v>74</v>
      </c>
      <c r="C10">
        <f>'Parte S'!C46</f>
        <v>289.86472544039236</v>
      </c>
      <c r="D10" t="s">
        <v>14</v>
      </c>
      <c r="E10">
        <v>16.864725440392363</v>
      </c>
      <c r="F10" t="s">
        <v>13</v>
      </c>
    </row>
    <row r="11" spans="1:12">
      <c r="A11" t="s">
        <v>92</v>
      </c>
      <c r="B11" s="132" t="s">
        <v>18</v>
      </c>
      <c r="C11">
        <f>'Parte S'!E47</f>
        <v>305.14999999999998</v>
      </c>
      <c r="D11" t="s">
        <v>14</v>
      </c>
    </row>
    <row r="12" spans="1:12">
      <c r="A12" t="s">
        <v>66</v>
      </c>
      <c r="B12" s="132" t="s">
        <v>67</v>
      </c>
      <c r="C12">
        <f>'Parte S'!C66</f>
        <v>2030.0688249608897</v>
      </c>
      <c r="D12" t="s">
        <v>14</v>
      </c>
    </row>
    <row r="13" spans="1:12">
      <c r="A13" t="s">
        <v>75</v>
      </c>
      <c r="B13" s="132" t="s">
        <v>76</v>
      </c>
      <c r="C13">
        <f>'Parte S'!C68</f>
        <v>589.25036999329518</v>
      </c>
      <c r="D13" t="s">
        <v>14</v>
      </c>
    </row>
    <row r="14" spans="1:12">
      <c r="A14" t="s">
        <v>110</v>
      </c>
      <c r="B14" s="132" t="s">
        <v>48</v>
      </c>
      <c r="C14">
        <f>'Parte S'!C140</f>
        <v>2.2504044359267783E-2</v>
      </c>
      <c r="D14" t="s">
        <v>43</v>
      </c>
    </row>
    <row r="15" spans="1:12">
      <c r="A15" t="s">
        <v>100</v>
      </c>
      <c r="B15" s="132" t="s">
        <v>65</v>
      </c>
      <c r="C15">
        <f>'Parte S'!C141</f>
        <v>2.2697095948827162</v>
      </c>
      <c r="D15" t="s">
        <v>43</v>
      </c>
    </row>
    <row r="17" spans="1:12">
      <c r="A17" t="s">
        <v>496</v>
      </c>
      <c r="B17" s="132" t="s">
        <v>1100</v>
      </c>
      <c r="C17" s="70">
        <f>'Parte S'!N234</f>
        <v>34.869999999999386</v>
      </c>
      <c r="D17" t="s">
        <v>140</v>
      </c>
    </row>
    <row r="18" spans="1:12">
      <c r="A18" t="s">
        <v>1101</v>
      </c>
      <c r="B18" s="132" t="s">
        <v>1102</v>
      </c>
      <c r="C18" s="70">
        <f>'Parte S'!N243</f>
        <v>283.14999999999998</v>
      </c>
      <c r="D18" t="s">
        <v>14</v>
      </c>
    </row>
    <row r="20" spans="1:12">
      <c r="B20" s="132"/>
    </row>
    <row r="22" spans="1:12">
      <c r="B22" s="134">
        <v>1</v>
      </c>
      <c r="C22" s="134">
        <v>2</v>
      </c>
      <c r="D22" s="134">
        <v>3</v>
      </c>
      <c r="E22" s="134">
        <v>4</v>
      </c>
    </row>
    <row r="23" spans="1:12">
      <c r="A23" s="248" t="s">
        <v>1103</v>
      </c>
      <c r="B23" s="249" t="s">
        <v>1104</v>
      </c>
      <c r="C23" s="249" t="s">
        <v>1105</v>
      </c>
      <c r="D23" s="249" t="s">
        <v>1106</v>
      </c>
      <c r="E23" s="249" t="s">
        <v>1107</v>
      </c>
    </row>
    <row r="24" spans="1:12">
      <c r="A24" s="248"/>
      <c r="B24" s="250"/>
      <c r="C24" s="250"/>
      <c r="D24" s="250"/>
      <c r="E24" s="250"/>
    </row>
    <row r="25" spans="1:12">
      <c r="A25" s="109" t="s">
        <v>1108</v>
      </c>
      <c r="B25" s="135">
        <f>C14</f>
        <v>2.2504044359267783E-2</v>
      </c>
      <c r="C25" s="135">
        <f>B25</f>
        <v>2.2504044359267783E-2</v>
      </c>
      <c r="D25" s="135">
        <f>C15</f>
        <v>2.2697095948827162</v>
      </c>
      <c r="E25" s="135">
        <f>D25</f>
        <v>2.2697095948827162</v>
      </c>
      <c r="F25" s="109" t="s">
        <v>43</v>
      </c>
    </row>
    <row r="26" spans="1:12">
      <c r="A26" s="109" t="s">
        <v>1109</v>
      </c>
      <c r="B26" s="136">
        <f>C12</f>
        <v>2030.0688249608897</v>
      </c>
      <c r="C26" s="136">
        <f>C13</f>
        <v>589.25036999329518</v>
      </c>
      <c r="D26" s="136">
        <f>C10</f>
        <v>289.86472544039236</v>
      </c>
      <c r="E26" s="136">
        <f>C11</f>
        <v>305.14999999999998</v>
      </c>
      <c r="F26" s="109" t="s">
        <v>14</v>
      </c>
    </row>
    <row r="27" spans="1:12">
      <c r="A27" s="109" t="s">
        <v>1110</v>
      </c>
      <c r="B27" s="114">
        <f>10^5</f>
        <v>100000</v>
      </c>
      <c r="C27" s="114">
        <f t="shared" ref="C27:E27" si="0">10^5</f>
        <v>100000</v>
      </c>
      <c r="D27" s="114">
        <f t="shared" si="0"/>
        <v>100000</v>
      </c>
      <c r="E27" s="114">
        <f t="shared" si="0"/>
        <v>100000</v>
      </c>
      <c r="F27" s="109" t="s">
        <v>328</v>
      </c>
    </row>
    <row r="28" spans="1:12">
      <c r="A28" s="109" t="s">
        <v>1111</v>
      </c>
      <c r="B28" s="136">
        <v>2290650</v>
      </c>
      <c r="C28" s="109">
        <v>597320</v>
      </c>
      <c r="D28" s="136">
        <v>290338</v>
      </c>
      <c r="E28" s="136">
        <v>305812</v>
      </c>
      <c r="F28" s="109" t="s">
        <v>815</v>
      </c>
    </row>
    <row r="29" spans="1:12">
      <c r="A29" s="109" t="s">
        <v>1112</v>
      </c>
      <c r="B29" s="136">
        <v>8989.4</v>
      </c>
      <c r="C29" s="136">
        <v>7560</v>
      </c>
      <c r="D29" s="136">
        <v>6836.9</v>
      </c>
      <c r="E29" s="136">
        <v>6887.5</v>
      </c>
      <c r="F29" s="109" t="s">
        <v>683</v>
      </c>
      <c r="I29" s="251" t="s">
        <v>1113</v>
      </c>
      <c r="J29" s="251"/>
      <c r="K29" s="109">
        <v>300</v>
      </c>
      <c r="L29" s="111">
        <v>300.60000000000002</v>
      </c>
    </row>
    <row r="30" spans="1:12">
      <c r="A30" s="109" t="s">
        <v>1114</v>
      </c>
      <c r="B30" s="135">
        <f>(1-C6/C18)</f>
        <v>4.0614515274588481E-3</v>
      </c>
      <c r="C30" s="135">
        <f>(1-C6/C18)</f>
        <v>4.0614515274588481E-3</v>
      </c>
      <c r="D30" s="135">
        <f>(1-C6/C18)</f>
        <v>4.0614515274588481E-3</v>
      </c>
      <c r="E30" s="135">
        <f>(1-C6/C18)</f>
        <v>4.0614515274588481E-3</v>
      </c>
      <c r="F30" s="109"/>
      <c r="I30" s="252">
        <f>_xlfn.FORECAST.LINEAR(E26,L29:L30,K29:K30)</f>
        <v>305.81180000000001</v>
      </c>
      <c r="J30" s="253"/>
      <c r="K30" s="109">
        <v>400</v>
      </c>
      <c r="L30" s="111">
        <v>401.8</v>
      </c>
    </row>
    <row r="31" spans="1:12">
      <c r="A31" s="109" t="s">
        <v>1115</v>
      </c>
      <c r="B31" s="254">
        <f>-$C$17*B30</f>
        <v>-0.14162281476248753</v>
      </c>
      <c r="C31" s="255"/>
      <c r="D31" s="255"/>
      <c r="E31" s="256"/>
      <c r="F31" s="109" t="s">
        <v>140</v>
      </c>
    </row>
    <row r="32" spans="1:12">
      <c r="A32" s="109" t="s">
        <v>1116</v>
      </c>
      <c r="B32" s="109">
        <f>(B28-$C$8-$C$6*(B29-$C$9))</f>
        <v>1392936.9000000004</v>
      </c>
      <c r="C32" s="109">
        <f>(C28-$C$8-$C$6*(C29-$C$9))</f>
        <v>102697.7000000001</v>
      </c>
      <c r="D32" s="109">
        <f>(D28-$C$8-$C$6*(D29-$C$9))</f>
        <v>-370.09999999979482</v>
      </c>
      <c r="E32" s="109">
        <f>(E28-$C$8-$C$6*(E29-$C$9))</f>
        <v>834.70000000010259</v>
      </c>
      <c r="F32" s="109" t="s">
        <v>815</v>
      </c>
    </row>
    <row r="33" spans="1:13">
      <c r="A33" s="109" t="s">
        <v>1117</v>
      </c>
      <c r="B33" s="136">
        <f>B25*B32</f>
        <v>31346.71378726096</v>
      </c>
      <c r="C33" s="136">
        <f>C25*C32</f>
        <v>2311.1135963947772</v>
      </c>
      <c r="D33" s="136">
        <f>D25*D32</f>
        <v>-840.0195210656276</v>
      </c>
      <c r="E33" s="136">
        <f>E25*E32</f>
        <v>1894.5265988488361</v>
      </c>
      <c r="F33" s="136" t="s">
        <v>140</v>
      </c>
    </row>
    <row r="34" spans="1:13">
      <c r="A34" s="109" t="s">
        <v>1118</v>
      </c>
      <c r="B34" s="254">
        <f>C33-B33</f>
        <v>-29035.600190866182</v>
      </c>
      <c r="C34" s="256"/>
      <c r="D34" s="254">
        <f>E33-D33</f>
        <v>2734.5461199144638</v>
      </c>
      <c r="E34" s="256"/>
      <c r="F34" s="109" t="s">
        <v>140</v>
      </c>
    </row>
    <row r="36" spans="1:13">
      <c r="A36" s="109" t="s">
        <v>1119</v>
      </c>
      <c r="B36" s="137">
        <f>-B34-D34+B31</f>
        <v>26300.912448136958</v>
      </c>
      <c r="C36" s="136" t="s">
        <v>140</v>
      </c>
      <c r="D36" s="138"/>
      <c r="E36" s="138"/>
    </row>
    <row r="37" spans="1:13">
      <c r="A37" s="139" t="s">
        <v>1120</v>
      </c>
      <c r="B37" s="140">
        <f>(1-B36/-(B34+B31))*100</f>
        <v>9.4188375936563808</v>
      </c>
      <c r="C37" s="141" t="s">
        <v>743</v>
      </c>
      <c r="D37" s="138"/>
      <c r="E37" s="138"/>
    </row>
    <row r="38" spans="1:13">
      <c r="B38" s="70"/>
      <c r="C38" s="138"/>
      <c r="D38" s="138"/>
      <c r="E38" s="138"/>
    </row>
    <row r="39" spans="1:13" ht="15" thickBot="1">
      <c r="B39" s="70"/>
      <c r="C39" s="138"/>
      <c r="D39" s="138"/>
      <c r="E39" s="138"/>
    </row>
    <row r="40" spans="1:13">
      <c r="A40" s="153" t="s">
        <v>1121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6"/>
    </row>
    <row r="41" spans="1:13">
      <c r="A41" s="157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8"/>
    </row>
    <row r="42" spans="1:13" ht="15.6">
      <c r="A42" s="159" t="s">
        <v>1164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8"/>
    </row>
    <row r="43" spans="1:13">
      <c r="A43" s="157"/>
      <c r="B43" s="160"/>
      <c r="C43" s="160"/>
      <c r="D43" s="160"/>
      <c r="E43" s="160"/>
      <c r="F43" s="160"/>
      <c r="G43" s="160"/>
      <c r="H43" s="154"/>
      <c r="I43" s="154"/>
      <c r="J43" s="154"/>
      <c r="K43" s="154"/>
      <c r="L43" s="154"/>
      <c r="M43" s="158"/>
    </row>
    <row r="44" spans="1:13" ht="15.6">
      <c r="A44" s="161" t="s">
        <v>1122</v>
      </c>
      <c r="B44" s="162" t="s">
        <v>1165</v>
      </c>
      <c r="C44" s="162" t="s">
        <v>1166</v>
      </c>
      <c r="D44" s="162" t="s">
        <v>1167</v>
      </c>
      <c r="E44" s="162" t="s">
        <v>1168</v>
      </c>
      <c r="F44" s="162" t="s">
        <v>1169</v>
      </c>
      <c r="G44" s="162" t="s">
        <v>1123</v>
      </c>
      <c r="H44" s="162" t="s">
        <v>1170</v>
      </c>
      <c r="I44" s="162" t="s">
        <v>1124</v>
      </c>
      <c r="J44" s="154"/>
      <c r="K44" s="154"/>
      <c r="L44" s="154"/>
      <c r="M44" s="158"/>
    </row>
    <row r="45" spans="1:13" ht="15.6">
      <c r="A45" s="157" t="s">
        <v>1171</v>
      </c>
      <c r="B45" s="142">
        <v>-74850</v>
      </c>
      <c r="C45" s="142">
        <v>0</v>
      </c>
      <c r="D45" s="142">
        <v>-241820</v>
      </c>
      <c r="E45" s="142">
        <v>-285830</v>
      </c>
      <c r="F45" s="142">
        <v>-393520</v>
      </c>
      <c r="G45" s="142">
        <v>-110530</v>
      </c>
      <c r="H45" s="142">
        <v>0</v>
      </c>
      <c r="I45" s="142">
        <v>0</v>
      </c>
      <c r="J45" s="121" t="s">
        <v>1125</v>
      </c>
      <c r="K45" s="154"/>
      <c r="L45" s="154"/>
      <c r="M45" s="158"/>
    </row>
    <row r="46" spans="1:13" ht="15.6">
      <c r="A46" s="157" t="s">
        <v>1172</v>
      </c>
      <c r="B46" s="142">
        <v>186.16</v>
      </c>
      <c r="C46" s="142">
        <v>205.03</v>
      </c>
      <c r="D46" s="142">
        <v>188.72</v>
      </c>
      <c r="E46" s="142">
        <v>69.95</v>
      </c>
      <c r="F46" s="142">
        <v>213.69</v>
      </c>
      <c r="G46" s="142">
        <v>197.59</v>
      </c>
      <c r="H46" s="142">
        <v>130.57</v>
      </c>
      <c r="I46" s="142">
        <v>5.74</v>
      </c>
      <c r="J46" s="121" t="s">
        <v>1126</v>
      </c>
      <c r="K46" s="154"/>
      <c r="L46" s="154"/>
      <c r="M46" s="158"/>
    </row>
    <row r="47" spans="1:13">
      <c r="A47" s="157" t="s">
        <v>1127</v>
      </c>
      <c r="B47" s="143"/>
      <c r="C47" s="143"/>
      <c r="D47" s="143"/>
      <c r="E47" s="143"/>
      <c r="F47" s="143"/>
      <c r="G47" s="143"/>
      <c r="H47" s="143"/>
      <c r="I47" s="144"/>
      <c r="J47" s="121"/>
      <c r="K47" s="154"/>
      <c r="L47" s="154"/>
      <c r="M47" s="158"/>
    </row>
    <row r="48" spans="1:13">
      <c r="A48" s="157" t="s">
        <v>1128</v>
      </c>
      <c r="B48" s="142">
        <v>16.04</v>
      </c>
      <c r="C48" s="145">
        <v>32</v>
      </c>
      <c r="D48" s="142">
        <v>18.02</v>
      </c>
      <c r="E48" s="142">
        <v>18.02</v>
      </c>
      <c r="F48" s="142">
        <v>44.01</v>
      </c>
      <c r="G48" s="142">
        <v>28.01</v>
      </c>
      <c r="H48" s="121"/>
      <c r="I48" s="121"/>
      <c r="J48" s="121" t="s">
        <v>1129</v>
      </c>
      <c r="K48" s="154"/>
      <c r="L48" s="154"/>
      <c r="M48" s="158"/>
    </row>
    <row r="49" spans="1:13">
      <c r="A49" s="157"/>
      <c r="B49" s="121"/>
      <c r="C49" s="121"/>
      <c r="D49" s="121"/>
      <c r="E49" s="121"/>
      <c r="F49" s="121"/>
      <c r="G49" s="121"/>
      <c r="H49" s="121"/>
      <c r="I49" s="121"/>
      <c r="J49" s="121"/>
      <c r="K49" s="154"/>
      <c r="L49" s="154"/>
      <c r="M49" s="158"/>
    </row>
    <row r="50" spans="1:13" ht="15.6">
      <c r="A50" s="157" t="s">
        <v>1173</v>
      </c>
      <c r="B50" s="145">
        <f>-(2*D45+F45-B45-2*C45)/B48/1000</f>
        <v>50.019326683291773</v>
      </c>
      <c r="C50" s="154" t="s">
        <v>1130</v>
      </c>
      <c r="D50" s="146" t="s">
        <v>1131</v>
      </c>
      <c r="E50" s="146" t="s">
        <v>1132</v>
      </c>
      <c r="F50" s="146"/>
      <c r="G50" s="146"/>
      <c r="H50" s="121"/>
      <c r="I50" s="121"/>
      <c r="J50" s="121"/>
      <c r="K50" s="154"/>
      <c r="L50" s="154"/>
      <c r="M50" s="158"/>
    </row>
    <row r="51" spans="1:13" ht="15.6">
      <c r="A51" s="157" t="s">
        <v>1174</v>
      </c>
      <c r="B51" s="145">
        <f>-(2*E45+F45-B45-2*C45)/B48/1000</f>
        <v>55.506857855361602</v>
      </c>
      <c r="C51" s="154" t="s">
        <v>1130</v>
      </c>
      <c r="D51" s="146" t="s">
        <v>1133</v>
      </c>
      <c r="E51" s="146" t="s">
        <v>1134</v>
      </c>
      <c r="F51" s="146"/>
      <c r="G51" s="146"/>
      <c r="H51" s="121"/>
      <c r="I51" s="121"/>
      <c r="J51" s="121"/>
      <c r="K51" s="154"/>
      <c r="L51" s="201"/>
      <c r="M51" s="158"/>
    </row>
    <row r="52" spans="1:13" ht="15.6">
      <c r="A52" s="157" t="s">
        <v>1135</v>
      </c>
      <c r="B52" s="145">
        <f>2*D46+F46-B46-2*C46</f>
        <v>-5.089999999999975</v>
      </c>
      <c r="C52" s="154"/>
      <c r="D52" s="146" t="s">
        <v>1136</v>
      </c>
      <c r="E52" s="146" t="s">
        <v>1137</v>
      </c>
      <c r="F52" s="146"/>
      <c r="G52" s="146"/>
      <c r="H52" s="121"/>
      <c r="I52" s="121"/>
      <c r="J52" s="121"/>
      <c r="K52" s="154"/>
      <c r="L52" s="201"/>
      <c r="M52" s="158"/>
    </row>
    <row r="53" spans="1:13" ht="15.6">
      <c r="A53" s="157" t="s">
        <v>1130</v>
      </c>
      <c r="B53" s="145">
        <f>B50-H56*B52/1000</f>
        <v>51.536910183291766</v>
      </c>
      <c r="C53" s="154"/>
      <c r="D53" s="146" t="s">
        <v>1138</v>
      </c>
      <c r="E53" s="146" t="s">
        <v>1139</v>
      </c>
      <c r="F53" s="146"/>
      <c r="G53" s="146"/>
      <c r="H53" s="146"/>
      <c r="I53" s="121"/>
      <c r="J53" s="154"/>
      <c r="L53" s="202"/>
      <c r="M53" s="158"/>
    </row>
    <row r="54" spans="1:13">
      <c r="A54" s="157"/>
      <c r="B54" s="165"/>
      <c r="C54" s="166"/>
      <c r="D54" s="167"/>
      <c r="E54" s="167"/>
      <c r="F54" s="154"/>
      <c r="G54" s="154"/>
      <c r="H54" s="154"/>
      <c r="I54" s="154"/>
      <c r="J54" s="154"/>
      <c r="K54" s="154"/>
      <c r="L54" s="154"/>
      <c r="M54" s="158"/>
    </row>
    <row r="55" spans="1:13" ht="15.6">
      <c r="A55" s="168" t="s">
        <v>1141</v>
      </c>
      <c r="B55" s="169" t="s">
        <v>1175</v>
      </c>
      <c r="C55" s="170" t="s">
        <v>1176</v>
      </c>
      <c r="D55" s="170" t="s">
        <v>1177</v>
      </c>
      <c r="E55" s="170" t="s">
        <v>1178</v>
      </c>
      <c r="F55" s="170" t="s">
        <v>1142</v>
      </c>
      <c r="G55" s="154"/>
      <c r="H55" s="171" t="s">
        <v>1179</v>
      </c>
      <c r="I55" s="170" t="s">
        <v>1180</v>
      </c>
      <c r="J55" s="154"/>
      <c r="K55" s="154"/>
      <c r="L55" s="154"/>
      <c r="M55" s="158"/>
    </row>
    <row r="56" spans="1:13">
      <c r="A56" s="157"/>
      <c r="B56" s="172">
        <v>0.20349999999999999</v>
      </c>
      <c r="C56" s="173">
        <v>2.9999999999999997E-4</v>
      </c>
      <c r="D56" s="173">
        <v>3.1199999999999999E-2</v>
      </c>
      <c r="E56" s="174">
        <v>0.76</v>
      </c>
      <c r="F56" s="173">
        <v>8.3000000000000001E-3</v>
      </c>
      <c r="G56" s="121"/>
      <c r="H56" s="175">
        <v>298.14999999999998</v>
      </c>
      <c r="I56" s="176">
        <v>1.01325</v>
      </c>
      <c r="J56" s="154"/>
      <c r="K56" s="154"/>
      <c r="L56" s="154"/>
      <c r="M56" s="158"/>
    </row>
    <row r="57" spans="1:13">
      <c r="A57" s="157"/>
      <c r="B57" s="177"/>
      <c r="C57" s="177"/>
      <c r="D57" s="177"/>
      <c r="E57" s="178"/>
      <c r="F57" s="177"/>
      <c r="G57" s="154"/>
      <c r="H57" s="131"/>
      <c r="I57" s="131"/>
      <c r="J57" s="154"/>
      <c r="K57" s="154"/>
      <c r="L57" s="154"/>
      <c r="M57" s="158"/>
    </row>
    <row r="58" spans="1:13">
      <c r="A58" s="179" t="s">
        <v>1143</v>
      </c>
      <c r="B58" s="180" t="s">
        <v>1144</v>
      </c>
      <c r="C58" s="180" t="s">
        <v>204</v>
      </c>
      <c r="D58" s="181"/>
      <c r="E58" s="182"/>
      <c r="F58" s="182"/>
      <c r="G58" s="182"/>
      <c r="H58" s="131"/>
      <c r="I58" s="131"/>
      <c r="J58" s="154"/>
      <c r="K58" s="154"/>
      <c r="L58" s="154"/>
      <c r="M58" s="158"/>
    </row>
    <row r="59" spans="1:13">
      <c r="A59" s="157"/>
      <c r="B59" s="183">
        <v>1</v>
      </c>
      <c r="C59" s="184">
        <v>4</v>
      </c>
      <c r="D59" s="177"/>
      <c r="E59" s="178"/>
      <c r="F59" s="177"/>
      <c r="G59" s="154"/>
      <c r="H59" s="131"/>
      <c r="I59" s="131"/>
      <c r="J59" s="154"/>
      <c r="K59" s="154"/>
      <c r="L59" s="154"/>
      <c r="M59" s="158"/>
    </row>
    <row r="60" spans="1:13">
      <c r="A60" s="157"/>
      <c r="B60" s="177"/>
      <c r="C60" s="177"/>
      <c r="D60" s="177"/>
      <c r="E60" s="178"/>
      <c r="F60" s="177"/>
      <c r="G60" s="154"/>
      <c r="H60" s="131"/>
      <c r="I60" s="131"/>
      <c r="J60" s="154"/>
      <c r="K60" s="154"/>
      <c r="L60" s="154"/>
      <c r="M60" s="158"/>
    </row>
    <row r="61" spans="1:13" ht="15.6">
      <c r="A61" s="157" t="s">
        <v>1181</v>
      </c>
      <c r="B61" s="148">
        <f>8.314*H56*LN((B56/100)^(B59+C59/4)/((C56/100)^B59*(D56/100)^(C59/2)))/1000000*B48</f>
        <v>0.65474784357756677</v>
      </c>
      <c r="C61" s="154" t="s">
        <v>1130</v>
      </c>
      <c r="D61" s="177"/>
      <c r="E61" s="185"/>
      <c r="F61" s="177"/>
      <c r="G61" s="154"/>
      <c r="H61" s="154"/>
      <c r="I61" s="154"/>
      <c r="J61" s="154"/>
      <c r="K61" s="163" t="s">
        <v>1140</v>
      </c>
      <c r="L61" s="147">
        <f>B50*(1.033+0.0169*C59/B59-0.0698/B59)</f>
        <v>51.559921945137155</v>
      </c>
      <c r="M61" s="164" t="s">
        <v>1130</v>
      </c>
    </row>
    <row r="62" spans="1:13" ht="16.2" thickBot="1">
      <c r="A62" s="186" t="s">
        <v>1182</v>
      </c>
      <c r="B62" s="149">
        <f>B53+B61</f>
        <v>52.191658026869334</v>
      </c>
      <c r="C62" s="187" t="s">
        <v>1130</v>
      </c>
      <c r="D62" s="188"/>
      <c r="E62" s="189"/>
      <c r="F62" s="187"/>
      <c r="G62" s="187"/>
      <c r="H62" s="187"/>
      <c r="I62" s="187"/>
      <c r="J62" s="187"/>
      <c r="K62" s="187"/>
      <c r="L62" s="187"/>
      <c r="M62" s="190"/>
    </row>
    <row r="63" spans="1:13">
      <c r="B63" s="70"/>
      <c r="C63" s="138"/>
      <c r="D63" s="138"/>
      <c r="E63" s="138"/>
    </row>
    <row r="64" spans="1:13">
      <c r="B64" s="70"/>
      <c r="C64" s="138"/>
      <c r="D64" s="138"/>
      <c r="E64" s="138"/>
    </row>
    <row r="65" spans="1:5">
      <c r="A65" s="60" t="s">
        <v>1208</v>
      </c>
      <c r="B65" s="70"/>
      <c r="C65" s="138"/>
      <c r="D65" s="138"/>
      <c r="E65" s="138"/>
    </row>
    <row r="66" spans="1:5">
      <c r="B66" s="70"/>
      <c r="C66" s="138"/>
      <c r="D66" s="138"/>
      <c r="E66" s="138"/>
    </row>
    <row r="67" spans="1:5">
      <c r="B67" s="204" t="s">
        <v>1209</v>
      </c>
      <c r="C67" s="203"/>
      <c r="D67" s="138"/>
      <c r="E67" s="138"/>
    </row>
    <row r="68" spans="1:5">
      <c r="A68" t="s">
        <v>1211</v>
      </c>
      <c r="B68" s="70">
        <f>(B69+B70)/2</f>
        <v>52.75</v>
      </c>
      <c r="C68" s="138" t="s">
        <v>1130</v>
      </c>
      <c r="D68" s="138"/>
      <c r="E68" s="138"/>
    </row>
    <row r="69" spans="1:5">
      <c r="A69" s="74" t="s">
        <v>1212</v>
      </c>
      <c r="B69" s="70">
        <v>55.5</v>
      </c>
      <c r="C69" s="138" t="s">
        <v>1130</v>
      </c>
      <c r="D69" s="138"/>
      <c r="E69" s="138"/>
    </row>
    <row r="70" spans="1:5">
      <c r="A70" s="74" t="s">
        <v>1213</v>
      </c>
      <c r="B70" s="70">
        <v>50</v>
      </c>
      <c r="C70" s="138" t="s">
        <v>1130</v>
      </c>
      <c r="D70" s="138"/>
      <c r="E70" s="138"/>
    </row>
    <row r="71" spans="1:5">
      <c r="A71" s="205" t="s">
        <v>1215</v>
      </c>
      <c r="B71" s="67">
        <f>'Parte S'!C31</f>
        <v>8.4127268632776774E-4</v>
      </c>
      <c r="C71" s="138" t="s">
        <v>43</v>
      </c>
      <c r="D71" s="138"/>
      <c r="E71" s="138"/>
    </row>
    <row r="72" spans="1:5">
      <c r="A72" s="205" t="s">
        <v>1220</v>
      </c>
      <c r="B72" s="63">
        <f>L61*B71</f>
        <v>4.3375954041635557E-2</v>
      </c>
      <c r="C72" s="138" t="s">
        <v>1224</v>
      </c>
      <c r="D72" s="138"/>
      <c r="E72" s="138"/>
    </row>
    <row r="73" spans="1:5">
      <c r="D73" s="138"/>
      <c r="E73" s="138"/>
    </row>
    <row r="74" spans="1:5">
      <c r="A74" s="202" t="s">
        <v>1214</v>
      </c>
      <c r="B74" s="70">
        <v>0</v>
      </c>
      <c r="C74" s="138" t="s">
        <v>1130</v>
      </c>
      <c r="D74" s="138"/>
      <c r="E74" s="138"/>
    </row>
    <row r="75" spans="1:5">
      <c r="A75" s="205" t="s">
        <v>1221</v>
      </c>
      <c r="B75" s="70">
        <v>0</v>
      </c>
      <c r="C75" s="138" t="s">
        <v>140</v>
      </c>
      <c r="D75" s="138"/>
      <c r="E75" s="138"/>
    </row>
    <row r="76" spans="1:5">
      <c r="A76" s="205"/>
      <c r="B76" s="70"/>
      <c r="C76" s="138"/>
      <c r="D76" s="138"/>
      <c r="E76" s="138"/>
    </row>
    <row r="77" spans="1:5">
      <c r="A77" s="202"/>
      <c r="B77" s="70"/>
      <c r="C77" s="138"/>
      <c r="D77" s="138"/>
      <c r="E77" s="138"/>
    </row>
    <row r="78" spans="1:5">
      <c r="B78" s="204" t="s">
        <v>1210</v>
      </c>
      <c r="C78" s="138"/>
      <c r="D78" s="138"/>
      <c r="E78" s="138"/>
    </row>
    <row r="79" spans="1:5">
      <c r="A79" s="202" t="s">
        <v>1216</v>
      </c>
      <c r="B79" s="70">
        <v>0</v>
      </c>
      <c r="C79" s="138" t="s">
        <v>1130</v>
      </c>
      <c r="D79" s="138"/>
      <c r="E79" s="138"/>
    </row>
    <row r="80" spans="1:5">
      <c r="A80" s="202" t="s">
        <v>1218</v>
      </c>
      <c r="B80" s="70">
        <f>'Parte S'!C33</f>
        <v>2.2504044359267783E-2</v>
      </c>
      <c r="C80" s="138" t="s">
        <v>43</v>
      </c>
      <c r="E80" s="138"/>
    </row>
    <row r="81" spans="1:5">
      <c r="A81" s="205" t="s">
        <v>1220</v>
      </c>
      <c r="B81" s="2">
        <f>B79*B80</f>
        <v>0</v>
      </c>
      <c r="C81" t="s">
        <v>1224</v>
      </c>
      <c r="E81" s="138"/>
    </row>
    <row r="82" spans="1:5">
      <c r="E82" s="138"/>
    </row>
    <row r="83" spans="1:5">
      <c r="A83" s="205" t="s">
        <v>1217</v>
      </c>
      <c r="B83" s="70">
        <f>(B86-$C$8-$C$6*(B87-$C$9))/10^6</f>
        <v>1.3929369000000005</v>
      </c>
      <c r="C83" s="138" t="s">
        <v>1130</v>
      </c>
      <c r="E83" s="138"/>
    </row>
    <row r="84" spans="1:5">
      <c r="A84" s="207" t="s">
        <v>1219</v>
      </c>
      <c r="B84" s="70">
        <f>'Parte S'!C66</f>
        <v>2030.0688249608897</v>
      </c>
      <c r="C84" s="138" t="s">
        <v>43</v>
      </c>
      <c r="E84" s="138"/>
    </row>
    <row r="85" spans="1:5">
      <c r="A85" s="207" t="s">
        <v>1110</v>
      </c>
      <c r="B85" s="128">
        <f>10^5</f>
        <v>100000</v>
      </c>
      <c r="C85" s="202" t="s">
        <v>328</v>
      </c>
      <c r="E85" s="138"/>
    </row>
    <row r="86" spans="1:5">
      <c r="A86" s="207" t="s">
        <v>1111</v>
      </c>
      <c r="B86" s="206">
        <v>2290650</v>
      </c>
      <c r="C86" s="202" t="s">
        <v>815</v>
      </c>
      <c r="E86" s="138"/>
    </row>
    <row r="87" spans="1:5">
      <c r="A87" s="207" t="s">
        <v>1112</v>
      </c>
      <c r="B87" s="206">
        <v>8989.4</v>
      </c>
      <c r="C87" s="202" t="s">
        <v>683</v>
      </c>
      <c r="E87" s="138"/>
    </row>
    <row r="88" spans="1:5">
      <c r="A88" s="207" t="s">
        <v>1115</v>
      </c>
      <c r="B88" s="70">
        <v>0</v>
      </c>
      <c r="C88" s="138" t="s">
        <v>140</v>
      </c>
      <c r="D88" s="138"/>
      <c r="E88" s="138"/>
    </row>
    <row r="89" spans="1:5">
      <c r="A89" s="205" t="s">
        <v>1221</v>
      </c>
      <c r="B89" s="70">
        <f>B80*B83*10^6</f>
        <v>31346.713787260964</v>
      </c>
      <c r="C89" s="138" t="s">
        <v>140</v>
      </c>
      <c r="D89" s="138"/>
      <c r="E89" s="138"/>
    </row>
    <row r="90" spans="1:5">
      <c r="D90" s="138"/>
      <c r="E90" s="138"/>
    </row>
    <row r="91" spans="1:5">
      <c r="A91" s="208" t="s">
        <v>1222</v>
      </c>
      <c r="B91" s="2">
        <f>B89-B75</f>
        <v>31346.713787260964</v>
      </c>
      <c r="C91" t="s">
        <v>140</v>
      </c>
      <c r="D91" s="138"/>
      <c r="E91" s="138"/>
    </row>
    <row r="92" spans="1:5">
      <c r="A92" s="208" t="s">
        <v>1223</v>
      </c>
      <c r="B92" s="2">
        <f>(-B72+B81)*10^6</f>
        <v>-43375.954041635559</v>
      </c>
      <c r="C92" t="s">
        <v>140</v>
      </c>
      <c r="D92" s="138"/>
      <c r="E92" s="138"/>
    </row>
    <row r="93" spans="1:5">
      <c r="A93" s="3" t="s">
        <v>1119</v>
      </c>
      <c r="B93" s="209">
        <f>-(B92+B91)</f>
        <v>12029.240254374596</v>
      </c>
      <c r="C93" s="75" t="s">
        <v>140</v>
      </c>
      <c r="D93" s="138"/>
      <c r="E93" s="138"/>
    </row>
    <row r="94" spans="1:5">
      <c r="A94" s="210" t="s">
        <v>1149</v>
      </c>
      <c r="B94" s="211">
        <f>(1-B93/(-B92))*100</f>
        <v>72.267491239897552</v>
      </c>
      <c r="C94" s="3" t="s">
        <v>743</v>
      </c>
      <c r="D94" s="138"/>
      <c r="E94" s="138"/>
    </row>
    <row r="95" spans="1:5">
      <c r="D95" s="138"/>
      <c r="E95" s="138"/>
    </row>
    <row r="96" spans="1:5">
      <c r="B96" s="70"/>
      <c r="C96" s="138"/>
      <c r="D96" s="138"/>
      <c r="E96" s="138"/>
    </row>
    <row r="97" spans="1:5">
      <c r="A97" s="60" t="s">
        <v>1145</v>
      </c>
    </row>
    <row r="98" spans="1:5">
      <c r="B98" s="132"/>
    </row>
    <row r="99" spans="1:5">
      <c r="A99" s="258" t="s">
        <v>1146</v>
      </c>
      <c r="B99" s="259"/>
      <c r="C99" s="260"/>
    </row>
    <row r="100" spans="1:5">
      <c r="A100" s="109" t="s">
        <v>1147</v>
      </c>
      <c r="B100" s="140">
        <f>C15*'Parte S'!C99^2/2/'Parte S'!C247*100</f>
        <v>14.821316290616377</v>
      </c>
      <c r="C100" s="109" t="s">
        <v>743</v>
      </c>
    </row>
    <row r="101" spans="1:5">
      <c r="A101" s="109" t="s">
        <v>1119</v>
      </c>
      <c r="B101" s="150">
        <f>'Parte S'!C99^2/2*'Parte B'!C15</f>
        <v>237.50051104198261</v>
      </c>
      <c r="C101" s="109" t="s">
        <v>140</v>
      </c>
    </row>
    <row r="102" spans="1:5">
      <c r="A102" s="258" t="s">
        <v>1148</v>
      </c>
      <c r="B102" s="259"/>
      <c r="C102" s="260"/>
    </row>
    <row r="103" spans="1:5">
      <c r="A103" s="109" t="s">
        <v>1149</v>
      </c>
      <c r="B103" s="140">
        <f>C14*'Parte S'!C100^2/2/'Parte S'!C305*100</f>
        <v>0.41203001096158681</v>
      </c>
      <c r="C103" s="109" t="s">
        <v>743</v>
      </c>
    </row>
    <row r="104" spans="1:5">
      <c r="A104" s="109" t="s">
        <v>1119</v>
      </c>
      <c r="B104" s="150">
        <f>'Parte S'!C247-'Parte S'!C99^2/2*'Parte B'!C14</f>
        <v>1600.0704214836087</v>
      </c>
      <c r="C104" s="109" t="s">
        <v>140</v>
      </c>
      <c r="E104">
        <f>1-B104/'Parte S'!C305</f>
        <v>-79.366625788868092</v>
      </c>
    </row>
    <row r="105" spans="1:5">
      <c r="B105" s="132"/>
    </row>
    <row r="106" spans="1:5">
      <c r="B106" s="132"/>
    </row>
    <row r="107" spans="1:5">
      <c r="B107" s="132"/>
    </row>
    <row r="108" spans="1:5">
      <c r="A108" s="60" t="s">
        <v>1150</v>
      </c>
      <c r="B108" s="132"/>
    </row>
    <row r="109" spans="1:5">
      <c r="B109" s="132"/>
    </row>
    <row r="110" spans="1:5">
      <c r="A110" t="s">
        <v>1151</v>
      </c>
      <c r="B110" s="132" t="s">
        <v>57</v>
      </c>
      <c r="C110" s="70">
        <f>'Parte S'!C36</f>
        <v>2.1575095948827161</v>
      </c>
      <c r="D110" t="s">
        <v>43</v>
      </c>
    </row>
    <row r="111" spans="1:5">
      <c r="A111" t="s">
        <v>1152</v>
      </c>
      <c r="B111" s="132" t="s">
        <v>50</v>
      </c>
      <c r="C111" s="70">
        <f>'Parte S'!C34</f>
        <v>0.11220000000000001</v>
      </c>
      <c r="D111" t="s">
        <v>43</v>
      </c>
    </row>
    <row r="112" spans="1:5">
      <c r="A112" t="s">
        <v>1153</v>
      </c>
      <c r="B112" s="132" t="s">
        <v>65</v>
      </c>
      <c r="C112" s="70">
        <f>'Parte S'!C37</f>
        <v>2.2697095948827162</v>
      </c>
      <c r="D112" t="s">
        <v>43</v>
      </c>
    </row>
    <row r="113" spans="1:6">
      <c r="A113" t="s">
        <v>1154</v>
      </c>
      <c r="B113" s="132" t="s">
        <v>12</v>
      </c>
      <c r="C113" s="70">
        <f>'Parte S'!C45</f>
        <v>18</v>
      </c>
      <c r="D113" t="s">
        <v>13</v>
      </c>
      <c r="E113" s="70">
        <v>291</v>
      </c>
      <c r="F113" t="s">
        <v>14</v>
      </c>
    </row>
    <row r="114" spans="1:6">
      <c r="A114" t="s">
        <v>1155</v>
      </c>
      <c r="B114" s="132" t="s">
        <v>981</v>
      </c>
      <c r="C114" s="70">
        <v>5</v>
      </c>
      <c r="D114" t="s">
        <v>13</v>
      </c>
      <c r="E114" s="70">
        <v>278</v>
      </c>
      <c r="F114" t="s">
        <v>14</v>
      </c>
    </row>
    <row r="115" spans="1:6">
      <c r="A115" t="s">
        <v>1156</v>
      </c>
      <c r="B115" s="132" t="s">
        <v>74</v>
      </c>
      <c r="C115" s="70">
        <f>(C110*C113+C111*C114)/(C112)</f>
        <v>17.357362720196203</v>
      </c>
      <c r="D115" t="s">
        <v>13</v>
      </c>
      <c r="E115" s="70">
        <v>290.35736272019619</v>
      </c>
      <c r="F115" t="s">
        <v>14</v>
      </c>
    </row>
    <row r="116" spans="1:6">
      <c r="B116" s="132"/>
      <c r="C116" s="70"/>
    </row>
    <row r="117" spans="1:6">
      <c r="B117" s="132"/>
      <c r="C117" s="70"/>
    </row>
    <row r="118" spans="1:6">
      <c r="A118" s="249" t="s">
        <v>1157</v>
      </c>
      <c r="B118" s="249" t="s">
        <v>1158</v>
      </c>
      <c r="C118" s="249" t="s">
        <v>1159</v>
      </c>
      <c r="D118" s="249" t="s">
        <v>1160</v>
      </c>
      <c r="E118" s="151"/>
    </row>
    <row r="119" spans="1:6">
      <c r="A119" s="250"/>
      <c r="B119" s="250"/>
      <c r="C119" s="250"/>
      <c r="D119" s="250"/>
      <c r="E119" s="151"/>
    </row>
    <row r="120" spans="1:6">
      <c r="A120" s="109" t="s">
        <v>1108</v>
      </c>
      <c r="B120" s="135">
        <f>C110</f>
        <v>2.1575095948827161</v>
      </c>
      <c r="C120" s="135">
        <f>C111</f>
        <v>0.11220000000000001</v>
      </c>
      <c r="D120" s="135">
        <f>C112</f>
        <v>2.2697095948827162</v>
      </c>
      <c r="E120" s="109" t="s">
        <v>43</v>
      </c>
    </row>
    <row r="121" spans="1:6">
      <c r="A121" s="109" t="s">
        <v>1109</v>
      </c>
      <c r="B121" s="136">
        <f>E113</f>
        <v>291</v>
      </c>
      <c r="C121" s="136">
        <f>E114</f>
        <v>278</v>
      </c>
      <c r="D121" s="136">
        <f>E115</f>
        <v>290.35736272019619</v>
      </c>
      <c r="E121" s="109" t="s">
        <v>14</v>
      </c>
    </row>
    <row r="122" spans="1:6">
      <c r="A122" s="109" t="s">
        <v>1110</v>
      </c>
      <c r="B122" s="114">
        <f>10^5</f>
        <v>100000</v>
      </c>
      <c r="C122" s="114">
        <f t="shared" ref="C122:D122" si="1">10^5</f>
        <v>100000</v>
      </c>
      <c r="D122" s="114">
        <f t="shared" si="1"/>
        <v>100000</v>
      </c>
      <c r="E122" s="109" t="s">
        <v>328</v>
      </c>
    </row>
    <row r="123" spans="1:6">
      <c r="A123" s="109" t="s">
        <v>1111</v>
      </c>
      <c r="B123" s="114">
        <f>(300.6 - (300-B121)*40.5/40)*10^3</f>
        <v>291487.5</v>
      </c>
      <c r="C123" s="114">
        <f t="shared" ref="C123:D123" si="2">(300.6 - (300-C121)*40.5/40)*10^3</f>
        <v>278325.00000000006</v>
      </c>
      <c r="D123" s="114">
        <f t="shared" si="2"/>
        <v>290836.82975419867</v>
      </c>
      <c r="E123" s="109" t="s">
        <v>815</v>
      </c>
    </row>
    <row r="124" spans="1:6">
      <c r="A124" s="109" t="s">
        <v>1112</v>
      </c>
      <c r="B124" s="114">
        <f>(6.8726 - (300-B121)*0.145/40)*10^3</f>
        <v>6839.9750000000004</v>
      </c>
      <c r="C124" s="114">
        <f t="shared" ref="C124:D124" si="3">(6.8726 - (300-C121)*0.145/40)*10^3</f>
        <v>6792.85</v>
      </c>
      <c r="D124" s="114">
        <f t="shared" si="3"/>
        <v>6837.645439860712</v>
      </c>
      <c r="E124" s="109" t="s">
        <v>683</v>
      </c>
    </row>
    <row r="125" spans="1:6">
      <c r="A125" s="109" t="s">
        <v>1161</v>
      </c>
      <c r="B125" s="111">
        <f>B123-$C$8-$C$6*(B124-$C$9)</f>
        <v>-87.75</v>
      </c>
      <c r="C125" s="111">
        <f>C123-$C$8-$C$6*(C124-$C$9)</f>
        <v>39.000000000058208</v>
      </c>
      <c r="D125" s="111">
        <f>D123-$C$8-$C$6*(D124-$C$9)</f>
        <v>-81.484286522021648</v>
      </c>
      <c r="E125" s="109" t="s">
        <v>815</v>
      </c>
    </row>
    <row r="126" spans="1:6">
      <c r="A126" s="109" t="s">
        <v>1117</v>
      </c>
      <c r="B126" s="136">
        <f>B120*B125</f>
        <v>-189.32146695095832</v>
      </c>
      <c r="C126" s="136">
        <f t="shared" ref="C126:D126" si="4">C120*C125</f>
        <v>4.3758000000065316</v>
      </c>
      <c r="D126" s="136">
        <f t="shared" si="4"/>
        <v>-184.94566695120491</v>
      </c>
      <c r="E126" s="136" t="s">
        <v>140</v>
      </c>
    </row>
    <row r="128" spans="1:6">
      <c r="A128" t="s">
        <v>1162</v>
      </c>
      <c r="B128" s="152">
        <f>B126+C126-D126</f>
        <v>2.5312374418717809E-10</v>
      </c>
      <c r="C128" s="138" t="s">
        <v>140</v>
      </c>
      <c r="D128" s="257"/>
      <c r="E128" s="257"/>
    </row>
    <row r="129" spans="1:7">
      <c r="A129" t="s">
        <v>1163</v>
      </c>
      <c r="B129" s="77">
        <f>D126/(B126+C126)</f>
        <v>1.0000000000013687</v>
      </c>
      <c r="G129" s="138"/>
    </row>
    <row r="132" spans="1:7">
      <c r="A132" t="s">
        <v>1205</v>
      </c>
      <c r="B132" s="70">
        <f>B128+B104+B101+B36+B93</f>
        <v>40167.723635037401</v>
      </c>
      <c r="C132" t="s">
        <v>140</v>
      </c>
    </row>
    <row r="133" spans="1:7">
      <c r="A133" t="s">
        <v>1206</v>
      </c>
      <c r="B133" s="138">
        <f>(1-B132/('Parte S'!C247+'Parte S'!C305+L61*'Parte S'!C138*10^6))*100</f>
        <v>10.734997680744396</v>
      </c>
      <c r="C133" t="s">
        <v>743</v>
      </c>
    </row>
  </sheetData>
  <mergeCells count="18">
    <mergeCell ref="D118:D119"/>
    <mergeCell ref="D128:E128"/>
    <mergeCell ref="A99:C99"/>
    <mergeCell ref="A102:C102"/>
    <mergeCell ref="A118:A119"/>
    <mergeCell ref="B118:B119"/>
    <mergeCell ref="C118:C119"/>
    <mergeCell ref="I29:J29"/>
    <mergeCell ref="I30:J30"/>
    <mergeCell ref="B31:E31"/>
    <mergeCell ref="B34:C34"/>
    <mergeCell ref="D34:E34"/>
    <mergeCell ref="A1:L2"/>
    <mergeCell ref="A23:A24"/>
    <mergeCell ref="B23:B24"/>
    <mergeCell ref="C23:C24"/>
    <mergeCell ref="D23:D24"/>
    <mergeCell ref="E23:E24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7555-548D-449B-B669-C13A766B5BAC}">
  <dimension ref="A1:N109"/>
  <sheetViews>
    <sheetView zoomScale="84" zoomScaleNormal="80" workbookViewId="0">
      <selection activeCell="M3" sqref="M3"/>
    </sheetView>
  </sheetViews>
  <sheetFormatPr defaultColWidth="8.77734375" defaultRowHeight="14.4"/>
  <cols>
    <col min="2" max="2" width="10" bestFit="1" customWidth="1"/>
  </cols>
  <sheetData>
    <row r="1" spans="1:14">
      <c r="A1" t="s">
        <v>222</v>
      </c>
      <c r="B1">
        <f>1.1864</f>
        <v>1.1863999999999999</v>
      </c>
      <c r="C1" t="s">
        <v>87</v>
      </c>
      <c r="F1" t="s">
        <v>1073</v>
      </c>
      <c r="G1" t="s">
        <v>1074</v>
      </c>
      <c r="H1" t="s">
        <v>1069</v>
      </c>
      <c r="I1" t="s">
        <v>499</v>
      </c>
      <c r="J1" t="s">
        <v>1070</v>
      </c>
      <c r="K1" t="s">
        <v>1071</v>
      </c>
      <c r="L1" t="s">
        <v>1072</v>
      </c>
      <c r="M1" t="s">
        <v>512</v>
      </c>
      <c r="N1" t="s">
        <v>1076</v>
      </c>
    </row>
    <row r="2" spans="1:14">
      <c r="A2" t="s">
        <v>429</v>
      </c>
      <c r="B2">
        <f>0.0000184</f>
        <v>1.84E-5</v>
      </c>
      <c r="C2" t="s">
        <v>1065</v>
      </c>
      <c r="F2">
        <v>0</v>
      </c>
      <c r="G2">
        <v>0</v>
      </c>
      <c r="H2">
        <f>H3</f>
        <v>289.86470000000003</v>
      </c>
      <c r="M2">
        <f>H2</f>
        <v>289.86470000000003</v>
      </c>
      <c r="N2">
        <f>$B$14</f>
        <v>918.48652496298769</v>
      </c>
    </row>
    <row r="3" spans="1:14">
      <c r="A3" t="s">
        <v>1062</v>
      </c>
      <c r="B3">
        <f>14.47</f>
        <v>14.47</v>
      </c>
      <c r="C3" t="s">
        <v>130</v>
      </c>
      <c r="F3">
        <v>1</v>
      </c>
      <c r="G3">
        <f>B20/2</f>
        <v>9.2636974076237572E-3</v>
      </c>
      <c r="H3">
        <f>289.8647</f>
        <v>289.86470000000003</v>
      </c>
      <c r="I3">
        <f>$B$6*$B$7*($B$14^2+H3^2)*($B$14+H3)</f>
        <v>31.777905417153168</v>
      </c>
      <c r="J3">
        <f>1/(I3+$B$18)/PI()/($B$8*$B$20)</f>
        <v>1.9030179846146518</v>
      </c>
      <c r="K3">
        <f>($B$14-H3)/J3</f>
        <v>330.32889339208174</v>
      </c>
      <c r="L3">
        <f>H3+$K$3/($B$11*$B$4)</f>
        <v>290.01229306073668</v>
      </c>
      <c r="M3">
        <f>(H3+L3)*0.5</f>
        <v>289.93849653036835</v>
      </c>
      <c r="N3">
        <f t="shared" ref="N3:N66" si="0">$B$14</f>
        <v>918.48652496298769</v>
      </c>
    </row>
    <row r="4" spans="1:14">
      <c r="A4" t="s">
        <v>682</v>
      </c>
      <c r="B4">
        <f>1005</f>
        <v>1005</v>
      </c>
      <c r="C4" t="s">
        <v>683</v>
      </c>
      <c r="F4">
        <f>F3+1</f>
        <v>2</v>
      </c>
      <c r="G4">
        <f>G3+$B$20</f>
        <v>2.7791092222871273E-2</v>
      </c>
      <c r="H4">
        <f>L3</f>
        <v>290.01229306073668</v>
      </c>
      <c r="I4">
        <f>$B$6*$B$7*($B$14^2+H4^2)*($B$14+H4)</f>
        <v>31.784719153901609</v>
      </c>
      <c r="J4">
        <f t="shared" ref="J4:J67" si="1">1/(I4+$B$18)/PI()/($B$8*$B$20)</f>
        <v>1.9027192878437138</v>
      </c>
      <c r="K4">
        <f>($B$14-H4)/J4</f>
        <v>330.30318025234249</v>
      </c>
      <c r="L4">
        <f>H4+K4/($B$11*$B$4)</f>
        <v>290.15987463267817</v>
      </c>
      <c r="M4">
        <f t="shared" ref="M4:M67" si="2">(H4+L4)*0.5</f>
        <v>290.08608384670742</v>
      </c>
      <c r="N4">
        <f t="shared" si="0"/>
        <v>918.48652496298769</v>
      </c>
    </row>
    <row r="5" spans="1:14">
      <c r="A5" t="s">
        <v>106</v>
      </c>
      <c r="B5">
        <f>0.02594</f>
        <v>2.5940000000000001E-2</v>
      </c>
      <c r="C5" t="s">
        <v>375</v>
      </c>
      <c r="F5">
        <f t="shared" ref="F5:F68" si="3">F4+1</f>
        <v>3</v>
      </c>
      <c r="G5">
        <f t="shared" ref="G5:G68" si="4">G4+$B$20</f>
        <v>4.6318487038118791E-2</v>
      </c>
      <c r="H5">
        <f t="shared" ref="H5:H68" si="5">L4</f>
        <v>290.15987463267817</v>
      </c>
      <c r="I5">
        <f t="shared" ref="I5:I68" si="6">$B$6*$B$7*($B$14^2+H5^2)*($B$14+H5)</f>
        <v>31.791534569074294</v>
      </c>
      <c r="J5">
        <f t="shared" si="1"/>
        <v>1.9024206112814772</v>
      </c>
      <c r="K5">
        <f t="shared" ref="K5:K68" si="7">($B$14-H5)/J5</f>
        <v>330.27746156885178</v>
      </c>
      <c r="L5">
        <f t="shared" ref="L5:L68" si="8">H5+K5/($B$11*$B$4)</f>
        <v>290.30744471334748</v>
      </c>
      <c r="M5">
        <f t="shared" si="2"/>
        <v>290.23365967301282</v>
      </c>
      <c r="N5">
        <f t="shared" si="0"/>
        <v>918.48652496298769</v>
      </c>
    </row>
    <row r="6" spans="1:14">
      <c r="A6" t="s">
        <v>143</v>
      </c>
      <c r="B6">
        <f>0.5</f>
        <v>0.5</v>
      </c>
      <c r="F6">
        <f t="shared" si="3"/>
        <v>4</v>
      </c>
      <c r="G6">
        <f t="shared" si="4"/>
        <v>6.4845881853366302E-2</v>
      </c>
      <c r="H6">
        <f t="shared" si="5"/>
        <v>290.30744471334748</v>
      </c>
      <c r="I6">
        <f t="shared" si="6"/>
        <v>31.798351662587649</v>
      </c>
      <c r="J6">
        <f t="shared" si="1"/>
        <v>1.9021219549567212</v>
      </c>
      <c r="K6">
        <f t="shared" si="7"/>
        <v>330.2517373361232</v>
      </c>
      <c r="L6">
        <f t="shared" si="8"/>
        <v>290.45500330026522</v>
      </c>
      <c r="M6">
        <f t="shared" si="2"/>
        <v>290.38122400680635</v>
      </c>
      <c r="N6">
        <f t="shared" si="0"/>
        <v>918.48652496298769</v>
      </c>
    </row>
    <row r="7" spans="1:14">
      <c r="A7" t="s">
        <v>145</v>
      </c>
      <c r="B7">
        <f>0.0000000567</f>
        <v>5.6699999999999998E-8</v>
      </c>
      <c r="C7" t="s">
        <v>1066</v>
      </c>
      <c r="F7">
        <f t="shared" si="3"/>
        <v>5</v>
      </c>
      <c r="G7">
        <f t="shared" si="4"/>
        <v>8.3373276668613813E-2</v>
      </c>
      <c r="H7">
        <f t="shared" si="5"/>
        <v>290.45500330026522</v>
      </c>
      <c r="I7">
        <f t="shared" si="6"/>
        <v>31.805170434357635</v>
      </c>
      <c r="J7">
        <f t="shared" si="1"/>
        <v>1.901823318898219</v>
      </c>
      <c r="K7">
        <f t="shared" si="7"/>
        <v>330.22600754867136</v>
      </c>
      <c r="L7">
        <f t="shared" si="8"/>
        <v>290.60255039094949</v>
      </c>
      <c r="M7">
        <f t="shared" si="2"/>
        <v>290.52877684560735</v>
      </c>
      <c r="N7">
        <f t="shared" si="0"/>
        <v>918.48652496298769</v>
      </c>
    </row>
    <row r="8" spans="1:14">
      <c r="A8" t="s">
        <v>1063</v>
      </c>
      <c r="B8">
        <f>0.208</f>
        <v>0.20799999999999999</v>
      </c>
      <c r="C8" t="s">
        <v>82</v>
      </c>
      <c r="F8">
        <f t="shared" si="3"/>
        <v>6</v>
      </c>
      <c r="G8">
        <f t="shared" si="4"/>
        <v>0.10190067148386132</v>
      </c>
      <c r="H8">
        <f t="shared" si="5"/>
        <v>290.60255039094949</v>
      </c>
      <c r="I8">
        <f t="shared" si="6"/>
        <v>31.811990884299721</v>
      </c>
      <c r="J8">
        <f t="shared" si="1"/>
        <v>1.9015247031347413</v>
      </c>
      <c r="K8">
        <f t="shared" si="7"/>
        <v>330.20027220101099</v>
      </c>
      <c r="L8">
        <f t="shared" si="8"/>
        <v>290.75008598291595</v>
      </c>
      <c r="M8">
        <f t="shared" si="2"/>
        <v>290.67631818693269</v>
      </c>
      <c r="N8">
        <f t="shared" si="0"/>
        <v>918.48652496298769</v>
      </c>
    </row>
    <row r="9" spans="1:14">
      <c r="A9" t="s">
        <v>1064</v>
      </c>
      <c r="B9">
        <v>0.80930800000000003</v>
      </c>
      <c r="C9" t="s">
        <v>82</v>
      </c>
      <c r="F9">
        <f t="shared" si="3"/>
        <v>7</v>
      </c>
      <c r="G9">
        <f t="shared" si="4"/>
        <v>0.12042806629910884</v>
      </c>
      <c r="H9">
        <f t="shared" si="5"/>
        <v>290.75008598291595</v>
      </c>
      <c r="I9">
        <f t="shared" si="6"/>
        <v>31.818813012328896</v>
      </c>
      <c r="J9">
        <f t="shared" si="1"/>
        <v>1.9012261076950543</v>
      </c>
      <c r="K9">
        <f t="shared" si="7"/>
        <v>330.17453128765737</v>
      </c>
      <c r="L9">
        <f t="shared" si="8"/>
        <v>290.89761007367781</v>
      </c>
      <c r="M9">
        <f t="shared" si="2"/>
        <v>290.82384802829688</v>
      </c>
      <c r="N9">
        <f t="shared" si="0"/>
        <v>918.48652496298769</v>
      </c>
    </row>
    <row r="10" spans="1:14">
      <c r="A10" t="s">
        <v>81</v>
      </c>
      <c r="B10">
        <f>'Parte S'!BD59</f>
        <v>1.8527394815247513</v>
      </c>
      <c r="C10" t="s">
        <v>82</v>
      </c>
      <c r="F10">
        <f t="shared" si="3"/>
        <v>8</v>
      </c>
      <c r="G10">
        <f t="shared" si="4"/>
        <v>0.13895546111435636</v>
      </c>
      <c r="H10">
        <f t="shared" si="5"/>
        <v>290.89761007367781</v>
      </c>
      <c r="I10">
        <f t="shared" si="6"/>
        <v>31.825636818359698</v>
      </c>
      <c r="J10">
        <f t="shared" si="1"/>
        <v>1.9009275326079196</v>
      </c>
      <c r="K10">
        <f t="shared" si="7"/>
        <v>330.14878480312632</v>
      </c>
      <c r="L10">
        <f t="shared" si="8"/>
        <v>291.04512266074585</v>
      </c>
      <c r="M10">
        <f t="shared" si="2"/>
        <v>290.97136636721183</v>
      </c>
      <c r="N10">
        <f t="shared" si="0"/>
        <v>918.48652496298769</v>
      </c>
    </row>
    <row r="11" spans="1:14">
      <c r="A11" t="s">
        <v>1075</v>
      </c>
      <c r="B11">
        <f>2.226971</f>
        <v>2.2269709999999998</v>
      </c>
      <c r="C11" t="s">
        <v>43</v>
      </c>
      <c r="F11">
        <f t="shared" si="3"/>
        <v>9</v>
      </c>
      <c r="G11">
        <f t="shared" si="4"/>
        <v>0.15748285592960387</v>
      </c>
      <c r="H11">
        <f t="shared" si="5"/>
        <v>291.04512266074585</v>
      </c>
      <c r="I11">
        <f t="shared" si="6"/>
        <v>31.832462302306148</v>
      </c>
      <c r="J11">
        <f t="shared" si="1"/>
        <v>1.9006289779020942</v>
      </c>
      <c r="K11">
        <f t="shared" si="7"/>
        <v>330.12303274193414</v>
      </c>
      <c r="L11">
        <f t="shared" si="8"/>
        <v>291.19262374162832</v>
      </c>
      <c r="M11">
        <f t="shared" si="2"/>
        <v>291.11887320118706</v>
      </c>
      <c r="N11">
        <f t="shared" si="0"/>
        <v>918.48652496298769</v>
      </c>
    </row>
    <row r="12" spans="1:14">
      <c r="F12">
        <f t="shared" si="3"/>
        <v>10</v>
      </c>
      <c r="G12">
        <f t="shared" si="4"/>
        <v>0.17601025074485138</v>
      </c>
      <c r="H12">
        <f t="shared" si="5"/>
        <v>291.19262374162832</v>
      </c>
      <c r="I12">
        <f t="shared" si="6"/>
        <v>31.839289464081812</v>
      </c>
      <c r="J12">
        <f t="shared" si="1"/>
        <v>1.9003304436063326</v>
      </c>
      <c r="K12">
        <f t="shared" si="7"/>
        <v>330.09727509859749</v>
      </c>
      <c r="L12">
        <f t="shared" si="8"/>
        <v>291.34011331383113</v>
      </c>
      <c r="M12">
        <f t="shared" si="2"/>
        <v>291.2663685277297</v>
      </c>
      <c r="N12">
        <f t="shared" si="0"/>
        <v>918.48652496298769</v>
      </c>
    </row>
    <row r="13" spans="1:14">
      <c r="F13">
        <f t="shared" si="3"/>
        <v>11</v>
      </c>
      <c r="G13">
        <f t="shared" si="4"/>
        <v>0.19453764556009889</v>
      </c>
      <c r="H13">
        <f t="shared" si="5"/>
        <v>291.34011331383113</v>
      </c>
      <c r="I13">
        <f t="shared" si="6"/>
        <v>31.846118303599795</v>
      </c>
      <c r="J13">
        <f t="shared" si="1"/>
        <v>1.9000319297493822</v>
      </c>
      <c r="K13">
        <f t="shared" si="7"/>
        <v>330.07151186763389</v>
      </c>
      <c r="L13">
        <f t="shared" si="8"/>
        <v>291.48759137485769</v>
      </c>
      <c r="M13">
        <f t="shared" si="2"/>
        <v>291.41385234434438</v>
      </c>
      <c r="N13">
        <f t="shared" si="0"/>
        <v>918.48652496298769</v>
      </c>
    </row>
    <row r="14" spans="1:14">
      <c r="A14" t="s">
        <v>1060</v>
      </c>
      <c r="B14">
        <f>'Parte S'!BD61</f>
        <v>918.48652496298769</v>
      </c>
      <c r="C14" t="s">
        <v>14</v>
      </c>
      <c r="F14">
        <f t="shared" si="3"/>
        <v>12</v>
      </c>
      <c r="G14">
        <f t="shared" si="4"/>
        <v>0.2130650403753464</v>
      </c>
      <c r="H14">
        <f t="shared" si="5"/>
        <v>291.48759137485769</v>
      </c>
      <c r="I14">
        <f t="shared" si="6"/>
        <v>31.852948820772689</v>
      </c>
      <c r="J14">
        <f t="shared" si="1"/>
        <v>1.8997334363599876</v>
      </c>
      <c r="K14">
        <f t="shared" si="7"/>
        <v>330.04574304356123</v>
      </c>
      <c r="L14">
        <f t="shared" si="8"/>
        <v>291.635057922209</v>
      </c>
      <c r="M14">
        <f t="shared" si="2"/>
        <v>291.56132464853334</v>
      </c>
      <c r="N14">
        <f t="shared" si="0"/>
        <v>918.48652496298769</v>
      </c>
    </row>
    <row r="15" spans="1:14">
      <c r="A15" t="s">
        <v>566</v>
      </c>
      <c r="B15">
        <f>235000</f>
        <v>235000</v>
      </c>
      <c r="F15">
        <f t="shared" si="3"/>
        <v>13</v>
      </c>
      <c r="G15">
        <f t="shared" si="4"/>
        <v>0.23159243519059391</v>
      </c>
      <c r="H15">
        <f t="shared" si="5"/>
        <v>291.635057922209</v>
      </c>
      <c r="I15">
        <f t="shared" si="6"/>
        <v>31.859781015512628</v>
      </c>
      <c r="J15">
        <f t="shared" si="1"/>
        <v>1.8994349634668908</v>
      </c>
      <c r="K15">
        <f t="shared" si="7"/>
        <v>330.01996862089743</v>
      </c>
      <c r="L15">
        <f t="shared" si="8"/>
        <v>291.7825129533835</v>
      </c>
      <c r="M15">
        <f t="shared" si="2"/>
        <v>291.70878543779622</v>
      </c>
      <c r="N15">
        <f t="shared" si="0"/>
        <v>918.48652496298769</v>
      </c>
    </row>
    <row r="16" spans="1:14">
      <c r="A16" t="s">
        <v>724</v>
      </c>
      <c r="B16">
        <f>0.71</f>
        <v>0.71</v>
      </c>
      <c r="F16">
        <f t="shared" si="3"/>
        <v>14</v>
      </c>
      <c r="G16">
        <f t="shared" si="4"/>
        <v>0.25011983000584143</v>
      </c>
      <c r="H16">
        <f t="shared" si="5"/>
        <v>291.7825129533835</v>
      </c>
      <c r="I16">
        <f t="shared" si="6"/>
        <v>31.866614887731266</v>
      </c>
      <c r="J16">
        <f t="shared" si="1"/>
        <v>1.8991365110988261</v>
      </c>
      <c r="K16">
        <f t="shared" si="7"/>
        <v>329.99418859416164</v>
      </c>
      <c r="L16">
        <f t="shared" si="8"/>
        <v>291.9299564658773</v>
      </c>
      <c r="M16">
        <f t="shared" si="2"/>
        <v>291.85623470963037</v>
      </c>
      <c r="N16">
        <f t="shared" si="0"/>
        <v>918.48652496298769</v>
      </c>
    </row>
    <row r="17" spans="1:14">
      <c r="A17" t="s">
        <v>687</v>
      </c>
      <c r="B17">
        <f>0.021*B15^(0.8)*B16^(0.4)</f>
        <v>362.72452782734177</v>
      </c>
      <c r="F17">
        <f t="shared" si="3"/>
        <v>15</v>
      </c>
      <c r="G17">
        <f t="shared" si="4"/>
        <v>0.26864722482108894</v>
      </c>
      <c r="H17">
        <f t="shared" si="5"/>
        <v>291.9299564658773</v>
      </c>
      <c r="I17">
        <f t="shared" si="6"/>
        <v>31.873450437339773</v>
      </c>
      <c r="J17">
        <f t="shared" si="1"/>
        <v>1.8988380792845265</v>
      </c>
      <c r="K17">
        <f t="shared" si="7"/>
        <v>329.96840295787308</v>
      </c>
      <c r="L17">
        <f t="shared" si="8"/>
        <v>292.07738845718399</v>
      </c>
      <c r="M17">
        <f t="shared" si="2"/>
        <v>292.00367246153064</v>
      </c>
      <c r="N17">
        <f t="shared" si="0"/>
        <v>918.48652496298769</v>
      </c>
    </row>
    <row r="18" spans="1:14">
      <c r="A18" t="s">
        <v>1061</v>
      </c>
      <c r="B18">
        <f>B17*B5/B9</f>
        <v>11.626073450208384</v>
      </c>
      <c r="C18" t="s">
        <v>920</v>
      </c>
      <c r="F18">
        <f t="shared" si="3"/>
        <v>16</v>
      </c>
      <c r="G18">
        <f t="shared" si="4"/>
        <v>0.28717461963633645</v>
      </c>
      <c r="H18">
        <f t="shared" si="5"/>
        <v>292.07738845718399</v>
      </c>
      <c r="I18">
        <f t="shared" si="6"/>
        <v>31.880287664248836</v>
      </c>
      <c r="J18">
        <f t="shared" si="1"/>
        <v>1.8985396680527189</v>
      </c>
      <c r="K18">
        <f t="shared" si="7"/>
        <v>329.94261170655165</v>
      </c>
      <c r="L18">
        <f t="shared" si="8"/>
        <v>292.22480892479479</v>
      </c>
      <c r="M18">
        <f t="shared" si="2"/>
        <v>292.15109869098939</v>
      </c>
      <c r="N18">
        <f t="shared" si="0"/>
        <v>918.48652496298769</v>
      </c>
    </row>
    <row r="19" spans="1:14">
      <c r="A19" t="s">
        <v>1067</v>
      </c>
      <c r="B19">
        <f>100</f>
        <v>100</v>
      </c>
      <c r="F19">
        <f t="shared" si="3"/>
        <v>17</v>
      </c>
      <c r="G19">
        <f t="shared" si="4"/>
        <v>0.30570201445158396</v>
      </c>
      <c r="H19">
        <f t="shared" si="5"/>
        <v>292.22480892479479</v>
      </c>
      <c r="I19">
        <f t="shared" si="6"/>
        <v>31.887126568368686</v>
      </c>
      <c r="J19">
        <f t="shared" si="1"/>
        <v>1.8982412774321256</v>
      </c>
      <c r="K19">
        <f t="shared" si="7"/>
        <v>329.91681483471785</v>
      </c>
      <c r="L19">
        <f t="shared" si="8"/>
        <v>292.37221786619835</v>
      </c>
      <c r="M19">
        <f t="shared" si="2"/>
        <v>292.29851339549657</v>
      </c>
      <c r="N19">
        <f t="shared" si="0"/>
        <v>918.48652496298769</v>
      </c>
    </row>
    <row r="20" spans="1:14">
      <c r="A20" t="s">
        <v>1068</v>
      </c>
      <c r="B20">
        <f>B10/B19</f>
        <v>1.8527394815247514E-2</v>
      </c>
      <c r="C20" t="s">
        <v>82</v>
      </c>
      <c r="F20">
        <f t="shared" si="3"/>
        <v>18</v>
      </c>
      <c r="G20">
        <f t="shared" si="4"/>
        <v>0.32422940926683147</v>
      </c>
      <c r="H20">
        <f t="shared" si="5"/>
        <v>292.37221786619835</v>
      </c>
      <c r="I20">
        <f t="shared" si="6"/>
        <v>31.893967149609043</v>
      </c>
      <c r="J20">
        <f t="shared" si="1"/>
        <v>1.8979429074514655</v>
      </c>
      <c r="K20">
        <f t="shared" si="7"/>
        <v>329.89101233689269</v>
      </c>
      <c r="L20">
        <f t="shared" si="8"/>
        <v>292.51961527888102</v>
      </c>
      <c r="M20">
        <f t="shared" si="2"/>
        <v>292.44591657253966</v>
      </c>
      <c r="N20">
        <f t="shared" si="0"/>
        <v>918.48652496298769</v>
      </c>
    </row>
    <row r="21" spans="1:14">
      <c r="F21">
        <f t="shared" si="3"/>
        <v>19</v>
      </c>
      <c r="G21">
        <f t="shared" si="4"/>
        <v>0.34275680408207898</v>
      </c>
      <c r="H21">
        <f t="shared" si="5"/>
        <v>292.51961527888102</v>
      </c>
      <c r="I21">
        <f t="shared" si="6"/>
        <v>31.900809407879166</v>
      </c>
      <c r="J21">
        <f t="shared" si="1"/>
        <v>1.8976445581394541</v>
      </c>
      <c r="K21">
        <f t="shared" si="7"/>
        <v>329.86520420759723</v>
      </c>
      <c r="L21">
        <f t="shared" si="8"/>
        <v>292.66700116032655</v>
      </c>
      <c r="M21">
        <f t="shared" si="2"/>
        <v>292.59330821960378</v>
      </c>
      <c r="N21">
        <f t="shared" si="0"/>
        <v>918.48652496298769</v>
      </c>
    </row>
    <row r="22" spans="1:14">
      <c r="F22">
        <f t="shared" si="3"/>
        <v>20</v>
      </c>
      <c r="G22">
        <f t="shared" si="4"/>
        <v>0.36128419889732649</v>
      </c>
      <c r="H22">
        <f t="shared" si="5"/>
        <v>292.66700116032655</v>
      </c>
      <c r="I22">
        <f t="shared" si="6"/>
        <v>31.907653343087841</v>
      </c>
      <c r="J22">
        <f t="shared" si="1"/>
        <v>1.8973462295247994</v>
      </c>
      <c r="K22">
        <f t="shared" si="7"/>
        <v>329.839390441354</v>
      </c>
      <c r="L22">
        <f t="shared" si="8"/>
        <v>292.81437550801633</v>
      </c>
      <c r="M22">
        <f t="shared" si="2"/>
        <v>292.74068833417141</v>
      </c>
      <c r="N22">
        <f t="shared" si="0"/>
        <v>918.48652496298769</v>
      </c>
    </row>
    <row r="23" spans="1:14">
      <c r="F23">
        <f t="shared" si="3"/>
        <v>21</v>
      </c>
      <c r="G23">
        <f t="shared" si="4"/>
        <v>0.379811593712574</v>
      </c>
      <c r="H23">
        <f t="shared" si="5"/>
        <v>292.81437550801633</v>
      </c>
      <c r="I23">
        <f t="shared" si="6"/>
        <v>31.914498955143348</v>
      </c>
      <c r="J23">
        <f t="shared" si="1"/>
        <v>1.8970479216362077</v>
      </c>
      <c r="K23">
        <f t="shared" si="7"/>
        <v>329.81357103268522</v>
      </c>
      <c r="L23">
        <f t="shared" si="8"/>
        <v>292.96173831942934</v>
      </c>
      <c r="M23">
        <f t="shared" si="2"/>
        <v>292.88805691372283</v>
      </c>
      <c r="N23">
        <f t="shared" si="0"/>
        <v>918.48652496298769</v>
      </c>
    </row>
    <row r="24" spans="1:14">
      <c r="F24">
        <f t="shared" si="3"/>
        <v>22</v>
      </c>
      <c r="G24">
        <f t="shared" si="4"/>
        <v>0.39833898852782151</v>
      </c>
      <c r="H24">
        <f t="shared" si="5"/>
        <v>292.96173831942934</v>
      </c>
      <c r="I24">
        <f t="shared" si="6"/>
        <v>31.921346243953518</v>
      </c>
      <c r="J24">
        <f t="shared" si="1"/>
        <v>1.8967496345023795</v>
      </c>
      <c r="K24">
        <f t="shared" si="7"/>
        <v>329.78774597611431</v>
      </c>
      <c r="L24">
        <f t="shared" si="8"/>
        <v>293.10908959204204</v>
      </c>
      <c r="M24">
        <f t="shared" si="2"/>
        <v>293.03541395573569</v>
      </c>
      <c r="N24">
        <f t="shared" si="0"/>
        <v>918.48652496298769</v>
      </c>
    </row>
    <row r="25" spans="1:14">
      <c r="F25">
        <f t="shared" si="3"/>
        <v>23</v>
      </c>
      <c r="G25">
        <f t="shared" si="4"/>
        <v>0.41686638334306902</v>
      </c>
      <c r="H25">
        <f t="shared" si="5"/>
        <v>293.10908959204204</v>
      </c>
      <c r="I25">
        <f t="shared" si="6"/>
        <v>31.928195209425681</v>
      </c>
      <c r="J25">
        <f t="shared" si="1"/>
        <v>1.8964513681520121</v>
      </c>
      <c r="K25">
        <f t="shared" si="7"/>
        <v>329.76191526616458</v>
      </c>
      <c r="L25">
        <f t="shared" si="8"/>
        <v>293.2564293233284</v>
      </c>
      <c r="M25">
        <f t="shared" si="2"/>
        <v>293.18275945768522</v>
      </c>
      <c r="N25">
        <f t="shared" si="0"/>
        <v>918.48652496298769</v>
      </c>
    </row>
    <row r="26" spans="1:14">
      <c r="F26">
        <f t="shared" si="3"/>
        <v>24</v>
      </c>
      <c r="G26">
        <f t="shared" si="4"/>
        <v>0.43539377815831654</v>
      </c>
      <c r="H26">
        <f t="shared" si="5"/>
        <v>293.2564293233284</v>
      </c>
      <c r="I26">
        <f t="shared" si="6"/>
        <v>31.935045851466686</v>
      </c>
      <c r="J26">
        <f t="shared" si="1"/>
        <v>1.8961531226137966</v>
      </c>
      <c r="K26">
        <f t="shared" si="7"/>
        <v>329.73607889736053</v>
      </c>
      <c r="L26">
        <f t="shared" si="8"/>
        <v>293.4037575107601</v>
      </c>
      <c r="M26">
        <f t="shared" si="2"/>
        <v>293.33009341704428</v>
      </c>
      <c r="N26">
        <f t="shared" si="0"/>
        <v>918.48652496298769</v>
      </c>
    </row>
    <row r="27" spans="1:14">
      <c r="F27">
        <f t="shared" si="3"/>
        <v>25</v>
      </c>
      <c r="G27">
        <f t="shared" si="4"/>
        <v>0.45392117297356405</v>
      </c>
      <c r="H27">
        <f t="shared" si="5"/>
        <v>293.4037575107601</v>
      </c>
      <c r="I27">
        <f t="shared" si="6"/>
        <v>31.941898169982924</v>
      </c>
      <c r="J27">
        <f t="shared" si="1"/>
        <v>1.8958548979164211</v>
      </c>
      <c r="K27">
        <f t="shared" si="7"/>
        <v>329.71023686422672</v>
      </c>
      <c r="L27">
        <f t="shared" si="8"/>
        <v>293.55107415180623</v>
      </c>
      <c r="M27">
        <f t="shared" si="2"/>
        <v>293.47741583128317</v>
      </c>
      <c r="N27">
        <f t="shared" si="0"/>
        <v>918.48652496298769</v>
      </c>
    </row>
    <row r="28" spans="1:14">
      <c r="F28">
        <f t="shared" si="3"/>
        <v>26</v>
      </c>
      <c r="G28">
        <f t="shared" si="4"/>
        <v>0.47244856778881156</v>
      </c>
      <c r="H28">
        <f t="shared" si="5"/>
        <v>293.55107415180623</v>
      </c>
      <c r="I28">
        <f t="shared" si="6"/>
        <v>31.948752164880275</v>
      </c>
      <c r="J28">
        <f t="shared" si="1"/>
        <v>1.8955566940885682</v>
      </c>
      <c r="K28">
        <f t="shared" si="7"/>
        <v>329.68438916128872</v>
      </c>
      <c r="L28">
        <f t="shared" si="8"/>
        <v>293.69837924393346</v>
      </c>
      <c r="M28">
        <f t="shared" si="2"/>
        <v>293.62472669786985</v>
      </c>
      <c r="N28">
        <f t="shared" si="0"/>
        <v>918.48652496298769</v>
      </c>
    </row>
    <row r="29" spans="1:14">
      <c r="F29">
        <f t="shared" si="3"/>
        <v>27</v>
      </c>
      <c r="G29">
        <f t="shared" si="4"/>
        <v>0.49097596260405907</v>
      </c>
      <c r="H29">
        <f t="shared" si="5"/>
        <v>293.69837924393346</v>
      </c>
      <c r="I29">
        <f t="shared" si="6"/>
        <v>31.955607836064157</v>
      </c>
      <c r="J29">
        <f t="shared" si="1"/>
        <v>1.8952585111589169</v>
      </c>
      <c r="K29">
        <f t="shared" si="7"/>
        <v>329.65853578307235</v>
      </c>
      <c r="L29">
        <f t="shared" si="8"/>
        <v>293.84567278460605</v>
      </c>
      <c r="M29">
        <f t="shared" si="2"/>
        <v>293.77202601426973</v>
      </c>
      <c r="N29">
        <f t="shared" si="0"/>
        <v>918.48652496298769</v>
      </c>
    </row>
    <row r="30" spans="1:14">
      <c r="F30">
        <f t="shared" si="3"/>
        <v>28</v>
      </c>
      <c r="G30">
        <f t="shared" si="4"/>
        <v>0.50950335741930664</v>
      </c>
      <c r="H30">
        <f t="shared" si="5"/>
        <v>293.84567278460605</v>
      </c>
      <c r="I30">
        <f t="shared" si="6"/>
        <v>31.962465183439502</v>
      </c>
      <c r="J30">
        <f t="shared" si="1"/>
        <v>1.8949603491561406</v>
      </c>
      <c r="K30">
        <f t="shared" si="7"/>
        <v>329.63267672410416</v>
      </c>
      <c r="L30">
        <f t="shared" si="8"/>
        <v>293.99295477128584</v>
      </c>
      <c r="M30">
        <f t="shared" si="2"/>
        <v>293.91931377794594</v>
      </c>
      <c r="N30">
        <f t="shared" si="0"/>
        <v>918.48652496298769</v>
      </c>
    </row>
    <row r="31" spans="1:14">
      <c r="F31">
        <f t="shared" si="3"/>
        <v>29</v>
      </c>
      <c r="G31">
        <f t="shared" si="4"/>
        <v>0.5280307522345542</v>
      </c>
      <c r="H31">
        <f t="shared" si="5"/>
        <v>293.99295477128584</v>
      </c>
      <c r="I31">
        <f t="shared" si="6"/>
        <v>31.969324206910766</v>
      </c>
      <c r="J31">
        <f t="shared" si="1"/>
        <v>1.8946622081089088</v>
      </c>
      <c r="K31">
        <f t="shared" si="7"/>
        <v>329.6068119789112</v>
      </c>
      <c r="L31">
        <f t="shared" si="8"/>
        <v>294.1402252014322</v>
      </c>
      <c r="M31">
        <f t="shared" si="2"/>
        <v>294.06658998635902</v>
      </c>
      <c r="N31">
        <f t="shared" si="0"/>
        <v>918.48652496298769</v>
      </c>
    </row>
    <row r="32" spans="1:14">
      <c r="F32">
        <f t="shared" si="3"/>
        <v>30</v>
      </c>
      <c r="G32">
        <f t="shared" si="4"/>
        <v>0.54655814704980177</v>
      </c>
      <c r="H32">
        <f t="shared" si="5"/>
        <v>294.1402252014322</v>
      </c>
      <c r="I32">
        <f t="shared" si="6"/>
        <v>31.976184906381917</v>
      </c>
      <c r="J32">
        <f t="shared" si="1"/>
        <v>1.8943640880458867</v>
      </c>
      <c r="K32">
        <f t="shared" si="7"/>
        <v>329.58094154202104</v>
      </c>
      <c r="L32">
        <f t="shared" si="8"/>
        <v>294.28748407250202</v>
      </c>
      <c r="M32">
        <f t="shared" si="2"/>
        <v>294.21385463696708</v>
      </c>
      <c r="N32">
        <f t="shared" si="0"/>
        <v>918.48652496298769</v>
      </c>
    </row>
    <row r="33" spans="6:14">
      <c r="F33">
        <f t="shared" si="3"/>
        <v>31</v>
      </c>
      <c r="G33">
        <f t="shared" si="4"/>
        <v>0.56508554186504933</v>
      </c>
      <c r="H33">
        <f t="shared" si="5"/>
        <v>294.28748407250202</v>
      </c>
      <c r="I33">
        <f t="shared" si="6"/>
        <v>31.983047281756434</v>
      </c>
      <c r="J33">
        <f t="shared" si="1"/>
        <v>1.8940659889957341</v>
      </c>
      <c r="K33">
        <f t="shared" si="7"/>
        <v>329.55506540796216</v>
      </c>
      <c r="L33">
        <f t="shared" si="8"/>
        <v>294.43473138194975</v>
      </c>
      <c r="M33">
        <f t="shared" si="2"/>
        <v>294.36110772722589</v>
      </c>
      <c r="N33">
        <f t="shared" si="0"/>
        <v>918.48652496298769</v>
      </c>
    </row>
    <row r="34" spans="6:14">
      <c r="F34">
        <f t="shared" si="3"/>
        <v>32</v>
      </c>
      <c r="G34">
        <f t="shared" si="4"/>
        <v>0.5836129366802969</v>
      </c>
      <c r="H34">
        <f t="shared" si="5"/>
        <v>294.43473138194975</v>
      </c>
      <c r="I34">
        <f t="shared" si="6"/>
        <v>31.989911332937332</v>
      </c>
      <c r="J34">
        <f t="shared" si="1"/>
        <v>1.8937679109871073</v>
      </c>
      <c r="K34">
        <f t="shared" si="7"/>
        <v>329.5291835712631</v>
      </c>
      <c r="L34">
        <f t="shared" si="8"/>
        <v>294.58196712722741</v>
      </c>
      <c r="M34">
        <f t="shared" si="2"/>
        <v>294.50834925458855</v>
      </c>
      <c r="N34">
        <f t="shared" si="0"/>
        <v>918.48652496298769</v>
      </c>
    </row>
    <row r="35" spans="6:14">
      <c r="F35">
        <f t="shared" si="3"/>
        <v>33</v>
      </c>
      <c r="G35">
        <f t="shared" si="4"/>
        <v>0.60214033149554447</v>
      </c>
      <c r="H35">
        <f t="shared" si="5"/>
        <v>294.58196712722741</v>
      </c>
      <c r="I35">
        <f t="shared" si="6"/>
        <v>31.996777059827139</v>
      </c>
      <c r="J35">
        <f t="shared" si="1"/>
        <v>1.8934698540486568</v>
      </c>
      <c r="K35">
        <f t="shared" si="7"/>
        <v>329.50329602645348</v>
      </c>
      <c r="L35">
        <f t="shared" si="8"/>
        <v>294.72919130578464</v>
      </c>
      <c r="M35">
        <f t="shared" si="2"/>
        <v>294.655579216506</v>
      </c>
      <c r="N35">
        <f t="shared" si="0"/>
        <v>918.48652496298769</v>
      </c>
    </row>
    <row r="36" spans="6:14">
      <c r="F36">
        <f t="shared" si="3"/>
        <v>34</v>
      </c>
      <c r="G36">
        <f t="shared" si="4"/>
        <v>0.62066772631079203</v>
      </c>
      <c r="H36">
        <f t="shared" si="5"/>
        <v>294.72919130578464</v>
      </c>
      <c r="I36">
        <f t="shared" si="6"/>
        <v>32.003644462327884</v>
      </c>
      <c r="J36">
        <f t="shared" si="1"/>
        <v>1.8931718182090289</v>
      </c>
      <c r="K36">
        <f t="shared" si="7"/>
        <v>329.47740276806337</v>
      </c>
      <c r="L36">
        <f t="shared" si="8"/>
        <v>294.87640391506852</v>
      </c>
      <c r="M36">
        <f t="shared" si="2"/>
        <v>294.80279761042658</v>
      </c>
      <c r="N36">
        <f t="shared" si="0"/>
        <v>918.48652496298769</v>
      </c>
    </row>
    <row r="37" spans="6:14">
      <c r="F37">
        <f t="shared" si="3"/>
        <v>35</v>
      </c>
      <c r="G37">
        <f t="shared" si="4"/>
        <v>0.6391951211260396</v>
      </c>
      <c r="H37">
        <f t="shared" si="5"/>
        <v>294.87640391506852</v>
      </c>
      <c r="I37">
        <f t="shared" si="6"/>
        <v>32.010513540341137</v>
      </c>
      <c r="J37">
        <f t="shared" si="1"/>
        <v>1.8928738034968657</v>
      </c>
      <c r="K37">
        <f t="shared" si="7"/>
        <v>329.45150379062329</v>
      </c>
      <c r="L37">
        <f t="shared" si="8"/>
        <v>295.02360495252373</v>
      </c>
      <c r="M37">
        <f t="shared" si="2"/>
        <v>294.95000443379615</v>
      </c>
      <c r="N37">
        <f t="shared" si="0"/>
        <v>918.48652496298769</v>
      </c>
    </row>
    <row r="38" spans="6:14">
      <c r="F38">
        <f t="shared" si="3"/>
        <v>36</v>
      </c>
      <c r="G38">
        <f t="shared" si="4"/>
        <v>0.65772251594128717</v>
      </c>
      <c r="H38">
        <f t="shared" si="5"/>
        <v>295.02360495252373</v>
      </c>
      <c r="I38">
        <f t="shared" si="6"/>
        <v>32.017384293767968</v>
      </c>
      <c r="J38">
        <f t="shared" si="1"/>
        <v>1.8925758099408045</v>
      </c>
      <c r="K38">
        <f t="shared" si="7"/>
        <v>329.42559908866446</v>
      </c>
      <c r="L38">
        <f t="shared" si="8"/>
        <v>295.17079441559258</v>
      </c>
      <c r="M38">
        <f t="shared" si="2"/>
        <v>295.09719968405818</v>
      </c>
      <c r="N38">
        <f t="shared" si="0"/>
        <v>918.48652496298769</v>
      </c>
    </row>
    <row r="39" spans="6:14">
      <c r="F39">
        <f t="shared" si="3"/>
        <v>37</v>
      </c>
      <c r="G39">
        <f t="shared" si="4"/>
        <v>0.67624991075653473</v>
      </c>
      <c r="H39">
        <f t="shared" si="5"/>
        <v>295.17079441559258</v>
      </c>
      <c r="I39">
        <f t="shared" si="6"/>
        <v>32.024256722508973</v>
      </c>
      <c r="J39">
        <f t="shared" si="1"/>
        <v>1.8922778375694773</v>
      </c>
      <c r="K39">
        <f t="shared" si="7"/>
        <v>329.39968865671887</v>
      </c>
      <c r="L39">
        <f t="shared" si="8"/>
        <v>295.3179723017148</v>
      </c>
      <c r="M39">
        <f t="shared" si="2"/>
        <v>295.24438335865369</v>
      </c>
      <c r="N39">
        <f t="shared" si="0"/>
        <v>918.48652496298769</v>
      </c>
    </row>
    <row r="40" spans="6:14">
      <c r="F40">
        <f t="shared" si="3"/>
        <v>38</v>
      </c>
      <c r="G40">
        <f t="shared" si="4"/>
        <v>0.6947773055717823</v>
      </c>
      <c r="H40">
        <f t="shared" si="5"/>
        <v>295.3179723017148</v>
      </c>
      <c r="I40">
        <f t="shared" si="6"/>
        <v>32.031130826464263</v>
      </c>
      <c r="J40">
        <f t="shared" si="1"/>
        <v>1.8919798864115129</v>
      </c>
      <c r="K40">
        <f t="shared" si="7"/>
        <v>329.37377248931881</v>
      </c>
      <c r="L40">
        <f t="shared" si="8"/>
        <v>295.46513860832783</v>
      </c>
      <c r="M40">
        <f t="shared" si="2"/>
        <v>295.39155545502132</v>
      </c>
      <c r="N40">
        <f t="shared" si="0"/>
        <v>918.48652496298769</v>
      </c>
    </row>
    <row r="41" spans="6:14">
      <c r="F41">
        <f t="shared" si="3"/>
        <v>39</v>
      </c>
      <c r="G41">
        <f t="shared" si="4"/>
        <v>0.71330470038702987</v>
      </c>
      <c r="H41">
        <f t="shared" si="5"/>
        <v>295.46513860832783</v>
      </c>
      <c r="I41">
        <f t="shared" si="6"/>
        <v>32.038006605533461</v>
      </c>
      <c r="J41">
        <f t="shared" si="1"/>
        <v>1.8916819564955329</v>
      </c>
      <c r="K41">
        <f t="shared" si="7"/>
        <v>329.34785058099754</v>
      </c>
      <c r="L41">
        <f t="shared" si="8"/>
        <v>295.61229333286656</v>
      </c>
      <c r="M41">
        <f t="shared" si="2"/>
        <v>295.5387159705972</v>
      </c>
      <c r="N41">
        <f t="shared" si="0"/>
        <v>918.48652496298769</v>
      </c>
    </row>
    <row r="42" spans="6:14">
      <c r="F42">
        <f t="shared" si="3"/>
        <v>40</v>
      </c>
      <c r="G42">
        <f t="shared" si="4"/>
        <v>0.73183209520227743</v>
      </c>
      <c r="H42">
        <f t="shared" si="5"/>
        <v>295.61229333286656</v>
      </c>
      <c r="I42">
        <f t="shared" si="6"/>
        <v>32.044884059615725</v>
      </c>
      <c r="J42">
        <f t="shared" si="1"/>
        <v>1.8913840478501569</v>
      </c>
      <c r="K42">
        <f t="shared" si="7"/>
        <v>329.32192292628861</v>
      </c>
      <c r="L42">
        <f t="shared" si="8"/>
        <v>295.75943647276341</v>
      </c>
      <c r="M42">
        <f t="shared" si="2"/>
        <v>295.68586490281496</v>
      </c>
      <c r="N42">
        <f t="shared" si="0"/>
        <v>918.48652496298769</v>
      </c>
    </row>
    <row r="43" spans="6:14">
      <c r="F43">
        <f t="shared" si="3"/>
        <v>41</v>
      </c>
      <c r="G43">
        <f t="shared" si="4"/>
        <v>0.750359490017525</v>
      </c>
      <c r="H43">
        <f t="shared" si="5"/>
        <v>295.75943647276341</v>
      </c>
      <c r="I43">
        <f t="shared" si="6"/>
        <v>32.051763188609705</v>
      </c>
      <c r="J43">
        <f t="shared" si="1"/>
        <v>1.891086160503997</v>
      </c>
      <c r="K43">
        <f t="shared" si="7"/>
        <v>329.29598951972667</v>
      </c>
      <c r="L43">
        <f t="shared" si="8"/>
        <v>295.90656802544851</v>
      </c>
      <c r="M43">
        <f t="shared" si="2"/>
        <v>295.83300224910596</v>
      </c>
      <c r="N43">
        <f t="shared" si="0"/>
        <v>918.48652496298769</v>
      </c>
    </row>
    <row r="44" spans="6:14">
      <c r="F44">
        <f t="shared" si="3"/>
        <v>42</v>
      </c>
      <c r="G44">
        <f t="shared" si="4"/>
        <v>0.76888688483277257</v>
      </c>
      <c r="H44">
        <f t="shared" si="5"/>
        <v>295.90656802544851</v>
      </c>
      <c r="I44">
        <f t="shared" si="6"/>
        <v>32.058643992413572</v>
      </c>
      <c r="J44">
        <f t="shared" si="1"/>
        <v>1.8907882944856642</v>
      </c>
      <c r="K44">
        <f t="shared" si="7"/>
        <v>329.27005035584619</v>
      </c>
      <c r="L44">
        <f t="shared" si="8"/>
        <v>296.0536879883494</v>
      </c>
      <c r="M44">
        <f t="shared" si="2"/>
        <v>295.98012800689895</v>
      </c>
      <c r="N44">
        <f t="shared" si="0"/>
        <v>918.48652496298769</v>
      </c>
    </row>
    <row r="45" spans="6:14">
      <c r="F45">
        <f t="shared" si="3"/>
        <v>43</v>
      </c>
      <c r="G45">
        <f t="shared" si="4"/>
        <v>0.78741427964802013</v>
      </c>
      <c r="H45">
        <f t="shared" si="5"/>
        <v>296.0536879883494</v>
      </c>
      <c r="I45">
        <f t="shared" si="6"/>
        <v>32.065526470925036</v>
      </c>
      <c r="J45">
        <f t="shared" si="1"/>
        <v>1.8904904498237611</v>
      </c>
      <c r="K45">
        <f t="shared" si="7"/>
        <v>329.24410542918321</v>
      </c>
      <c r="L45">
        <f t="shared" si="8"/>
        <v>296.20079635889124</v>
      </c>
      <c r="M45">
        <f t="shared" si="2"/>
        <v>296.12724217362029</v>
      </c>
      <c r="N45">
        <f t="shared" si="0"/>
        <v>918.48652496298769</v>
      </c>
    </row>
    <row r="46" spans="6:14">
      <c r="F46">
        <f t="shared" si="3"/>
        <v>44</v>
      </c>
      <c r="G46">
        <f t="shared" si="4"/>
        <v>0.8059416744632677</v>
      </c>
      <c r="H46">
        <f t="shared" si="5"/>
        <v>296.20079635889124</v>
      </c>
      <c r="I46">
        <f t="shared" si="6"/>
        <v>32.072410624041304</v>
      </c>
      <c r="J46">
        <f t="shared" si="1"/>
        <v>1.8901926265468867</v>
      </c>
      <c r="K46">
        <f t="shared" si="7"/>
        <v>329.21815473427387</v>
      </c>
      <c r="L46">
        <f t="shared" si="8"/>
        <v>296.34789313449676</v>
      </c>
      <c r="M46">
        <f t="shared" si="2"/>
        <v>296.274344746694</v>
      </c>
      <c r="N46">
        <f t="shared" si="0"/>
        <v>918.48652496298769</v>
      </c>
    </row>
    <row r="47" spans="6:14">
      <c r="F47">
        <f t="shared" si="3"/>
        <v>45</v>
      </c>
      <c r="G47">
        <f t="shared" si="4"/>
        <v>0.82446906927851527</v>
      </c>
      <c r="H47">
        <f t="shared" si="5"/>
        <v>296.34789313449676</v>
      </c>
      <c r="I47">
        <f t="shared" si="6"/>
        <v>32.07929645165909</v>
      </c>
      <c r="J47">
        <f t="shared" si="1"/>
        <v>1.8898948246836369</v>
      </c>
      <c r="K47">
        <f t="shared" si="7"/>
        <v>329.19219826565489</v>
      </c>
      <c r="L47">
        <f t="shared" si="8"/>
        <v>296.49497831258617</v>
      </c>
      <c r="M47">
        <f t="shared" si="2"/>
        <v>296.42143572354144</v>
      </c>
      <c r="N47">
        <f t="shared" si="0"/>
        <v>918.48652496298769</v>
      </c>
    </row>
    <row r="48" spans="6:14">
      <c r="F48">
        <f t="shared" si="3"/>
        <v>46</v>
      </c>
      <c r="G48">
        <f t="shared" si="4"/>
        <v>0.84299646409376283</v>
      </c>
      <c r="H48">
        <f t="shared" si="5"/>
        <v>296.49497831258617</v>
      </c>
      <c r="I48">
        <f t="shared" si="6"/>
        <v>32.086183953674634</v>
      </c>
      <c r="J48">
        <f t="shared" si="1"/>
        <v>1.8895970442626004</v>
      </c>
      <c r="K48">
        <f t="shared" si="7"/>
        <v>329.16623601786404</v>
      </c>
      <c r="L48">
        <f t="shared" si="8"/>
        <v>296.64205189057736</v>
      </c>
      <c r="M48">
        <f t="shared" si="2"/>
        <v>296.56851510158174</v>
      </c>
      <c r="N48">
        <f t="shared" si="0"/>
        <v>918.48652496298769</v>
      </c>
    </row>
    <row r="49" spans="6:14">
      <c r="F49">
        <f t="shared" si="3"/>
        <v>47</v>
      </c>
      <c r="G49">
        <f t="shared" si="4"/>
        <v>0.8615238589090104</v>
      </c>
      <c r="H49">
        <f t="shared" si="5"/>
        <v>296.64205189057736</v>
      </c>
      <c r="I49">
        <f t="shared" si="6"/>
        <v>32.093073129983694</v>
      </c>
      <c r="J49">
        <f t="shared" si="1"/>
        <v>1.8892992853123629</v>
      </c>
      <c r="K49">
        <f t="shared" si="7"/>
        <v>329.14026798543944</v>
      </c>
      <c r="L49">
        <f t="shared" si="8"/>
        <v>296.78911386588567</v>
      </c>
      <c r="M49">
        <f t="shared" si="2"/>
        <v>296.71558287823154</v>
      </c>
      <c r="N49">
        <f t="shared" si="0"/>
        <v>918.48652496298769</v>
      </c>
    </row>
    <row r="50" spans="6:14">
      <c r="F50">
        <f t="shared" si="3"/>
        <v>48</v>
      </c>
      <c r="G50">
        <f t="shared" si="4"/>
        <v>0.88005125372425796</v>
      </c>
      <c r="H50">
        <f t="shared" si="5"/>
        <v>296.78911386588567</v>
      </c>
      <c r="I50">
        <f t="shared" si="6"/>
        <v>32.099963980481554</v>
      </c>
      <c r="J50">
        <f t="shared" si="1"/>
        <v>1.8890015478615032</v>
      </c>
      <c r="K50">
        <f t="shared" si="7"/>
        <v>329.11429416292003</v>
      </c>
      <c r="L50">
        <f t="shared" si="8"/>
        <v>296.93616423592408</v>
      </c>
      <c r="M50">
        <f t="shared" si="2"/>
        <v>296.86263905090487</v>
      </c>
      <c r="N50">
        <f t="shared" si="0"/>
        <v>918.48652496298769</v>
      </c>
    </row>
    <row r="51" spans="6:14">
      <c r="F51">
        <f t="shared" si="3"/>
        <v>49</v>
      </c>
      <c r="G51">
        <f t="shared" si="4"/>
        <v>0.89857864853950553</v>
      </c>
      <c r="H51">
        <f t="shared" si="5"/>
        <v>296.93616423592408</v>
      </c>
      <c r="I51">
        <f t="shared" si="6"/>
        <v>32.106856505062986</v>
      </c>
      <c r="J51">
        <f t="shared" si="1"/>
        <v>1.8887038319385974</v>
      </c>
      <c r="K51">
        <f t="shared" si="7"/>
        <v>329.08831454484522</v>
      </c>
      <c r="L51">
        <f t="shared" si="8"/>
        <v>297.0832029981031</v>
      </c>
      <c r="M51">
        <f t="shared" si="2"/>
        <v>297.00968361701359</v>
      </c>
      <c r="N51">
        <f t="shared" si="0"/>
        <v>918.48652496298769</v>
      </c>
    </row>
    <row r="52" spans="6:14">
      <c r="F52">
        <f t="shared" si="3"/>
        <v>50</v>
      </c>
      <c r="G52">
        <f t="shared" si="4"/>
        <v>0.9171060433547531</v>
      </c>
      <c r="H52">
        <f t="shared" si="5"/>
        <v>297.0832029981031</v>
      </c>
      <c r="I52">
        <f t="shared" si="6"/>
        <v>32.113750703622301</v>
      </c>
      <c r="J52">
        <f t="shared" si="1"/>
        <v>1.8884061375722159</v>
      </c>
      <c r="K52">
        <f t="shared" si="7"/>
        <v>329.06232912575513</v>
      </c>
      <c r="L52">
        <f t="shared" si="8"/>
        <v>297.23023014983079</v>
      </c>
      <c r="M52">
        <f t="shared" si="2"/>
        <v>297.15671657396695</v>
      </c>
      <c r="N52">
        <f t="shared" si="0"/>
        <v>918.48652496298769</v>
      </c>
    </row>
    <row r="53" spans="6:14">
      <c r="F53">
        <f t="shared" si="3"/>
        <v>51</v>
      </c>
      <c r="G53">
        <f t="shared" si="4"/>
        <v>0.93563343817000066</v>
      </c>
      <c r="H53">
        <f t="shared" si="5"/>
        <v>297.23023014983079</v>
      </c>
      <c r="I53">
        <f t="shared" si="6"/>
        <v>32.120646576053304</v>
      </c>
      <c r="J53">
        <f t="shared" si="1"/>
        <v>1.8881084647909241</v>
      </c>
      <c r="K53">
        <f t="shared" si="7"/>
        <v>329.0363379001908</v>
      </c>
      <c r="L53">
        <f t="shared" si="8"/>
        <v>297.3772456885128</v>
      </c>
      <c r="M53">
        <f t="shared" si="2"/>
        <v>297.30373791917179</v>
      </c>
      <c r="N53">
        <f t="shared" si="0"/>
        <v>918.48652496298769</v>
      </c>
    </row>
    <row r="54" spans="6:14">
      <c r="F54">
        <f t="shared" si="3"/>
        <v>52</v>
      </c>
      <c r="G54">
        <f t="shared" si="4"/>
        <v>0.95416083298524823</v>
      </c>
      <c r="H54">
        <f t="shared" si="5"/>
        <v>297.3772456885128</v>
      </c>
      <c r="I54">
        <f t="shared" si="6"/>
        <v>32.127544122249333</v>
      </c>
      <c r="J54">
        <f t="shared" si="1"/>
        <v>1.8878108136232821</v>
      </c>
      <c r="K54">
        <f t="shared" si="7"/>
        <v>329.01034086269351</v>
      </c>
      <c r="L54">
        <f t="shared" si="8"/>
        <v>297.52424961155231</v>
      </c>
      <c r="M54">
        <f t="shared" si="2"/>
        <v>297.45074765003255</v>
      </c>
      <c r="N54">
        <f t="shared" si="0"/>
        <v>918.48652496298769</v>
      </c>
    </row>
    <row r="55" spans="6:14">
      <c r="F55">
        <f t="shared" si="3"/>
        <v>53</v>
      </c>
      <c r="G55">
        <f t="shared" si="4"/>
        <v>0.9726882278004958</v>
      </c>
      <c r="H55">
        <f t="shared" si="5"/>
        <v>297.52424961155231</v>
      </c>
      <c r="I55">
        <f t="shared" si="6"/>
        <v>32.134443342103218</v>
      </c>
      <c r="J55">
        <f t="shared" si="1"/>
        <v>1.8875131840978454</v>
      </c>
      <c r="K55">
        <f t="shared" si="7"/>
        <v>328.98433800780583</v>
      </c>
      <c r="L55">
        <f t="shared" si="8"/>
        <v>297.67124191635008</v>
      </c>
      <c r="M55">
        <f t="shared" si="2"/>
        <v>297.5977457639512</v>
      </c>
      <c r="N55">
        <f t="shared" si="0"/>
        <v>918.48652496298769</v>
      </c>
    </row>
    <row r="56" spans="6:14">
      <c r="F56">
        <f t="shared" si="3"/>
        <v>54</v>
      </c>
      <c r="G56">
        <f t="shared" si="4"/>
        <v>0.99121562261574336</v>
      </c>
      <c r="H56">
        <f t="shared" si="5"/>
        <v>297.67124191635008</v>
      </c>
      <c r="I56">
        <f t="shared" si="6"/>
        <v>32.141344235507333</v>
      </c>
      <c r="J56">
        <f t="shared" si="1"/>
        <v>1.8872155762431662</v>
      </c>
      <c r="K56">
        <f t="shared" si="7"/>
        <v>328.95832933007023</v>
      </c>
      <c r="L56">
        <f t="shared" si="8"/>
        <v>297.81822260030441</v>
      </c>
      <c r="M56">
        <f t="shared" si="2"/>
        <v>297.74473225832725</v>
      </c>
      <c r="N56">
        <f t="shared" si="0"/>
        <v>918.48652496298769</v>
      </c>
    </row>
    <row r="57" spans="6:14">
      <c r="F57">
        <f t="shared" si="3"/>
        <v>55</v>
      </c>
      <c r="G57">
        <f t="shared" si="4"/>
        <v>1.0097430174309909</v>
      </c>
      <c r="H57">
        <f t="shared" si="5"/>
        <v>297.81822260030441</v>
      </c>
      <c r="I57">
        <f t="shared" si="6"/>
        <v>32.148246802353547</v>
      </c>
      <c r="J57">
        <f t="shared" si="1"/>
        <v>1.8869179900877882</v>
      </c>
      <c r="K57">
        <f t="shared" si="7"/>
        <v>328.93231482403058</v>
      </c>
      <c r="L57">
        <f t="shared" si="8"/>
        <v>297.96519166081117</v>
      </c>
      <c r="M57">
        <f t="shared" si="2"/>
        <v>297.89170713055779</v>
      </c>
      <c r="N57">
        <f t="shared" si="0"/>
        <v>918.48652496298769</v>
      </c>
    </row>
    <row r="58" spans="6:14">
      <c r="F58">
        <f t="shared" si="3"/>
        <v>56</v>
      </c>
      <c r="G58">
        <f t="shared" si="4"/>
        <v>1.0282704122462385</v>
      </c>
      <c r="H58">
        <f t="shared" si="5"/>
        <v>297.96519166081117</v>
      </c>
      <c r="I58">
        <f t="shared" si="6"/>
        <v>32.155151042533248</v>
      </c>
      <c r="J58">
        <f t="shared" si="1"/>
        <v>1.8866204256602532</v>
      </c>
      <c r="K58">
        <f t="shared" si="7"/>
        <v>328.90629448423107</v>
      </c>
      <c r="L58">
        <f t="shared" si="8"/>
        <v>298.11214909526382</v>
      </c>
      <c r="M58">
        <f t="shared" si="2"/>
        <v>298.03867037803752</v>
      </c>
      <c r="N58">
        <f t="shared" si="0"/>
        <v>918.48652496298769</v>
      </c>
    </row>
    <row r="59" spans="6:14">
      <c r="F59">
        <f t="shared" si="3"/>
        <v>57</v>
      </c>
      <c r="G59">
        <f t="shared" si="4"/>
        <v>1.0467978070614861</v>
      </c>
      <c r="H59">
        <f t="shared" si="5"/>
        <v>298.11214909526382</v>
      </c>
      <c r="I59">
        <f t="shared" si="6"/>
        <v>32.162056955937331</v>
      </c>
      <c r="J59">
        <f t="shared" si="1"/>
        <v>1.886322882989097</v>
      </c>
      <c r="K59">
        <f t="shared" si="7"/>
        <v>328.88026830521659</v>
      </c>
      <c r="L59">
        <f t="shared" si="8"/>
        <v>298.25909490105334</v>
      </c>
      <c r="M59">
        <f t="shared" si="2"/>
        <v>298.18562199815858</v>
      </c>
      <c r="N59">
        <f t="shared" si="0"/>
        <v>918.48652496298769</v>
      </c>
    </row>
    <row r="60" spans="6:14">
      <c r="F60">
        <f t="shared" si="3"/>
        <v>58</v>
      </c>
      <c r="G60">
        <f t="shared" si="4"/>
        <v>1.0653252018767336</v>
      </c>
      <c r="H60">
        <f t="shared" si="5"/>
        <v>298.25909490105334</v>
      </c>
      <c r="I60">
        <f t="shared" si="6"/>
        <v>32.168964542456209</v>
      </c>
      <c r="J60">
        <f t="shared" si="1"/>
        <v>1.8860253621028504</v>
      </c>
      <c r="K60">
        <f t="shared" si="7"/>
        <v>328.85423628153285</v>
      </c>
      <c r="L60">
        <f t="shared" si="8"/>
        <v>298.40602907556831</v>
      </c>
      <c r="M60">
        <f t="shared" si="2"/>
        <v>298.33256198831083</v>
      </c>
      <c r="N60">
        <f t="shared" si="0"/>
        <v>918.48652496298769</v>
      </c>
    </row>
    <row r="61" spans="6:14">
      <c r="F61">
        <f t="shared" si="3"/>
        <v>59</v>
      </c>
      <c r="G61">
        <f t="shared" si="4"/>
        <v>1.0838525966919812</v>
      </c>
      <c r="H61">
        <f t="shared" si="5"/>
        <v>298.40602907556831</v>
      </c>
      <c r="I61">
        <f t="shared" si="6"/>
        <v>32.175873801979797</v>
      </c>
      <c r="J61">
        <f t="shared" si="1"/>
        <v>1.8857278630300391</v>
      </c>
      <c r="K61">
        <f t="shared" si="7"/>
        <v>328.82819840772629</v>
      </c>
      <c r="L61">
        <f t="shared" si="8"/>
        <v>298.55295161619483</v>
      </c>
      <c r="M61">
        <f t="shared" si="2"/>
        <v>298.47949034588157</v>
      </c>
      <c r="N61">
        <f t="shared" si="0"/>
        <v>918.48652496298769</v>
      </c>
    </row>
    <row r="62" spans="6:14">
      <c r="F62">
        <f t="shared" si="3"/>
        <v>60</v>
      </c>
      <c r="G62">
        <f t="shared" si="4"/>
        <v>1.1023799915072288</v>
      </c>
      <c r="H62">
        <f t="shared" si="5"/>
        <v>298.55295161619483</v>
      </c>
      <c r="I62">
        <f t="shared" si="6"/>
        <v>32.182784734397551</v>
      </c>
      <c r="J62">
        <f t="shared" si="1"/>
        <v>1.8854303857991841</v>
      </c>
      <c r="K62">
        <f t="shared" si="7"/>
        <v>328.80215467834387</v>
      </c>
      <c r="L62">
        <f t="shared" si="8"/>
        <v>298.69986252031663</v>
      </c>
      <c r="M62">
        <f t="shared" si="2"/>
        <v>298.62640706825573</v>
      </c>
      <c r="N62">
        <f t="shared" si="0"/>
        <v>918.48652496298769</v>
      </c>
    </row>
    <row r="63" spans="6:14">
      <c r="F63">
        <f t="shared" si="3"/>
        <v>61</v>
      </c>
      <c r="G63">
        <f t="shared" si="4"/>
        <v>1.1209073863224763</v>
      </c>
      <c r="H63">
        <f t="shared" si="5"/>
        <v>298.69986252031663</v>
      </c>
      <c r="I63">
        <f t="shared" si="6"/>
        <v>32.189697339598418</v>
      </c>
      <c r="J63">
        <f t="shared" si="1"/>
        <v>1.8851329304388011</v>
      </c>
      <c r="K63">
        <f t="shared" si="7"/>
        <v>328.77610508793339</v>
      </c>
      <c r="L63">
        <f t="shared" si="8"/>
        <v>298.84676178531492</v>
      </c>
      <c r="M63">
        <f t="shared" si="2"/>
        <v>298.77331215281578</v>
      </c>
      <c r="N63">
        <f t="shared" si="0"/>
        <v>918.48652496298769</v>
      </c>
    </row>
    <row r="64" spans="6:14">
      <c r="F64">
        <f t="shared" si="3"/>
        <v>62</v>
      </c>
      <c r="G64">
        <f t="shared" si="4"/>
        <v>1.1394347811377239</v>
      </c>
      <c r="H64">
        <f t="shared" si="5"/>
        <v>298.84676178531492</v>
      </c>
      <c r="I64">
        <f t="shared" si="6"/>
        <v>32.196611617470865</v>
      </c>
      <c r="J64">
        <f t="shared" si="1"/>
        <v>1.8848354969774004</v>
      </c>
      <c r="K64">
        <f t="shared" si="7"/>
        <v>328.7500496310434</v>
      </c>
      <c r="L64">
        <f t="shared" si="8"/>
        <v>298.99364940856856</v>
      </c>
      <c r="M64">
        <f t="shared" si="2"/>
        <v>298.92020559694174</v>
      </c>
      <c r="N64">
        <f t="shared" si="0"/>
        <v>918.48652496298769</v>
      </c>
    </row>
    <row r="65" spans="6:14">
      <c r="F65">
        <f t="shared" si="3"/>
        <v>63</v>
      </c>
      <c r="G65">
        <f t="shared" si="4"/>
        <v>1.1579621759529715</v>
      </c>
      <c r="H65">
        <f t="shared" si="5"/>
        <v>298.99364940856856</v>
      </c>
      <c r="I65">
        <f t="shared" si="6"/>
        <v>32.203527567902853</v>
      </c>
      <c r="J65">
        <f t="shared" si="1"/>
        <v>1.8845380854434886</v>
      </c>
      <c r="K65">
        <f t="shared" si="7"/>
        <v>328.72398830222306</v>
      </c>
      <c r="L65">
        <f t="shared" si="8"/>
        <v>299.14052538745392</v>
      </c>
      <c r="M65">
        <f t="shared" si="2"/>
        <v>299.06708739801127</v>
      </c>
      <c r="N65">
        <f t="shared" si="0"/>
        <v>918.48652496298769</v>
      </c>
    </row>
    <row r="66" spans="6:14">
      <c r="F66">
        <f t="shared" si="3"/>
        <v>64</v>
      </c>
      <c r="G66">
        <f t="shared" si="4"/>
        <v>1.176489570768219</v>
      </c>
      <c r="H66">
        <f t="shared" si="5"/>
        <v>299.14052538745392</v>
      </c>
      <c r="I66">
        <f t="shared" si="6"/>
        <v>32.21044519078189</v>
      </c>
      <c r="J66">
        <f t="shared" si="1"/>
        <v>1.8842406958655646</v>
      </c>
      <c r="K66">
        <f t="shared" si="7"/>
        <v>328.69792109602247</v>
      </c>
      <c r="L66">
        <f t="shared" si="8"/>
        <v>299.28738971934496</v>
      </c>
      <c r="M66">
        <f t="shared" si="2"/>
        <v>299.21395755339944</v>
      </c>
      <c r="N66">
        <f t="shared" si="0"/>
        <v>918.48652496298769</v>
      </c>
    </row>
    <row r="67" spans="6:14">
      <c r="F67">
        <f t="shared" si="3"/>
        <v>65</v>
      </c>
      <c r="G67">
        <f t="shared" si="4"/>
        <v>1.1950169655834666</v>
      </c>
      <c r="H67">
        <f t="shared" si="5"/>
        <v>299.28738971934496</v>
      </c>
      <c r="I67">
        <f t="shared" si="6"/>
        <v>32.21736448599497</v>
      </c>
      <c r="J67">
        <f t="shared" si="1"/>
        <v>1.8839433282721254</v>
      </c>
      <c r="K67">
        <f t="shared" si="7"/>
        <v>328.67184800699209</v>
      </c>
      <c r="L67">
        <f t="shared" si="8"/>
        <v>299.43424240161318</v>
      </c>
      <c r="M67">
        <f t="shared" si="2"/>
        <v>299.36081606047907</v>
      </c>
      <c r="N67">
        <f t="shared" ref="N67:N101" si="9">$B$14</f>
        <v>918.48652496298769</v>
      </c>
    </row>
    <row r="68" spans="6:14">
      <c r="F68">
        <f t="shared" si="3"/>
        <v>66</v>
      </c>
      <c r="G68">
        <f t="shared" si="4"/>
        <v>1.2135443603987142</v>
      </c>
      <c r="H68">
        <f t="shared" si="5"/>
        <v>299.43424240161318</v>
      </c>
      <c r="I68">
        <f t="shared" si="6"/>
        <v>32.2242854534286</v>
      </c>
      <c r="J68">
        <f t="shared" ref="J68:J102" si="10">1/(I68+$B$18)/PI()/($B$8*$B$20)</f>
        <v>1.8836459826916612</v>
      </c>
      <c r="K68">
        <f t="shared" si="7"/>
        <v>328.64576902968332</v>
      </c>
      <c r="L68">
        <f t="shared" si="8"/>
        <v>299.58108343162769</v>
      </c>
      <c r="M68">
        <f t="shared" ref="M68:M102" si="11">(H68+L68)*0.5</f>
        <v>299.50766291662046</v>
      </c>
      <c r="N68">
        <f t="shared" si="9"/>
        <v>918.48652496298769</v>
      </c>
    </row>
    <row r="69" spans="6:14">
      <c r="F69">
        <f t="shared" ref="F69:F102" si="12">F68+1</f>
        <v>67</v>
      </c>
      <c r="G69">
        <f t="shared" ref="G69:G102" si="13">G68+$B$20</f>
        <v>1.2320717552139617</v>
      </c>
      <c r="H69">
        <f t="shared" ref="H69:H102" si="14">L68</f>
        <v>299.58108343162769</v>
      </c>
      <c r="I69">
        <f t="shared" ref="I69:I102" si="15">$B$6*$B$7*($B$14^2+H69^2)*($B$14+H69)</f>
        <v>32.231208092968814</v>
      </c>
      <c r="J69">
        <f t="shared" si="10"/>
        <v>1.8833486591526567</v>
      </c>
      <c r="K69">
        <f t="shared" ref="K69:K102" si="16">($B$14-H69)/J69</f>
        <v>328.6196841586484</v>
      </c>
      <c r="L69">
        <f t="shared" ref="L69:L102" si="17">H69+K69/($B$11*$B$4)</f>
        <v>299.72791280675511</v>
      </c>
      <c r="M69">
        <f t="shared" si="11"/>
        <v>299.65449811919143</v>
      </c>
      <c r="N69">
        <f t="shared" si="9"/>
        <v>918.48652496298769</v>
      </c>
    </row>
    <row r="70" spans="6:14">
      <c r="F70">
        <f t="shared" si="12"/>
        <v>68</v>
      </c>
      <c r="G70">
        <f t="shared" si="13"/>
        <v>1.2505991500292093</v>
      </c>
      <c r="H70">
        <f t="shared" si="14"/>
        <v>299.72791280675511</v>
      </c>
      <c r="I70">
        <f t="shared" si="15"/>
        <v>32.238132404501144</v>
      </c>
      <c r="J70">
        <f t="shared" si="10"/>
        <v>1.8830513576835917</v>
      </c>
      <c r="K70">
        <f t="shared" si="16"/>
        <v>328.59359338844035</v>
      </c>
      <c r="L70">
        <f t="shared" si="17"/>
        <v>299.87473052435962</v>
      </c>
      <c r="M70">
        <f t="shared" si="11"/>
        <v>299.80132166555734</v>
      </c>
      <c r="N70">
        <f t="shared" si="9"/>
        <v>918.48652496298769</v>
      </c>
    </row>
    <row r="71" spans="6:14">
      <c r="F71">
        <f t="shared" si="12"/>
        <v>69</v>
      </c>
      <c r="G71">
        <f t="shared" si="13"/>
        <v>1.2691265448444569</v>
      </c>
      <c r="H71">
        <f t="shared" si="14"/>
        <v>299.87473052435962</v>
      </c>
      <c r="I71">
        <f t="shared" si="15"/>
        <v>32.245058387910639</v>
      </c>
      <c r="J71">
        <f t="shared" si="10"/>
        <v>1.8827540783129413</v>
      </c>
      <c r="K71">
        <f t="shared" si="16"/>
        <v>328.56749671361263</v>
      </c>
      <c r="L71">
        <f t="shared" si="17"/>
        <v>300.02153658180305</v>
      </c>
      <c r="M71">
        <f t="shared" si="11"/>
        <v>299.94813355308133</v>
      </c>
      <c r="N71">
        <f t="shared" si="9"/>
        <v>918.48652496298769</v>
      </c>
    </row>
    <row r="72" spans="6:14">
      <c r="F72">
        <f t="shared" si="12"/>
        <v>70</v>
      </c>
      <c r="G72">
        <f t="shared" si="13"/>
        <v>1.2876539396597044</v>
      </c>
      <c r="H72">
        <f t="shared" si="14"/>
        <v>300.02153658180305</v>
      </c>
      <c r="I72">
        <f t="shared" si="15"/>
        <v>32.25198604308185</v>
      </c>
      <c r="J72">
        <f t="shared" si="10"/>
        <v>1.8824568210691761</v>
      </c>
      <c r="K72">
        <f t="shared" si="16"/>
        <v>328.5413941287195</v>
      </c>
      <c r="L72">
        <f t="shared" si="17"/>
        <v>300.16833097644474</v>
      </c>
      <c r="M72">
        <f t="shared" si="11"/>
        <v>300.09493377912389</v>
      </c>
      <c r="N72">
        <f t="shared" si="9"/>
        <v>918.48652496298769</v>
      </c>
    </row>
    <row r="73" spans="6:14">
      <c r="F73">
        <f t="shared" si="12"/>
        <v>71</v>
      </c>
      <c r="G73">
        <f t="shared" si="13"/>
        <v>1.306181334474952</v>
      </c>
      <c r="H73">
        <f t="shared" si="14"/>
        <v>300.16833097644474</v>
      </c>
      <c r="I73">
        <f t="shared" si="15"/>
        <v>32.258915369898851</v>
      </c>
      <c r="J73">
        <f t="shared" si="10"/>
        <v>1.8821595859807601</v>
      </c>
      <c r="K73">
        <f t="shared" si="16"/>
        <v>328.51528562831629</v>
      </c>
      <c r="L73">
        <f t="shared" si="17"/>
        <v>300.31511370564158</v>
      </c>
      <c r="M73">
        <f t="shared" si="11"/>
        <v>300.24172234104316</v>
      </c>
      <c r="N73">
        <f t="shared" si="9"/>
        <v>918.48652496298769</v>
      </c>
    </row>
    <row r="74" spans="6:14">
      <c r="F74">
        <f t="shared" si="12"/>
        <v>72</v>
      </c>
      <c r="G74">
        <f t="shared" si="13"/>
        <v>1.3247087292901996</v>
      </c>
      <c r="H74">
        <f t="shared" si="14"/>
        <v>300.31511370564158</v>
      </c>
      <c r="I74">
        <f t="shared" si="15"/>
        <v>32.265846368245228</v>
      </c>
      <c r="J74">
        <f t="shared" si="10"/>
        <v>1.8818623730761523</v>
      </c>
      <c r="K74">
        <f t="shared" si="16"/>
        <v>328.48917120695887</v>
      </c>
      <c r="L74">
        <f t="shared" si="17"/>
        <v>300.46188476674803</v>
      </c>
      <c r="M74">
        <f t="shared" si="11"/>
        <v>300.38849923619478</v>
      </c>
      <c r="N74">
        <f t="shared" si="9"/>
        <v>918.48652496298769</v>
      </c>
    </row>
    <row r="75" spans="6:14">
      <c r="F75">
        <f t="shared" si="12"/>
        <v>73</v>
      </c>
      <c r="G75">
        <f t="shared" si="13"/>
        <v>1.3432361241054471</v>
      </c>
      <c r="H75">
        <f t="shared" si="14"/>
        <v>300.46188476674803</v>
      </c>
      <c r="I75">
        <f t="shared" si="15"/>
        <v>32.272779038004067</v>
      </c>
      <c r="J75">
        <f t="shared" si="10"/>
        <v>1.8815651823838071</v>
      </c>
      <c r="K75">
        <f t="shared" si="16"/>
        <v>328.46305085920392</v>
      </c>
      <c r="L75">
        <f t="shared" si="17"/>
        <v>300.6086441571162</v>
      </c>
      <c r="M75">
        <f t="shared" si="11"/>
        <v>300.53526446193212</v>
      </c>
      <c r="N75">
        <f t="shared" si="9"/>
        <v>918.48652496298769</v>
      </c>
    </row>
    <row r="76" spans="6:14">
      <c r="F76">
        <f t="shared" si="12"/>
        <v>74</v>
      </c>
      <c r="G76">
        <f t="shared" si="13"/>
        <v>1.3617635189206947</v>
      </c>
      <c r="H76">
        <f t="shared" si="14"/>
        <v>300.6086441571162</v>
      </c>
      <c r="I76">
        <f t="shared" si="15"/>
        <v>32.279713379057974</v>
      </c>
      <c r="J76">
        <f t="shared" si="10"/>
        <v>1.881268013932174</v>
      </c>
      <c r="K76">
        <f t="shared" si="16"/>
        <v>328.43692457960856</v>
      </c>
      <c r="L76">
        <f t="shared" si="17"/>
        <v>300.75539187409566</v>
      </c>
      <c r="M76">
        <f t="shared" si="11"/>
        <v>300.68201801560593</v>
      </c>
      <c r="N76">
        <f t="shared" si="9"/>
        <v>918.48652496298769</v>
      </c>
    </row>
    <row r="77" spans="6:14">
      <c r="F77">
        <f t="shared" si="12"/>
        <v>75</v>
      </c>
      <c r="G77">
        <f t="shared" si="13"/>
        <v>1.3802909137359423</v>
      </c>
      <c r="H77">
        <f t="shared" si="14"/>
        <v>300.75539187409566</v>
      </c>
      <c r="I77">
        <f t="shared" si="15"/>
        <v>32.286649391289053</v>
      </c>
      <c r="J77">
        <f t="shared" si="10"/>
        <v>1.8809708677496959</v>
      </c>
      <c r="K77">
        <f t="shared" si="16"/>
        <v>328.41079236273134</v>
      </c>
      <c r="L77">
        <f t="shared" si="17"/>
        <v>300.90212791503359</v>
      </c>
      <c r="M77">
        <f t="shared" si="11"/>
        <v>300.82875989456466</v>
      </c>
      <c r="N77">
        <f t="shared" si="9"/>
        <v>918.48652496298769</v>
      </c>
    </row>
    <row r="78" spans="6:14">
      <c r="F78">
        <f t="shared" si="12"/>
        <v>76</v>
      </c>
      <c r="G78">
        <f t="shared" si="13"/>
        <v>1.3988183085511898</v>
      </c>
      <c r="H78">
        <f t="shared" si="14"/>
        <v>300.90212791503359</v>
      </c>
      <c r="I78">
        <f t="shared" si="15"/>
        <v>32.293587074578923</v>
      </c>
      <c r="J78">
        <f t="shared" si="10"/>
        <v>1.8806737438648118</v>
      </c>
      <c r="K78">
        <f t="shared" si="16"/>
        <v>328.38465420313105</v>
      </c>
      <c r="L78">
        <f t="shared" si="17"/>
        <v>301.04885227727476</v>
      </c>
      <c r="M78">
        <f t="shared" si="11"/>
        <v>300.9754900961542</v>
      </c>
      <c r="N78">
        <f t="shared" si="9"/>
        <v>918.48652496298769</v>
      </c>
    </row>
    <row r="79" spans="6:14">
      <c r="F79">
        <f t="shared" si="12"/>
        <v>77</v>
      </c>
      <c r="G79">
        <f t="shared" si="13"/>
        <v>1.4173457033664374</v>
      </c>
      <c r="H79">
        <f t="shared" si="14"/>
        <v>301.04885227727476</v>
      </c>
      <c r="I79">
        <f t="shared" si="15"/>
        <v>32.30052642880873</v>
      </c>
      <c r="J79">
        <f t="shared" si="10"/>
        <v>1.8803766423059538</v>
      </c>
      <c r="K79">
        <f t="shared" si="16"/>
        <v>328.35851009536754</v>
      </c>
      <c r="L79">
        <f t="shared" si="17"/>
        <v>301.19556495816153</v>
      </c>
      <c r="M79">
        <f t="shared" si="11"/>
        <v>301.12220861771812</v>
      </c>
      <c r="N79">
        <f t="shared" si="9"/>
        <v>918.48652496298769</v>
      </c>
    </row>
    <row r="80" spans="6:14">
      <c r="F80">
        <f t="shared" si="12"/>
        <v>78</v>
      </c>
      <c r="G80">
        <f t="shared" si="13"/>
        <v>1.435873098181685</v>
      </c>
      <c r="H80">
        <f t="shared" si="14"/>
        <v>301.19556495816153</v>
      </c>
      <c r="I80">
        <f t="shared" si="15"/>
        <v>32.307467453859111</v>
      </c>
      <c r="J80">
        <f t="shared" si="10"/>
        <v>1.8800795631015506</v>
      </c>
      <c r="K80">
        <f t="shared" si="16"/>
        <v>328.33236003400128</v>
      </c>
      <c r="L80">
        <f t="shared" si="17"/>
        <v>301.34226595503372</v>
      </c>
      <c r="M80">
        <f t="shared" si="11"/>
        <v>301.2689154565976</v>
      </c>
      <c r="N80">
        <f t="shared" si="9"/>
        <v>918.48652496298769</v>
      </c>
    </row>
    <row r="81" spans="6:14">
      <c r="F81">
        <f t="shared" si="12"/>
        <v>79</v>
      </c>
      <c r="G81">
        <f t="shared" si="13"/>
        <v>1.4544004929969325</v>
      </c>
      <c r="H81">
        <f t="shared" si="14"/>
        <v>301.34226595503372</v>
      </c>
      <c r="I81">
        <f t="shared" si="15"/>
        <v>32.314410149610197</v>
      </c>
      <c r="J81">
        <f t="shared" si="10"/>
        <v>1.8797825062800255</v>
      </c>
      <c r="K81">
        <f t="shared" si="16"/>
        <v>328.30620401359334</v>
      </c>
      <c r="L81">
        <f t="shared" si="17"/>
        <v>301.48895526522881</v>
      </c>
      <c r="M81">
        <f t="shared" si="11"/>
        <v>301.41561061013124</v>
      </c>
      <c r="N81">
        <f t="shared" si="9"/>
        <v>918.48652496298769</v>
      </c>
    </row>
    <row r="82" spans="6:14">
      <c r="F82">
        <f t="shared" si="12"/>
        <v>80</v>
      </c>
      <c r="G82">
        <f t="shared" si="13"/>
        <v>1.4729278878121801</v>
      </c>
      <c r="H82">
        <f t="shared" si="14"/>
        <v>301.48895526522881</v>
      </c>
      <c r="I82">
        <f t="shared" si="15"/>
        <v>32.321354515941664</v>
      </c>
      <c r="J82">
        <f t="shared" si="10"/>
        <v>1.8794854718697944</v>
      </c>
      <c r="K82">
        <f t="shared" si="16"/>
        <v>328.28004202870625</v>
      </c>
      <c r="L82">
        <f t="shared" si="17"/>
        <v>301.63563288608185</v>
      </c>
      <c r="M82">
        <f t="shared" si="11"/>
        <v>301.56229407565536</v>
      </c>
      <c r="N82">
        <f t="shared" si="9"/>
        <v>918.48652496298769</v>
      </c>
    </row>
    <row r="83" spans="6:14">
      <c r="F83">
        <f t="shared" si="12"/>
        <v>81</v>
      </c>
      <c r="G83">
        <f t="shared" si="13"/>
        <v>1.4914552826274277</v>
      </c>
      <c r="H83">
        <f t="shared" si="14"/>
        <v>301.63563288608185</v>
      </c>
      <c r="I83">
        <f t="shared" si="15"/>
        <v>32.328300552732685</v>
      </c>
      <c r="J83">
        <f t="shared" si="10"/>
        <v>1.8791884598992699</v>
      </c>
      <c r="K83">
        <f t="shared" si="16"/>
        <v>328.25387407390258</v>
      </c>
      <c r="L83">
        <f t="shared" si="17"/>
        <v>301.78229881492547</v>
      </c>
      <c r="M83">
        <f t="shared" si="11"/>
        <v>301.70896585050366</v>
      </c>
      <c r="N83">
        <f t="shared" si="9"/>
        <v>918.48652496298769</v>
      </c>
    </row>
    <row r="84" spans="6:14">
      <c r="F84">
        <f t="shared" si="12"/>
        <v>82</v>
      </c>
      <c r="G84">
        <f t="shared" si="13"/>
        <v>1.5099826774426752</v>
      </c>
      <c r="H84">
        <f t="shared" si="14"/>
        <v>301.78229881492547</v>
      </c>
      <c r="I84">
        <f t="shared" si="15"/>
        <v>32.335248259861942</v>
      </c>
      <c r="J84">
        <f t="shared" si="10"/>
        <v>1.8788914703968576</v>
      </c>
      <c r="K84">
        <f t="shared" si="16"/>
        <v>328.22770014374623</v>
      </c>
      <c r="L84">
        <f t="shared" si="17"/>
        <v>301.92895304908978</v>
      </c>
      <c r="M84">
        <f t="shared" si="11"/>
        <v>301.85562593200763</v>
      </c>
      <c r="N84">
        <f t="shared" si="9"/>
        <v>918.48652496298769</v>
      </c>
    </row>
    <row r="85" spans="6:14">
      <c r="F85">
        <f t="shared" si="12"/>
        <v>83</v>
      </c>
      <c r="G85">
        <f t="shared" si="13"/>
        <v>1.5285100722579228</v>
      </c>
      <c r="H85">
        <f t="shared" si="14"/>
        <v>301.92895304908978</v>
      </c>
      <c r="I85">
        <f t="shared" si="15"/>
        <v>32.342197637207612</v>
      </c>
      <c r="J85">
        <f t="shared" si="10"/>
        <v>1.878594503390959</v>
      </c>
      <c r="K85">
        <f t="shared" si="16"/>
        <v>328.20152023280167</v>
      </c>
      <c r="L85">
        <f t="shared" si="17"/>
        <v>302.07559558590259</v>
      </c>
      <c r="M85">
        <f t="shared" si="11"/>
        <v>302.00227431749619</v>
      </c>
      <c r="N85">
        <f t="shared" si="9"/>
        <v>918.48652496298769</v>
      </c>
    </row>
    <row r="86" spans="6:14">
      <c r="F86">
        <f t="shared" si="12"/>
        <v>84</v>
      </c>
      <c r="G86">
        <f t="shared" si="13"/>
        <v>1.5470374670731704</v>
      </c>
      <c r="H86">
        <f t="shared" si="14"/>
        <v>302.07559558590259</v>
      </c>
      <c r="I86">
        <f t="shared" si="15"/>
        <v>32.349148684647382</v>
      </c>
      <c r="J86">
        <f t="shared" si="10"/>
        <v>1.8782975589099711</v>
      </c>
      <c r="K86">
        <f t="shared" si="16"/>
        <v>328.17533433563403</v>
      </c>
      <c r="L86">
        <f t="shared" si="17"/>
        <v>302.22222642268918</v>
      </c>
      <c r="M86">
        <f t="shared" si="11"/>
        <v>302.14891100429588</v>
      </c>
      <c r="N86">
        <f t="shared" si="9"/>
        <v>918.48652496298769</v>
      </c>
    </row>
    <row r="87" spans="6:14">
      <c r="F87">
        <f t="shared" si="12"/>
        <v>85</v>
      </c>
      <c r="G87">
        <f t="shared" si="13"/>
        <v>1.5655648618884179</v>
      </c>
      <c r="H87">
        <f t="shared" si="14"/>
        <v>302.22222642268918</v>
      </c>
      <c r="I87">
        <f t="shared" si="15"/>
        <v>32.356101402058471</v>
      </c>
      <c r="J87">
        <f t="shared" si="10"/>
        <v>1.8780006369822837</v>
      </c>
      <c r="K87">
        <f t="shared" si="16"/>
        <v>328.14914244680961</v>
      </c>
      <c r="L87">
        <f t="shared" si="17"/>
        <v>302.36884555677244</v>
      </c>
      <c r="M87">
        <f t="shared" si="11"/>
        <v>302.29553598973081</v>
      </c>
      <c r="N87">
        <f t="shared" si="9"/>
        <v>918.48652496298769</v>
      </c>
    </row>
    <row r="88" spans="6:14">
      <c r="F88">
        <f t="shared" si="12"/>
        <v>86</v>
      </c>
      <c r="G88">
        <f t="shared" si="13"/>
        <v>1.5840922567036655</v>
      </c>
      <c r="H88">
        <f t="shared" si="14"/>
        <v>302.36884555677244</v>
      </c>
      <c r="I88">
        <f t="shared" si="15"/>
        <v>32.363055789317585</v>
      </c>
      <c r="J88">
        <f t="shared" si="10"/>
        <v>1.8777037376362813</v>
      </c>
      <c r="K88">
        <f t="shared" si="16"/>
        <v>328.12294456089523</v>
      </c>
      <c r="L88">
        <f t="shared" si="17"/>
        <v>302.51545298547285</v>
      </c>
      <c r="M88">
        <f t="shared" si="11"/>
        <v>302.44214927112262</v>
      </c>
      <c r="N88">
        <f t="shared" si="9"/>
        <v>918.48652496298769</v>
      </c>
    </row>
    <row r="89" spans="6:14">
      <c r="F89">
        <f t="shared" si="12"/>
        <v>87</v>
      </c>
      <c r="G89">
        <f t="shared" si="13"/>
        <v>1.6026196515189131</v>
      </c>
      <c r="H89">
        <f t="shared" si="14"/>
        <v>302.51545298547285</v>
      </c>
      <c r="I89">
        <f t="shared" si="15"/>
        <v>32.370011846300947</v>
      </c>
      <c r="J89">
        <f t="shared" si="10"/>
        <v>1.8774068609003427</v>
      </c>
      <c r="K89">
        <f t="shared" si="16"/>
        <v>328.09674067245891</v>
      </c>
      <c r="L89">
        <f t="shared" si="17"/>
        <v>302.66204870610846</v>
      </c>
      <c r="M89">
        <f t="shared" si="11"/>
        <v>302.58875084579063</v>
      </c>
      <c r="N89">
        <f t="shared" si="9"/>
        <v>918.48652496298769</v>
      </c>
    </row>
    <row r="90" spans="6:14">
      <c r="F90">
        <f t="shared" si="12"/>
        <v>88</v>
      </c>
      <c r="G90">
        <f t="shared" si="13"/>
        <v>1.6211470463341606</v>
      </c>
      <c r="H90">
        <f t="shared" si="14"/>
        <v>302.66204870610846</v>
      </c>
      <c r="I90">
        <f t="shared" si="15"/>
        <v>32.376969572884285</v>
      </c>
      <c r="J90">
        <f t="shared" si="10"/>
        <v>1.8771100068028439</v>
      </c>
      <c r="K90">
        <f t="shared" si="16"/>
        <v>328.07053077606889</v>
      </c>
      <c r="L90">
        <f t="shared" si="17"/>
        <v>302.80863271599486</v>
      </c>
      <c r="M90">
        <f t="shared" si="11"/>
        <v>302.73534071105166</v>
      </c>
      <c r="N90">
        <f t="shared" si="9"/>
        <v>918.48652496298769</v>
      </c>
    </row>
    <row r="91" spans="6:14">
      <c r="F91">
        <f t="shared" si="12"/>
        <v>89</v>
      </c>
      <c r="G91">
        <f t="shared" si="13"/>
        <v>1.6396744411494082</v>
      </c>
      <c r="H91">
        <f t="shared" si="14"/>
        <v>302.80863271599486</v>
      </c>
      <c r="I91">
        <f t="shared" si="15"/>
        <v>32.383928968942833</v>
      </c>
      <c r="J91">
        <f t="shared" si="10"/>
        <v>1.8768131753721526</v>
      </c>
      <c r="K91">
        <f t="shared" si="16"/>
        <v>328.04431486629466</v>
      </c>
      <c r="L91">
        <f t="shared" si="17"/>
        <v>302.95520501244522</v>
      </c>
      <c r="M91">
        <f t="shared" si="11"/>
        <v>302.88191886422004</v>
      </c>
      <c r="N91">
        <f t="shared" si="9"/>
        <v>918.48652496298769</v>
      </c>
    </row>
    <row r="92" spans="6:14">
      <c r="F92">
        <f t="shared" si="12"/>
        <v>90</v>
      </c>
      <c r="G92">
        <f t="shared" si="13"/>
        <v>1.6582018359646558</v>
      </c>
      <c r="H92">
        <f t="shared" si="14"/>
        <v>302.95520501244522</v>
      </c>
      <c r="I92">
        <f t="shared" si="15"/>
        <v>32.390890034351337</v>
      </c>
      <c r="J92">
        <f t="shared" si="10"/>
        <v>1.876516366636632</v>
      </c>
      <c r="K92">
        <f t="shared" si="16"/>
        <v>328.01809293770668</v>
      </c>
      <c r="L92">
        <f t="shared" si="17"/>
        <v>303.10176559277028</v>
      </c>
      <c r="M92">
        <f t="shared" si="11"/>
        <v>303.02848530260775</v>
      </c>
      <c r="N92">
        <f t="shared" si="9"/>
        <v>918.48652496298769</v>
      </c>
    </row>
    <row r="93" spans="6:14">
      <c r="F93">
        <f t="shared" si="12"/>
        <v>91</v>
      </c>
      <c r="G93">
        <f t="shared" si="13"/>
        <v>1.6767292307799033</v>
      </c>
      <c r="H93">
        <f t="shared" si="14"/>
        <v>303.10176559277028</v>
      </c>
      <c r="I93">
        <f t="shared" si="15"/>
        <v>32.397852768984038</v>
      </c>
      <c r="J93">
        <f t="shared" si="10"/>
        <v>1.8762195806246407</v>
      </c>
      <c r="K93">
        <f t="shared" si="16"/>
        <v>327.99186498487575</v>
      </c>
      <c r="L93">
        <f t="shared" si="17"/>
        <v>303.24831445427839</v>
      </c>
      <c r="M93">
        <f t="shared" si="11"/>
        <v>303.17504002352433</v>
      </c>
      <c r="N93">
        <f t="shared" si="9"/>
        <v>918.48652496298769</v>
      </c>
    </row>
    <row r="94" spans="6:14">
      <c r="F94">
        <f t="shared" si="12"/>
        <v>92</v>
      </c>
      <c r="G94">
        <f t="shared" si="13"/>
        <v>1.6952566255951509</v>
      </c>
      <c r="H94">
        <f t="shared" si="14"/>
        <v>303.24831445427839</v>
      </c>
      <c r="I94">
        <f t="shared" si="15"/>
        <v>32.404817172714708</v>
      </c>
      <c r="J94">
        <f t="shared" si="10"/>
        <v>1.875922817364529</v>
      </c>
      <c r="K94">
        <f t="shared" si="16"/>
        <v>327.96563100237415</v>
      </c>
      <c r="L94">
        <f t="shared" si="17"/>
        <v>303.39485159427545</v>
      </c>
      <c r="M94">
        <f t="shared" si="11"/>
        <v>303.32158302427695</v>
      </c>
      <c r="N94">
        <f t="shared" si="9"/>
        <v>918.48652496298769</v>
      </c>
    </row>
    <row r="95" spans="6:14">
      <c r="F95">
        <f t="shared" si="12"/>
        <v>93</v>
      </c>
      <c r="G95">
        <f t="shared" si="13"/>
        <v>1.7137840204103985</v>
      </c>
      <c r="H95">
        <f t="shared" si="14"/>
        <v>303.39485159427545</v>
      </c>
      <c r="I95">
        <f t="shared" si="15"/>
        <v>32.411783245416601</v>
      </c>
      <c r="J95">
        <f t="shared" si="10"/>
        <v>1.8756260768846458</v>
      </c>
      <c r="K95">
        <f t="shared" si="16"/>
        <v>327.93939098477432</v>
      </c>
      <c r="L95">
        <f t="shared" si="17"/>
        <v>303.54137701006493</v>
      </c>
      <c r="M95">
        <f t="shared" si="11"/>
        <v>303.46811430217019</v>
      </c>
      <c r="N95">
        <f t="shared" si="9"/>
        <v>918.48652496298769</v>
      </c>
    </row>
    <row r="96" spans="6:14">
      <c r="F96">
        <f t="shared" si="12"/>
        <v>94</v>
      </c>
      <c r="G96">
        <f t="shared" si="13"/>
        <v>1.732311415225646</v>
      </c>
      <c r="H96">
        <f t="shared" si="14"/>
        <v>303.54137701006493</v>
      </c>
      <c r="I96">
        <f t="shared" si="15"/>
        <v>32.418750986962486</v>
      </c>
      <c r="J96">
        <f t="shared" si="10"/>
        <v>1.8753293592133313</v>
      </c>
      <c r="K96">
        <f t="shared" si="16"/>
        <v>327.91314492664998</v>
      </c>
      <c r="L96">
        <f t="shared" si="17"/>
        <v>303.68789069894791</v>
      </c>
      <c r="M96">
        <f t="shared" si="11"/>
        <v>303.61463385450645</v>
      </c>
      <c r="N96">
        <f t="shared" si="9"/>
        <v>918.48652496298769</v>
      </c>
    </row>
    <row r="97" spans="6:14">
      <c r="F97">
        <f t="shared" si="12"/>
        <v>95</v>
      </c>
      <c r="G97">
        <f t="shared" si="13"/>
        <v>1.7508388100408936</v>
      </c>
      <c r="H97">
        <f t="shared" si="14"/>
        <v>303.68789069894791</v>
      </c>
      <c r="I97">
        <f t="shared" si="15"/>
        <v>32.425720397224651</v>
      </c>
      <c r="J97">
        <f t="shared" si="10"/>
        <v>1.875032664378921</v>
      </c>
      <c r="K97">
        <f t="shared" si="16"/>
        <v>327.88689282257565</v>
      </c>
      <c r="L97">
        <f t="shared" si="17"/>
        <v>303.83439265822301</v>
      </c>
      <c r="M97">
        <f t="shared" si="11"/>
        <v>303.76114167858543</v>
      </c>
      <c r="N97">
        <f t="shared" si="9"/>
        <v>918.48652496298769</v>
      </c>
    </row>
    <row r="98" spans="6:14">
      <c r="F98">
        <f t="shared" si="12"/>
        <v>96</v>
      </c>
      <c r="G98">
        <f t="shared" si="13"/>
        <v>1.7693662048561412</v>
      </c>
      <c r="H98">
        <f t="shared" si="14"/>
        <v>303.83439265822301</v>
      </c>
      <c r="I98">
        <f t="shared" si="15"/>
        <v>32.432691476074879</v>
      </c>
      <c r="J98">
        <f t="shared" si="10"/>
        <v>1.8747359924097453</v>
      </c>
      <c r="K98">
        <f t="shared" si="16"/>
        <v>327.8606346671267</v>
      </c>
      <c r="L98">
        <f t="shared" si="17"/>
        <v>303.98088288518642</v>
      </c>
      <c r="M98">
        <f t="shared" si="11"/>
        <v>303.90763777170469</v>
      </c>
      <c r="N98">
        <f t="shared" si="9"/>
        <v>918.48652496298769</v>
      </c>
    </row>
    <row r="99" spans="6:14">
      <c r="F99">
        <f t="shared" si="12"/>
        <v>97</v>
      </c>
      <c r="G99">
        <f t="shared" si="13"/>
        <v>1.7878935996713887</v>
      </c>
      <c r="H99">
        <f t="shared" si="14"/>
        <v>303.98088288518642</v>
      </c>
      <c r="I99">
        <f t="shared" si="15"/>
        <v>32.439664223384462</v>
      </c>
      <c r="J99">
        <f t="shared" si="10"/>
        <v>1.874439343334128</v>
      </c>
      <c r="K99">
        <f t="shared" si="16"/>
        <v>327.83437045487932</v>
      </c>
      <c r="L99">
        <f t="shared" si="17"/>
        <v>304.12736137713193</v>
      </c>
      <c r="M99">
        <f t="shared" si="11"/>
        <v>304.05412213115915</v>
      </c>
      <c r="N99">
        <f t="shared" si="9"/>
        <v>918.48652496298769</v>
      </c>
    </row>
    <row r="100" spans="6:14">
      <c r="F100">
        <f t="shared" si="12"/>
        <v>98</v>
      </c>
      <c r="G100">
        <f t="shared" si="13"/>
        <v>1.8064209944866363</v>
      </c>
      <c r="H100">
        <f t="shared" si="14"/>
        <v>304.12736137713193</v>
      </c>
      <c r="I100">
        <f t="shared" si="15"/>
        <v>32.446638639024187</v>
      </c>
      <c r="J100">
        <f t="shared" si="10"/>
        <v>1.8741427171803895</v>
      </c>
      <c r="K100">
        <f t="shared" si="16"/>
        <v>327.80810018041046</v>
      </c>
      <c r="L100">
        <f t="shared" si="17"/>
        <v>304.27382813135097</v>
      </c>
      <c r="M100">
        <f t="shared" si="11"/>
        <v>304.20059475424148</v>
      </c>
      <c r="N100">
        <f t="shared" si="9"/>
        <v>918.48652496298769</v>
      </c>
    </row>
    <row r="101" spans="6:14">
      <c r="F101">
        <f t="shared" si="12"/>
        <v>99</v>
      </c>
      <c r="G101">
        <f t="shared" si="13"/>
        <v>1.8249483893018839</v>
      </c>
      <c r="H101">
        <f t="shared" si="14"/>
        <v>304.27382813135097</v>
      </c>
      <c r="I101">
        <f t="shared" si="15"/>
        <v>32.453614722864366</v>
      </c>
      <c r="J101">
        <f t="shared" si="10"/>
        <v>1.8738461139768414</v>
      </c>
      <c r="K101">
        <f t="shared" si="16"/>
        <v>327.78182383829824</v>
      </c>
      <c r="L101">
        <f t="shared" si="17"/>
        <v>304.42028314513237</v>
      </c>
      <c r="M101">
        <f t="shared" si="11"/>
        <v>304.34705563824167</v>
      </c>
      <c r="N101">
        <f t="shared" si="9"/>
        <v>918.48652496298769</v>
      </c>
    </row>
    <row r="102" spans="6:14">
      <c r="F102">
        <f t="shared" si="12"/>
        <v>100</v>
      </c>
      <c r="G102">
        <f t="shared" si="13"/>
        <v>1.8434757841171314</v>
      </c>
      <c r="H102">
        <f t="shared" si="14"/>
        <v>304.42028314513237</v>
      </c>
      <c r="I102">
        <f t="shared" si="15"/>
        <v>32.460592474774806</v>
      </c>
      <c r="J102">
        <f t="shared" si="10"/>
        <v>1.8735495337517929</v>
      </c>
      <c r="K102">
        <f t="shared" si="16"/>
        <v>327.75554142312131</v>
      </c>
      <c r="L102">
        <f t="shared" si="17"/>
        <v>304.56672641576273</v>
      </c>
      <c r="M102">
        <f t="shared" si="11"/>
        <v>304.49350478044755</v>
      </c>
      <c r="N102">
        <f>$B$14</f>
        <v>918.48652496298769</v>
      </c>
    </row>
    <row r="105" spans="6:14">
      <c r="J105" t="s">
        <v>1077</v>
      </c>
      <c r="K105">
        <f>SUM(K3:K102)</f>
        <v>32904.691401483622</v>
      </c>
      <c r="L105" t="s">
        <v>140</v>
      </c>
    </row>
    <row r="107" spans="6:14">
      <c r="J107" t="s">
        <v>1078</v>
      </c>
      <c r="K107">
        <f>SUM(J3:J102)/100</f>
        <v>1.8882662970639965</v>
      </c>
    </row>
    <row r="109" spans="6:14">
      <c r="J109" t="s">
        <v>1079</v>
      </c>
      <c r="K109">
        <f>SUM(I1:I102)/100</f>
        <v>32.117895759940389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11</vt:i4>
      </vt:variant>
    </vt:vector>
  </HeadingPairs>
  <TitlesOfParts>
    <vt:vector size="15" baseType="lpstr">
      <vt:lpstr>Parte S</vt:lpstr>
      <vt:lpstr>Parte A</vt:lpstr>
      <vt:lpstr>Parte B</vt:lpstr>
      <vt:lpstr>Parte C</vt:lpstr>
      <vt:lpstr>A_aria</vt:lpstr>
      <vt:lpstr>beta</vt:lpstr>
      <vt:lpstr>epsilon_fumiscar</vt:lpstr>
      <vt:lpstr>g</vt:lpstr>
      <vt:lpstr>h_2int</vt:lpstr>
      <vt:lpstr>L</vt:lpstr>
      <vt:lpstr>L_cannaf</vt:lpstr>
      <vt:lpstr>ni_Tint</vt:lpstr>
      <vt:lpstr>phi_5</vt:lpstr>
      <vt:lpstr>sigma_B</vt:lpstr>
      <vt:lpstr>T_int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Luigi Tagliavini</dc:creator>
  <cp:keywords/>
  <dc:description/>
  <cp:lastModifiedBy>Alessandro Peripoli</cp:lastModifiedBy>
  <cp:revision/>
  <dcterms:created xsi:type="dcterms:W3CDTF">2019-04-11T14:30:50Z</dcterms:created>
  <dcterms:modified xsi:type="dcterms:W3CDTF">2019-09-24T21:25:48Z</dcterms:modified>
  <cp:category/>
  <cp:contentStatus/>
</cp:coreProperties>
</file>