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ss\Politecnico di Torino\SANTORO GIANMARCO - Progetto_CDM\"/>
    </mc:Choice>
  </mc:AlternateContent>
  <xr:revisionPtr revIDLastSave="2282" documentId="6_{B509EE79-CE26-4A06-A7CE-EB4F2C0D6F7B}" xr6:coauthVersionLast="36" xr6:coauthVersionMax="43" xr10:uidLastSave="{150E5773-71DD-4B41-919B-F1845C5CE0FD}"/>
  <bookViews>
    <workbookView minimized="1" xWindow="0" yWindow="456" windowWidth="25596" windowHeight="14520" xr2:uid="{8474294D-5EDD-F343-9903-E1C3F82EE4F0}"/>
  </bookViews>
  <sheets>
    <sheet name="RISULTATI" sheetId="1" r:id="rId1"/>
    <sheet name="Geometria" sheetId="2" r:id="rId2"/>
    <sheet name="Tabelle" sheetId="6" r:id="rId3"/>
    <sheet name="DATI IMPORTANTI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2" i="7" l="1"/>
  <c r="F45" i="7"/>
  <c r="C473" i="1" l="1"/>
  <c r="C382" i="1"/>
  <c r="C381" i="1"/>
  <c r="C380" i="1"/>
  <c r="D280" i="1"/>
  <c r="D272" i="1"/>
  <c r="D273" i="1"/>
  <c r="I271" i="1"/>
  <c r="C272" i="1"/>
  <c r="C273" i="1"/>
  <c r="I267" i="1" l="1"/>
  <c r="C286" i="1"/>
  <c r="C285" i="1"/>
  <c r="D74" i="1"/>
  <c r="C73" i="1"/>
  <c r="C69" i="1"/>
  <c r="C67" i="1"/>
  <c r="G411" i="1" l="1"/>
  <c r="C74" i="1"/>
  <c r="D445" i="1"/>
  <c r="C449" i="1" s="1"/>
  <c r="D423" i="1"/>
  <c r="C290" i="1" l="1"/>
  <c r="D290" i="1" s="1"/>
  <c r="C597" i="1"/>
  <c r="C606" i="1" s="1"/>
  <c r="C596" i="1"/>
  <c r="G596" i="1" s="1"/>
  <c r="C663" i="1"/>
  <c r="C127" i="1"/>
  <c r="F121" i="1"/>
  <c r="I6" i="2" l="1"/>
  <c r="G6" i="2" l="1"/>
  <c r="B11" i="2" s="1"/>
  <c r="C6" i="2"/>
  <c r="K29" i="7" l="1"/>
  <c r="J29" i="7" l="1"/>
  <c r="J83" i="7"/>
  <c r="A83" i="7"/>
  <c r="F752" i="1" l="1"/>
  <c r="N32" i="7"/>
  <c r="N30" i="7"/>
  <c r="K30" i="7"/>
  <c r="N16" i="7"/>
  <c r="K16" i="7"/>
  <c r="B23" i="7" l="1"/>
  <c r="C552" i="1"/>
  <c r="N29" i="7"/>
  <c r="M29" i="7"/>
  <c r="M26" i="7"/>
  <c r="J26" i="7"/>
  <c r="C565" i="1" l="1"/>
  <c r="C568" i="1"/>
  <c r="K55" i="7"/>
  <c r="K54" i="7"/>
  <c r="H55" i="7"/>
  <c r="H54" i="7"/>
  <c r="E55" i="7"/>
  <c r="E54" i="7"/>
  <c r="B55" i="7"/>
  <c r="B54" i="7"/>
  <c r="B36" i="7"/>
  <c r="B37" i="7"/>
  <c r="B35" i="7"/>
  <c r="N26" i="7" l="1"/>
  <c r="K26" i="7"/>
  <c r="C723" i="1" l="1"/>
  <c r="C684" i="1" l="1"/>
  <c r="C691" i="1" s="1"/>
  <c r="C664" i="1"/>
  <c r="C598" i="1"/>
  <c r="C587" i="1"/>
  <c r="C694" i="1" l="1"/>
  <c r="C711" i="1"/>
  <c r="K15" i="7"/>
  <c r="J15" i="7"/>
  <c r="N15" i="7"/>
  <c r="M15" i="7"/>
  <c r="N44" i="7"/>
  <c r="M44" i="7"/>
  <c r="K44" i="7"/>
  <c r="J44" i="7"/>
  <c r="C585" i="1"/>
  <c r="C589" i="1" s="1"/>
  <c r="N38" i="7"/>
  <c r="N37" i="7"/>
  <c r="N36" i="7"/>
  <c r="N45" i="7"/>
  <c r="K45" i="7"/>
  <c r="N41" i="7"/>
  <c r="M41" i="7"/>
  <c r="K41" i="7"/>
  <c r="J41" i="7"/>
  <c r="K38" i="7"/>
  <c r="K37" i="7"/>
  <c r="K36" i="7"/>
  <c r="C608" i="1" l="1"/>
  <c r="C337" i="1" l="1"/>
  <c r="C340" i="1"/>
  <c r="E36" i="7" l="1"/>
  <c r="C685" i="1"/>
  <c r="C716" i="1" s="1"/>
  <c r="C745" i="1"/>
  <c r="F335" i="1"/>
  <c r="C754" i="1" l="1"/>
  <c r="C771" i="1"/>
  <c r="C760" i="1"/>
  <c r="C763" i="1"/>
  <c r="E12" i="7" l="1"/>
  <c r="B8" i="7"/>
  <c r="B7" i="7"/>
  <c r="B6" i="7"/>
  <c r="K53" i="7" l="1"/>
  <c r="H53" i="7"/>
  <c r="E53" i="7"/>
  <c r="B53" i="7"/>
  <c r="N22" i="7"/>
  <c r="N23" i="7"/>
  <c r="N21" i="7"/>
  <c r="K22" i="7"/>
  <c r="K23" i="7"/>
  <c r="K21" i="7"/>
  <c r="K12" i="7"/>
  <c r="J12" i="7"/>
  <c r="M12" i="7" l="1"/>
  <c r="K8" i="7"/>
  <c r="K9" i="7"/>
  <c r="K7" i="7"/>
  <c r="N12" i="7"/>
  <c r="N8" i="7"/>
  <c r="N9" i="7"/>
  <c r="N7" i="7"/>
  <c r="B22" i="7"/>
  <c r="B21" i="7"/>
  <c r="B20" i="7"/>
  <c r="E26" i="7"/>
  <c r="E24" i="7"/>
  <c r="E22" i="7"/>
  <c r="C254" i="1" l="1"/>
  <c r="E7" i="7" s="1"/>
  <c r="F221" i="1" l="1"/>
  <c r="E221" i="1"/>
  <c r="D221" i="1"/>
  <c r="C221" i="1"/>
  <c r="D532" i="1"/>
  <c r="D510" i="1"/>
  <c r="D486" i="1"/>
  <c r="D461" i="1"/>
  <c r="D437" i="1"/>
  <c r="F125" i="1"/>
  <c r="C133" i="1"/>
  <c r="C125" i="1"/>
  <c r="C431" i="1"/>
  <c r="H397" i="1" l="1"/>
  <c r="C120" i="1"/>
  <c r="C724" i="1" l="1"/>
  <c r="C733" i="1" s="1"/>
  <c r="C713" i="1"/>
  <c r="C735" i="1"/>
  <c r="C725" i="1"/>
  <c r="C715" i="1" l="1"/>
  <c r="D340" i="1"/>
  <c r="E40" i="7" s="1"/>
  <c r="D254" i="1"/>
  <c r="E11" i="7" s="1"/>
  <c r="D45" i="1"/>
  <c r="E27" i="7" s="1"/>
  <c r="C45" i="1"/>
  <c r="E430" i="1"/>
  <c r="C409" i="1"/>
  <c r="E408" i="1" s="1"/>
  <c r="E21" i="7" l="1"/>
  <c r="C732" i="1"/>
  <c r="C736" i="1" s="1"/>
  <c r="C737" i="1" s="1"/>
  <c r="C675" i="1"/>
  <c r="C665" i="1"/>
  <c r="C673" i="1"/>
  <c r="C654" i="1"/>
  <c r="D771" i="1" l="1"/>
  <c r="G663" i="1"/>
  <c r="C617" i="1"/>
  <c r="C626" i="1" l="1"/>
  <c r="C635" i="1"/>
  <c r="C632" i="1"/>
  <c r="C605" i="1"/>
  <c r="C609" i="1" s="1"/>
  <c r="C610" i="1" s="1"/>
  <c r="C652" i="1"/>
  <c r="C526" i="1"/>
  <c r="E525" i="1" s="1"/>
  <c r="C504" i="1"/>
  <c r="E503" i="1" s="1"/>
  <c r="D543" i="1"/>
  <c r="D534" i="1"/>
  <c r="D521" i="1"/>
  <c r="D512" i="1"/>
  <c r="D497" i="1"/>
  <c r="C480" i="1"/>
  <c r="E479" i="1" s="1"/>
  <c r="C455" i="1"/>
  <c r="E454" i="1" s="1"/>
  <c r="C656" i="1" l="1"/>
  <c r="C672" i="1"/>
  <c r="C676" i="1" s="1"/>
  <c r="C677" i="1" s="1"/>
  <c r="D255" i="1"/>
  <c r="E10" i="7" s="1"/>
  <c r="C399" i="1" l="1"/>
  <c r="D341" i="1"/>
  <c r="E39" i="7" s="1"/>
  <c r="D488" i="1" l="1"/>
  <c r="C33" i="1" l="1"/>
  <c r="E21" i="2"/>
  <c r="B21" i="2" s="1"/>
  <c r="F559" i="1" s="1"/>
  <c r="C574" i="1" l="1"/>
  <c r="C583" i="1"/>
  <c r="B52" i="7"/>
  <c r="E52" i="7"/>
  <c r="D472" i="1"/>
  <c r="D463" i="1"/>
  <c r="D426" i="1"/>
  <c r="D448" i="1"/>
  <c r="D417" i="1"/>
  <c r="D439" i="1"/>
  <c r="C576" i="1" l="1"/>
  <c r="D576" i="1" s="1"/>
  <c r="C32" i="1"/>
  <c r="D306" i="1" l="1"/>
  <c r="D218" i="1" l="1"/>
  <c r="C218" i="1"/>
  <c r="E218" i="1"/>
  <c r="F218" i="1"/>
  <c r="D173" i="1"/>
  <c r="F202" i="1"/>
  <c r="E202" i="1"/>
  <c r="D202" i="1"/>
  <c r="C202" i="1"/>
  <c r="D201" i="1"/>
  <c r="E201" i="1"/>
  <c r="F201" i="1"/>
  <c r="C201" i="1"/>
  <c r="F199" i="1"/>
  <c r="F200" i="1" s="1"/>
  <c r="F198" i="1" s="1"/>
  <c r="E199" i="1"/>
  <c r="E200" i="1" s="1"/>
  <c r="E198" i="1" s="1"/>
  <c r="D199" i="1"/>
  <c r="D200" i="1" s="1"/>
  <c r="D198" i="1" s="1"/>
  <c r="C199" i="1"/>
  <c r="C200" i="1" s="1"/>
  <c r="C198" i="1" s="1"/>
  <c r="F173" i="1"/>
  <c r="E173" i="1"/>
  <c r="C173" i="1"/>
  <c r="D172" i="1"/>
  <c r="E172" i="1"/>
  <c r="F172" i="1"/>
  <c r="C172" i="1"/>
  <c r="D168" i="1"/>
  <c r="E168" i="1"/>
  <c r="F168" i="1"/>
  <c r="C168" i="1"/>
  <c r="C175" i="1" l="1"/>
  <c r="C226" i="1"/>
  <c r="D226" i="1"/>
  <c r="E226" i="1"/>
  <c r="F226" i="1"/>
  <c r="E222" i="1"/>
  <c r="D222" i="1"/>
  <c r="C222" i="1"/>
  <c r="C224" i="1" s="1"/>
  <c r="F222" i="1"/>
  <c r="D175" i="1"/>
  <c r="E175" i="1"/>
  <c r="F175" i="1"/>
  <c r="C128" i="1"/>
  <c r="F224" i="1" l="1"/>
  <c r="F220" i="1"/>
  <c r="D224" i="1"/>
  <c r="D220" i="1"/>
  <c r="C220" i="1"/>
  <c r="E220" i="1"/>
  <c r="E224" i="1"/>
  <c r="H107" i="6" l="1"/>
  <c r="H109" i="6" s="1"/>
  <c r="F148" i="1" s="1"/>
  <c r="F107" i="6"/>
  <c r="F109" i="6" s="1"/>
  <c r="D148" i="1" s="1"/>
  <c r="F21" i="2"/>
  <c r="C21" i="2" s="1"/>
  <c r="C257" i="1"/>
  <c r="E9" i="7" s="1"/>
  <c r="H6" i="2"/>
  <c r="G107" i="6" s="1"/>
  <c r="G109" i="6" s="1"/>
  <c r="E148" i="1" s="1"/>
  <c r="F120" i="1"/>
  <c r="F123" i="1" s="1"/>
  <c r="F127" i="1"/>
  <c r="F128" i="1" s="1"/>
  <c r="K52" i="7" l="1"/>
  <c r="H52" i="7"/>
  <c r="C709" i="1"/>
  <c r="C641" i="1"/>
  <c r="C700" i="1"/>
  <c r="C702" i="1" s="1"/>
  <c r="C343" i="1"/>
  <c r="E38" i="7" s="1"/>
  <c r="C650" i="1"/>
  <c r="F624" i="1"/>
  <c r="J11" i="2"/>
  <c r="C184" i="1"/>
  <c r="C149" i="1"/>
  <c r="E184" i="1"/>
  <c r="F122" i="1"/>
  <c r="D149" i="1"/>
  <c r="F149" i="1"/>
  <c r="E149" i="1"/>
  <c r="D702" i="1" l="1"/>
  <c r="C643" i="1"/>
  <c r="D643" i="1" s="1"/>
  <c r="C122" i="1"/>
  <c r="C123" i="1"/>
  <c r="C37" i="1"/>
  <c r="C36" i="1"/>
  <c r="L11" i="2"/>
  <c r="D11" i="2"/>
  <c r="E11" i="2" s="1"/>
  <c r="C49" i="1" l="1"/>
  <c r="D49" i="1"/>
  <c r="M11" i="2"/>
  <c r="E16" i="2"/>
  <c r="B16" i="2"/>
  <c r="B50" i="7" s="1"/>
  <c r="C16" i="2"/>
  <c r="D16" i="2"/>
  <c r="M6" i="2"/>
  <c r="N6" i="2" s="1"/>
  <c r="K6" i="2"/>
  <c r="C80" i="1" l="1"/>
  <c r="C79" i="1"/>
  <c r="I16" i="2"/>
  <c r="C82" i="1"/>
  <c r="C91" i="1"/>
  <c r="C87" i="1"/>
  <c r="C88" i="1" s="1"/>
  <c r="C89" i="1"/>
  <c r="C81" i="1"/>
  <c r="C51" i="1"/>
  <c r="D51" i="1" s="1"/>
  <c r="C714" i="1"/>
  <c r="K50" i="7"/>
  <c r="C655" i="1"/>
  <c r="H50" i="7"/>
  <c r="C588" i="1"/>
  <c r="E50" i="7"/>
  <c r="C255" i="1"/>
  <c r="E8" i="7" s="1"/>
  <c r="E25" i="7"/>
  <c r="C341" i="1"/>
  <c r="E23" i="7"/>
  <c r="C245" i="1"/>
  <c r="C243" i="1"/>
  <c r="J16" i="2"/>
  <c r="M16" i="2" s="1"/>
  <c r="J26" i="2"/>
  <c r="F227" i="1" s="1"/>
  <c r="J21" i="2"/>
  <c r="I26" i="2"/>
  <c r="E227" i="1" s="1"/>
  <c r="I21" i="2"/>
  <c r="H26" i="2"/>
  <c r="D227" i="1" s="1"/>
  <c r="H21" i="2"/>
  <c r="G16" i="2"/>
  <c r="B51" i="7" s="1"/>
  <c r="G26" i="2"/>
  <c r="C227" i="1" s="1"/>
  <c r="G21" i="2"/>
  <c r="B49" i="7" s="1"/>
  <c r="C90" i="1"/>
  <c r="H51" i="7"/>
  <c r="H16" i="2"/>
  <c r="K16" i="2" s="1"/>
  <c r="D2" i="1"/>
  <c r="C11" i="1" s="1"/>
  <c r="C9" i="1"/>
  <c r="F29" i="7" l="1"/>
  <c r="F32" i="7" s="1"/>
  <c r="C778" i="1"/>
  <c r="C785" i="1" s="1"/>
  <c r="C250" i="1"/>
  <c r="C389" i="1"/>
  <c r="C344" i="1"/>
  <c r="D344" i="1" s="1"/>
  <c r="F14" i="7"/>
  <c r="F16" i="7" s="1"/>
  <c r="K51" i="7"/>
  <c r="D251" i="1"/>
  <c r="F11" i="2"/>
  <c r="C260" i="1"/>
  <c r="D260" i="1" s="1"/>
  <c r="C296" i="1"/>
  <c r="C303" i="1" s="1"/>
  <c r="C304" i="1" s="1"/>
  <c r="C387" i="1"/>
  <c r="C388" i="1" s="1"/>
  <c r="E37" i="7"/>
  <c r="N16" i="2"/>
  <c r="E51" i="7"/>
  <c r="D150" i="1"/>
  <c r="E49" i="7"/>
  <c r="F150" i="1"/>
  <c r="K49" i="7"/>
  <c r="E150" i="1"/>
  <c r="H49" i="7"/>
  <c r="C244" i="1"/>
  <c r="C246" i="1" s="1"/>
  <c r="C247" i="1" s="1"/>
  <c r="C329" i="1"/>
  <c r="C325" i="1"/>
  <c r="L16" i="2"/>
  <c r="C12" i="1"/>
  <c r="C185" i="1"/>
  <c r="C203" i="1" s="1"/>
  <c r="E228" i="1"/>
  <c r="F229" i="1" s="1"/>
  <c r="F225" i="1" s="1"/>
  <c r="E185" i="1"/>
  <c r="E203" i="1" s="1"/>
  <c r="C228" i="1"/>
  <c r="C154" i="1"/>
  <c r="C155" i="1" s="1"/>
  <c r="E107" i="6"/>
  <c r="E109" i="6" s="1"/>
  <c r="C148" i="1" s="1"/>
  <c r="O16" i="2"/>
  <c r="D11" i="1"/>
  <c r="C4" i="6"/>
  <c r="C5" i="6"/>
  <c r="C6" i="6"/>
  <c r="C7" i="6"/>
  <c r="C8" i="6"/>
  <c r="C9" i="6"/>
  <c r="C10" i="6"/>
  <c r="C12" i="6"/>
  <c r="C13" i="6"/>
  <c r="C15" i="6"/>
  <c r="C16" i="6"/>
  <c r="C3" i="6"/>
  <c r="F2" i="2"/>
  <c r="G2" i="2" s="1"/>
  <c r="E6" i="2"/>
  <c r="C40" i="1" l="1"/>
  <c r="D41" i="1" s="1"/>
  <c r="C291" i="1"/>
  <c r="D305" i="1" s="1"/>
  <c r="J241" i="1"/>
  <c r="C297" i="1"/>
  <c r="C298" i="1" s="1"/>
  <c r="C306" i="1" s="1"/>
  <c r="C616" i="1"/>
  <c r="C551" i="1"/>
  <c r="C558" i="1" s="1"/>
  <c r="C482" i="1"/>
  <c r="C483" i="1" s="1"/>
  <c r="C457" i="1"/>
  <c r="C458" i="1" s="1"/>
  <c r="D297" i="1"/>
  <c r="D12" i="1"/>
  <c r="C13" i="1"/>
  <c r="F334" i="1" s="1"/>
  <c r="C110" i="1"/>
  <c r="D21" i="1"/>
  <c r="E229" i="1"/>
  <c r="E225" i="1" s="1"/>
  <c r="F203" i="1"/>
  <c r="D203" i="1"/>
  <c r="D229" i="1"/>
  <c r="D225" i="1" s="1"/>
  <c r="C229" i="1"/>
  <c r="C225" i="1" s="1"/>
  <c r="D154" i="1"/>
  <c r="C433" i="1" s="1"/>
  <c r="C223" i="1"/>
  <c r="P16" i="2"/>
  <c r="D26" i="1"/>
  <c r="D27" i="1" s="1"/>
  <c r="N11" i="2"/>
  <c r="C263" i="1" l="1"/>
  <c r="D22" i="1"/>
  <c r="D24" i="1" s="1"/>
  <c r="D23" i="1"/>
  <c r="D13" i="1"/>
  <c r="D114" i="1"/>
  <c r="D110" i="1"/>
  <c r="C311" i="1"/>
  <c r="C319" i="1" s="1"/>
  <c r="C634" i="1"/>
  <c r="C640" i="1" s="1"/>
  <c r="F641" i="1" s="1"/>
  <c r="C567" i="1"/>
  <c r="C573" i="1" s="1"/>
  <c r="F574" i="1" s="1"/>
  <c r="C683" i="1"/>
  <c r="C744" i="1"/>
  <c r="C305" i="1"/>
  <c r="C581" i="1"/>
  <c r="H335" i="1"/>
  <c r="K339" i="1"/>
  <c r="C623" i="1"/>
  <c r="C648" i="1"/>
  <c r="C653" i="1" s="1"/>
  <c r="C669" i="1" s="1"/>
  <c r="F32" i="1"/>
  <c r="G32" i="1" s="1"/>
  <c r="C278" i="1"/>
  <c r="C277" i="1" s="1"/>
  <c r="F36" i="1"/>
  <c r="C347" i="1"/>
  <c r="E26" i="1"/>
  <c r="E21" i="1"/>
  <c r="D209" i="1" s="1"/>
  <c r="C114" i="1"/>
  <c r="C231" i="1"/>
  <c r="C230" i="1" s="1"/>
  <c r="C234" i="1" s="1"/>
  <c r="C156" i="1"/>
  <c r="C157" i="1"/>
  <c r="E154" i="1"/>
  <c r="C411" i="1" s="1"/>
  <c r="C412" i="1" s="1"/>
  <c r="D155" i="1"/>
  <c r="D157" i="1" s="1"/>
  <c r="D28" i="1"/>
  <c r="D29" i="1"/>
  <c r="C586" i="1" l="1"/>
  <c r="C602" i="1" s="1"/>
  <c r="G49" i="1"/>
  <c r="G48" i="1"/>
  <c r="C349" i="1"/>
  <c r="G47" i="1"/>
  <c r="G51" i="1" s="1"/>
  <c r="C265" i="1"/>
  <c r="C266" i="1" s="1"/>
  <c r="G46" i="1"/>
  <c r="C751" i="1"/>
  <c r="C762" i="1"/>
  <c r="C768" i="1" s="1"/>
  <c r="F769" i="1" s="1"/>
  <c r="C693" i="1"/>
  <c r="C699" i="1" s="1"/>
  <c r="F700" i="1" s="1"/>
  <c r="C707" i="1"/>
  <c r="C712" i="1" s="1"/>
  <c r="C729" i="1" s="1"/>
  <c r="C328" i="1"/>
  <c r="C330" i="1" s="1"/>
  <c r="C362" i="1"/>
  <c r="C350" i="1"/>
  <c r="K155" i="1"/>
  <c r="F161" i="1" s="1"/>
  <c r="D347" i="1"/>
  <c r="D296" i="1"/>
  <c r="C274" i="1"/>
  <c r="D161" i="1"/>
  <c r="E22" i="1"/>
  <c r="E24" i="1" s="1"/>
  <c r="D264" i="1" s="1"/>
  <c r="E23" i="1"/>
  <c r="E28" i="1"/>
  <c r="E158" i="1"/>
  <c r="E161" i="1"/>
  <c r="E27" i="1"/>
  <c r="E29" i="1" s="1"/>
  <c r="D158" i="1"/>
  <c r="E209" i="1"/>
  <c r="C348" i="1"/>
  <c r="C55" i="1"/>
  <c r="K154" i="1"/>
  <c r="D263" i="1"/>
  <c r="D278" i="1" s="1"/>
  <c r="D277" i="1" s="1"/>
  <c r="C264" i="1"/>
  <c r="D223" i="1"/>
  <c r="D231" i="1"/>
  <c r="D230" i="1" s="1"/>
  <c r="D156" i="1"/>
  <c r="F154" i="1"/>
  <c r="E155" i="1"/>
  <c r="C60" i="1"/>
  <c r="G36" i="1"/>
  <c r="D265" i="1" l="1"/>
  <c r="D274" i="1" s="1"/>
  <c r="D60" i="1"/>
  <c r="F158" i="1"/>
  <c r="D320" i="1"/>
  <c r="E320" i="1" s="1"/>
  <c r="F209" i="1"/>
  <c r="F155" i="1"/>
  <c r="C506" i="1"/>
  <c r="C507" i="1" s="1"/>
  <c r="C528" i="1"/>
  <c r="C529" i="1" s="1"/>
  <c r="D266" i="1"/>
  <c r="H47" i="1"/>
  <c r="H52" i="1" s="1"/>
  <c r="D349" i="1"/>
  <c r="H49" i="1"/>
  <c r="D348" i="1"/>
  <c r="C351" i="1"/>
  <c r="C352" i="1"/>
  <c r="C357" i="1" s="1"/>
  <c r="C356" i="1" s="1"/>
  <c r="C375" i="1" s="1"/>
  <c r="H46" i="1"/>
  <c r="G52" i="1"/>
  <c r="C59" i="1" s="1"/>
  <c r="C58" i="1" s="1"/>
  <c r="D153" i="1"/>
  <c r="D162" i="1" s="1"/>
  <c r="H51" i="1"/>
  <c r="D55" i="1" s="1"/>
  <c r="D56" i="1" s="1"/>
  <c r="G410" i="1"/>
  <c r="H48" i="1"/>
  <c r="C161" i="1"/>
  <c r="C158" i="1"/>
  <c r="C153" i="1" s="1"/>
  <c r="C208" i="1" s="1"/>
  <c r="C209" i="1"/>
  <c r="E223" i="1"/>
  <c r="E231" i="1"/>
  <c r="E230" i="1" s="1"/>
  <c r="D234" i="1"/>
  <c r="E156" i="1"/>
  <c r="E157" i="1"/>
  <c r="E153" i="1" s="1"/>
  <c r="C56" i="1"/>
  <c r="D79" i="1" l="1"/>
  <c r="D87" i="1"/>
  <c r="C62" i="1"/>
  <c r="F231" i="1"/>
  <c r="F230" i="1" s="1"/>
  <c r="F234" i="1" s="1"/>
  <c r="F157" i="1"/>
  <c r="F153" i="1" s="1"/>
  <c r="F162" i="1" s="1"/>
  <c r="F179" i="1" s="1"/>
  <c r="F223" i="1"/>
  <c r="F156" i="1"/>
  <c r="D178" i="1"/>
  <c r="D179" i="1"/>
  <c r="D59" i="1"/>
  <c r="D63" i="1" s="1"/>
  <c r="G433" i="1" s="1"/>
  <c r="G481" i="1"/>
  <c r="G456" i="1"/>
  <c r="C361" i="1"/>
  <c r="C360" i="1" s="1"/>
  <c r="D371" i="1" s="1"/>
  <c r="D361" i="1"/>
  <c r="D360" i="1" s="1"/>
  <c r="G457" i="1"/>
  <c r="D281" i="1"/>
  <c r="G482" i="1" s="1"/>
  <c r="D350" i="1"/>
  <c r="D362" i="1"/>
  <c r="D357" i="1"/>
  <c r="D208" i="1"/>
  <c r="D210" i="1" s="1"/>
  <c r="D237" i="1" s="1"/>
  <c r="C281" i="1"/>
  <c r="G432" i="1"/>
  <c r="C434" i="1"/>
  <c r="D375" i="1"/>
  <c r="D388" i="1" s="1"/>
  <c r="D387" i="1"/>
  <c r="H69" i="1"/>
  <c r="I69" i="1" s="1"/>
  <c r="J69" i="1" s="1"/>
  <c r="C210" i="1"/>
  <c r="C162" i="1"/>
  <c r="E234" i="1"/>
  <c r="E162" i="1"/>
  <c r="E208" i="1"/>
  <c r="E210" i="1" s="1"/>
  <c r="C63" i="1"/>
  <c r="H73" i="1"/>
  <c r="I73" i="1" s="1"/>
  <c r="D90" i="1"/>
  <c r="H67" i="1"/>
  <c r="D69" i="1"/>
  <c r="D80" i="1" s="1"/>
  <c r="D81" i="1"/>
  <c r="F178" i="1" l="1"/>
  <c r="F208" i="1"/>
  <c r="F210" i="1" s="1"/>
  <c r="F237" i="1" s="1"/>
  <c r="E178" i="1"/>
  <c r="E179" i="1"/>
  <c r="C178" i="1"/>
  <c r="C179" i="1"/>
  <c r="I74" i="1"/>
  <c r="H74" i="1" s="1"/>
  <c r="J74" i="1" s="1"/>
  <c r="D96" i="1" s="1"/>
  <c r="D58" i="1"/>
  <c r="D62" i="1" s="1"/>
  <c r="I411" i="1" s="1"/>
  <c r="C237" i="1"/>
  <c r="C238" i="1"/>
  <c r="E238" i="1"/>
  <c r="D238" i="1"/>
  <c r="G527" i="1"/>
  <c r="G505" i="1"/>
  <c r="C366" i="1"/>
  <c r="D381" i="1"/>
  <c r="C371" i="1"/>
  <c r="D380" i="1" s="1"/>
  <c r="D356" i="1"/>
  <c r="D365" i="1" s="1"/>
  <c r="G506" i="1" s="1"/>
  <c r="D366" i="1"/>
  <c r="G528" i="1" s="1"/>
  <c r="D494" i="1"/>
  <c r="C498" i="1" s="1"/>
  <c r="D352" i="1"/>
  <c r="D351" i="1"/>
  <c r="E375" i="1"/>
  <c r="I433" i="1"/>
  <c r="C280" i="1"/>
  <c r="E69" i="1"/>
  <c r="E237" i="1"/>
  <c r="J73" i="1"/>
  <c r="E74" i="1"/>
  <c r="D73" i="1"/>
  <c r="E73" i="1" s="1"/>
  <c r="C95" i="1" s="1"/>
  <c r="C101" i="1" s="1"/>
  <c r="D113" i="1" l="1"/>
  <c r="F135" i="1" s="1"/>
  <c r="G135" i="1" s="1"/>
  <c r="C450" i="1"/>
  <c r="E450" i="1" s="1"/>
  <c r="D95" i="1"/>
  <c r="D109" i="1" s="1"/>
  <c r="C135" i="1" s="1"/>
  <c r="F238" i="1"/>
  <c r="D540" i="1"/>
  <c r="C544" i="1" s="1"/>
  <c r="C545" i="1" s="1"/>
  <c r="E545" i="1" s="1"/>
  <c r="C427" i="1"/>
  <c r="E427" i="1" s="1"/>
  <c r="D495" i="1"/>
  <c r="C499" i="1"/>
  <c r="E499" i="1" s="1"/>
  <c r="I506" i="1"/>
  <c r="D518" i="1"/>
  <c r="I528" i="1"/>
  <c r="E371" i="1"/>
  <c r="C392" i="1" s="1"/>
  <c r="I482" i="1"/>
  <c r="D115" i="1"/>
  <c r="I457" i="1"/>
  <c r="D469" i="1"/>
  <c r="D303" i="1"/>
  <c r="D304" i="1"/>
  <c r="D446" i="1"/>
  <c r="D89" i="1"/>
  <c r="C96" i="1"/>
  <c r="C104" i="1" s="1"/>
  <c r="D88" i="1"/>
  <c r="C109" i="1"/>
  <c r="C522" i="1" l="1"/>
  <c r="D519" i="1"/>
  <c r="D135" i="1"/>
  <c r="D111" i="1"/>
  <c r="C428" i="1"/>
  <c r="E428" i="1" s="1"/>
  <c r="D541" i="1"/>
  <c r="D424" i="1"/>
  <c r="E449" i="1"/>
  <c r="E498" i="1"/>
  <c r="C474" i="1"/>
  <c r="E474" i="1" s="1"/>
  <c r="E544" i="1"/>
  <c r="C523" i="1"/>
  <c r="E523" i="1" s="1"/>
  <c r="H398" i="1"/>
  <c r="C401" i="1"/>
  <c r="D470" i="1"/>
  <c r="E290" i="1"/>
  <c r="C365" i="1"/>
  <c r="C113" i="1"/>
  <c r="C111" i="1"/>
  <c r="D102" i="1" s="1"/>
  <c r="E102" i="1" s="1"/>
  <c r="C310" i="1" l="1"/>
  <c r="C324" i="1" s="1"/>
  <c r="C326" i="1" s="1"/>
  <c r="D317" i="1" s="1"/>
  <c r="E317" i="1" s="1"/>
  <c r="E473" i="1"/>
  <c r="E522" i="1"/>
  <c r="C115" i="1"/>
  <c r="D105" i="1" s="1"/>
  <c r="E105" i="1" s="1"/>
  <c r="C316" i="1" l="1"/>
  <c r="I398" i="1"/>
  <c r="G335" i="1"/>
  <c r="D398" i="1"/>
  <c r="E39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Gianmarco Santoro - gianmarco.santoro2@studio.unibo.it</author>
    <author>Luca Pirini Casadei</author>
    <author>Alessandro Peripoli</author>
  </authors>
  <commentList>
    <comment ref="C9" authorId="0" shapeId="0" xr:uid="{EBA5441B-6D2B-7848-818F-05D5C04B5465}">
      <text>
        <r>
          <rPr>
            <b/>
            <sz val="10"/>
            <color rgb="FF000000"/>
            <rFont val="Tahoma"/>
            <family val="2"/>
          </rPr>
          <t>Verifica Hertziana</t>
        </r>
      </text>
    </comment>
    <comment ref="I16" authorId="0" shapeId="0" xr:uid="{6E95A8F7-BFE3-C543-B2D6-9FBE74E744F0}">
      <text>
        <r>
          <rPr>
            <sz val="10"/>
            <color rgb="FF000000"/>
            <rFont val="Tahoma"/>
            <family val="2"/>
          </rPr>
          <t>In ghisa per colata</t>
        </r>
      </text>
    </comment>
    <comment ref="C32" authorId="0" shapeId="0" xr:uid="{9A4630A7-817E-6045-BE19-3F52C04828BB}">
      <text>
        <r>
          <rPr>
            <sz val="10"/>
            <color rgb="FF000000"/>
            <rFont val="Tahoma"/>
            <family val="2"/>
          </rPr>
          <t>il valore deve essere 2-2.5 HB</t>
        </r>
      </text>
    </comment>
    <comment ref="C40" authorId="0" shapeId="0" xr:uid="{16FCD7D5-5F9C-A94C-99CF-8FA1EC6F4515}">
      <text>
        <r>
          <rPr>
            <sz val="10"/>
            <color rgb="FF000000"/>
            <rFont val="Tahoma"/>
            <family val="2"/>
          </rPr>
          <t xml:space="preserve">Tenedo conto di un CS pari a 5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Questo valore, indicativo, serve per dimensionare grossolanamente i cuscinetti e dei valori di lunghezza parametrica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Il diametro nei cuscinetti dobbiamo prendelo pari a questo valore dopodichè per via degli spallamenti il diametro aumenta e bisogna verificare che resista nelle sezioni più sollecitate sotto gli alberi.</t>
        </r>
      </text>
    </comment>
    <comment ref="B41" authorId="1" shapeId="0" xr:uid="{F13E3F7E-5B98-6E42-981E-97FB4B3E43F3}">
      <text>
        <r>
          <rPr>
            <sz val="10"/>
            <color rgb="FF000000"/>
            <rFont val="Tahoma"/>
            <family val="2"/>
          </rPr>
          <t xml:space="preserve">Diametro utilizzato per il diametro dei due cuscinetti dell'albero 2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D53" authorId="0" shapeId="0" xr:uid="{F4D56527-0678-3842-979F-F2D621F59114}">
      <text>
        <r>
          <rPr>
            <sz val="10"/>
            <color rgb="FF000000"/>
            <rFont val="Tahoma"/>
            <family val="2"/>
          </rPr>
          <t>Se le reazioni vincolari cambiano di verso -assumono valori negativi- controllare i diagrammi di momento flettente</t>
        </r>
      </text>
    </comment>
    <comment ref="B73" authorId="0" shapeId="0" xr:uid="{62A1027F-9A89-9A42-AD45-AB15575BC36D}">
      <text>
        <r>
          <rPr>
            <sz val="10"/>
            <color rgb="FF000000"/>
            <rFont val="Tahoma"/>
            <family val="2"/>
          </rPr>
          <t>La sezione è soggetta a momento concentrato che crea un salto nel grafico</t>
        </r>
      </text>
    </comment>
    <comment ref="G73" authorId="0" shapeId="0" xr:uid="{E9041BD9-C8B5-6645-BF9D-AA50C281FCBA}">
      <text>
        <r>
          <rPr>
            <sz val="10"/>
            <color rgb="FF000000"/>
            <rFont val="Tahoma"/>
            <family val="2"/>
          </rPr>
          <t>La sezione è soggetta a momento concentrato che crea un salto nel grafico</t>
        </r>
      </text>
    </comment>
    <comment ref="C125" authorId="0" shapeId="0" xr:uid="{D057B78A-B760-A644-90B6-1DF7B3B31A2F}">
      <text>
        <r>
          <rPr>
            <sz val="10"/>
            <color rgb="FF000000"/>
            <rFont val="Tahoma"/>
            <family val="2"/>
          </rPr>
          <t>Dato convertito in psi*1000 da leggere in tabella</t>
        </r>
      </text>
    </comment>
    <comment ref="F125" authorId="0" shapeId="0" xr:uid="{2FC7E716-9107-584B-8F1E-A1AB87F20806}">
      <text>
        <r>
          <rPr>
            <sz val="10"/>
            <color rgb="FF000000"/>
            <rFont val="Tahoma"/>
            <family val="2"/>
          </rPr>
          <t>Dato convertito in psi*1000 da leggere in tabella</t>
        </r>
      </text>
    </comment>
    <comment ref="D126" authorId="0" shapeId="0" xr:uid="{BF46044B-C946-0045-A043-0A88962CD124}">
      <text>
        <r>
          <rPr>
            <sz val="10"/>
            <color rgb="FF000000"/>
            <rFont val="Tahoma"/>
            <family val="2"/>
          </rPr>
          <t>Materiale</t>
        </r>
      </text>
    </comment>
    <comment ref="A135" authorId="1" shapeId="0" xr:uid="{EB1D9A31-7679-384E-842B-A5FB74D22E5F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Nel caso di problemi con la verifica a fatica, onsiderare il fatto ch l'intaglio è spostato di B/2 e quindi le sollecitazioni sono inferiori.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   !!!! METTERE NELLA RELAZIONE !!!</t>
        </r>
      </text>
    </comment>
    <comment ref="B135" authorId="0" shapeId="0" xr:uid="{13897000-5754-3043-9A33-BA2C283C1119}">
      <text>
        <r>
          <rPr>
            <sz val="10"/>
            <color rgb="FF000000"/>
            <rFont val="Tahoma"/>
            <family val="2"/>
          </rPr>
          <t>verificare che sia maggiore di 2, se maggiore possiamo calare con diametro</t>
        </r>
      </text>
    </comment>
    <comment ref="C139" authorId="2" shapeId="0" xr:uid="{17070D54-4AE9-4905-BAFB-BBF497D3C89D}">
      <text>
        <r>
          <rPr>
            <sz val="10"/>
            <color rgb="FF000000"/>
            <rFont val="Tahoma"/>
            <family val="2"/>
          </rPr>
          <t>molti fattori correttivi vengono scelti tenendo conto che l'acciaio utilizzato sia cementato, ricordare che, cambiando materiale, motli di questi termini dovranno essere rivisti</t>
        </r>
      </text>
    </comment>
    <comment ref="B148" authorId="0" shapeId="0" xr:uid="{5870E540-47FC-134B-875E-48EB096592BB}">
      <text>
        <r>
          <rPr>
            <sz val="10"/>
            <color rgb="FF000000"/>
            <rFont val="Tahoma"/>
            <family val="2"/>
          </rPr>
          <t xml:space="preserve">Yfe: è il fattore di forma del dente;
</t>
        </r>
        <r>
          <rPr>
            <sz val="10"/>
            <color rgb="FF000000"/>
            <rFont val="Tahoma"/>
            <family val="2"/>
          </rPr>
          <t>Ys: è il fattore correzione della tensione.</t>
        </r>
      </text>
    </comment>
    <comment ref="B149" authorId="0" shapeId="0" xr:uid="{05DE3628-7C60-004F-972F-41ACA88F3522}">
      <text>
        <r>
          <rPr>
            <sz val="10"/>
            <color rgb="FF000000"/>
            <rFont val="Tahoma"/>
            <family val="2"/>
          </rPr>
          <t xml:space="preserve">Fattore d'angolo d'elica
</t>
        </r>
      </text>
    </comment>
    <comment ref="B150" authorId="0" shapeId="0" xr:uid="{45ADD0A3-89DF-4C4D-B5E4-68471D36FDF5}">
      <text>
        <r>
          <rPr>
            <sz val="10"/>
            <color rgb="FF000000"/>
            <rFont val="Tahoma"/>
            <family val="2"/>
          </rPr>
          <t>Y_B: fattore di spessore della corona</t>
        </r>
      </text>
    </comment>
    <comment ref="C150" authorId="1" shapeId="0" xr:uid="{588D7FDA-8D59-7147-9BF3-B6B1F39B9C42}">
      <text>
        <r>
          <rPr>
            <sz val="10"/>
            <color rgb="FF000000"/>
            <rFont val="Tahoma"/>
            <family val="2"/>
          </rPr>
          <t>è 1 perchè abbiamo fatto la ruota di pezzo.</t>
        </r>
      </text>
    </comment>
    <comment ref="B151" authorId="2" shapeId="0" xr:uid="{2EA4AAC0-8214-4520-9DC3-83CA5BBF2889}">
      <text>
        <r>
          <rPr>
            <sz val="10"/>
            <color indexed="81"/>
            <rFont val="Tahoma"/>
            <family val="2"/>
          </rPr>
          <t>Y_DT: fattore di spessore del dente:
Dipende dalla qualità della ruota, stimata secondo le indicazioni della ISO1328. Considerando una qualità pari a 7, il fattore Y_DT risulta unitario. (Fattore unitario per precisione maggiore di 4).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2" authorId="2" shapeId="0" xr:uid="{66603797-B26A-4E62-8A4B-805EFD1013BB}">
      <text>
        <r>
          <rPr>
            <sz val="10"/>
            <color rgb="FF000000"/>
            <rFont val="Tahoma"/>
            <family val="2"/>
          </rPr>
          <t xml:space="preserve">K_A: fattore di applicazione del carico (ISO 6336-6), tiene conto dell’entità dei sovraccarichi a cui è sottoposto il sistema per cause esterne all’ingranaggio; viene determinato in via qualitativa tramite una tabella in funzione dei tipi di sovraccarico.
</t>
        </r>
      </text>
    </comment>
    <comment ref="C152" authorId="2" shapeId="0" xr:uid="{84739B1C-3206-4F41-AC9B-9FDDF7090A69}">
      <text>
        <r>
          <rPr>
            <sz val="10"/>
            <color indexed="81"/>
            <rFont val="Tahoma"/>
            <family val="2"/>
          </rPr>
          <t xml:space="preserve">si è previsto sovraccarichi leggeri del motore e sovraccarichi moderati della macchina azionata (da ipotizzare la destinazione del riduttore).
</t>
        </r>
      </text>
    </comment>
    <comment ref="B153" authorId="2" shapeId="0" xr:uid="{E404F42B-891E-4257-83C0-5C8ABC554263}">
      <text>
        <r>
          <rPr>
            <sz val="10"/>
            <color indexed="81"/>
            <rFont val="Tahoma"/>
            <family val="2"/>
          </rPr>
          <t>K_V: fattore dinamico, calcolato secondo metodo C della normativa</t>
        </r>
      </text>
    </comment>
    <comment ref="C153" authorId="2" shapeId="0" xr:uid="{BFDCAFB5-1130-4E74-8CF5-CDB03D5231F1}">
      <text>
        <r>
          <rPr>
            <sz val="10"/>
            <color indexed="81"/>
            <rFont val="Tahoma"/>
            <family val="2"/>
          </rPr>
          <t>per la scelta di K1 e K2 si è fatto riferimento ad un grado di precisione pari a 7 secondo le indicazioni della norma ISO1328 (scegliere applicazione riduttore)</t>
        </r>
      </text>
    </comment>
    <comment ref="B159" authorId="2" shapeId="0" xr:uid="{6E618EED-CA62-4637-BD1D-4B6F0D6B6FAA}">
      <text>
        <r>
          <rPr>
            <sz val="10"/>
            <color indexed="81"/>
            <rFont val="Tahoma"/>
            <family val="2"/>
          </rPr>
          <t>fattore di disallineamento</t>
        </r>
      </text>
    </comment>
    <comment ref="B160" authorId="2" shapeId="0" xr:uid="{828CED15-0BC2-422A-9EF4-EF51164CF7F6}">
      <text>
        <r>
          <rPr>
            <sz val="10"/>
            <color indexed="81"/>
            <rFont val="Tahoma"/>
            <family val="2"/>
          </rPr>
          <t>fattore di distribuzione trasversale del carico</t>
        </r>
      </text>
    </comment>
    <comment ref="B168" authorId="2" shapeId="0" xr:uid="{C6CE0EC1-5CDC-40A9-AA47-7BD280484CEF}">
      <text>
        <r>
          <rPr>
            <sz val="10"/>
            <color indexed="81"/>
            <rFont val="Tahoma"/>
            <family val="2"/>
          </rPr>
          <t xml:space="preserve">tensione ammissibile a flessione (bending)
</t>
        </r>
      </text>
    </comment>
    <comment ref="C168" authorId="2" shapeId="0" xr:uid="{58A17914-101B-4D63-8D39-F5C935BCC75B}">
      <text>
        <r>
          <rPr>
            <sz val="10"/>
            <color indexed="81"/>
            <rFont val="Tahoma"/>
            <family val="2"/>
          </rPr>
          <t>da tabella (slide 43) : case hardened (cementato) wrought steels quality MQ
------&gt; sigla: Eh</t>
        </r>
      </text>
    </comment>
    <comment ref="B169" authorId="2" shapeId="0" xr:uid="{747366A3-0607-4C33-91DF-4B4C9859EAFC}">
      <text>
        <r>
          <rPr>
            <sz val="10"/>
            <color rgb="FF000000"/>
            <rFont val="Tahoma"/>
            <family val="2"/>
          </rPr>
          <t>fattore di durata</t>
        </r>
      </text>
    </comment>
    <comment ref="C169" authorId="2" shapeId="0" xr:uid="{0999F645-9739-4F95-A39F-66854D5632B9}">
      <text>
        <r>
          <rPr>
            <sz val="10"/>
            <color indexed="81"/>
            <rFont val="Tahoma"/>
            <family val="2"/>
          </rPr>
          <t>valore unitario per vita illimitata (=3 milioni di cicli) negli acciai cementati (sigla Eh)</t>
        </r>
      </text>
    </comment>
    <comment ref="B170" authorId="2" shapeId="0" xr:uid="{D66E6A87-6A4E-4577-8716-407FA6F58B39}">
      <text>
        <r>
          <rPr>
            <sz val="10"/>
            <color indexed="81"/>
            <rFont val="Tahoma"/>
            <family val="2"/>
          </rPr>
          <t>fattore di correzione della tensione</t>
        </r>
      </text>
    </comment>
    <comment ref="C170" authorId="2" shapeId="0" xr:uid="{147BB087-0A2C-4B96-A651-1C140FF6677A}">
      <text>
        <r>
          <rPr>
            <sz val="10"/>
            <color indexed="81"/>
            <rFont val="Tahoma"/>
            <family val="2"/>
          </rPr>
          <t>valore caratteristico per ruote non oziose</t>
        </r>
      </text>
    </comment>
    <comment ref="B171" authorId="2" shapeId="0" xr:uid="{695087D9-AAAE-4D04-A4F8-A21C380D7911}">
      <text>
        <r>
          <rPr>
            <sz val="10"/>
            <color indexed="81"/>
            <rFont val="Tahoma"/>
            <family val="2"/>
          </rPr>
          <t xml:space="preserve">fattore relativo di sensibilità all'intaglio </t>
        </r>
      </text>
    </comment>
    <comment ref="C171" authorId="2" shapeId="0" xr:uid="{3CFF947D-B027-4ED7-85FE-1D58DDEAB207}">
      <text>
        <r>
          <rPr>
            <sz val="10"/>
            <color indexed="81"/>
            <rFont val="Tahoma"/>
            <family val="2"/>
          </rPr>
          <t>valore preso unitario (calcoli non richiesti)</t>
        </r>
      </text>
    </comment>
    <comment ref="B172" authorId="2" shapeId="0" xr:uid="{D96F6BA0-3A84-4E1E-96D5-5C6A716EB07A}">
      <text>
        <r>
          <rPr>
            <sz val="10"/>
            <color indexed="81"/>
            <rFont val="Tahoma"/>
            <family val="2"/>
          </rPr>
          <t>fattore relativo dello stato superficiale della base del dente: la formula adottata è quella che compete gli acciai cementati nelle condizioni di Rz=6Ra compreso nell'intervallo:
1 &lt; Rz &lt; 40 µm</t>
        </r>
      </text>
    </comment>
    <comment ref="H172" authorId="2" shapeId="0" xr:uid="{79DF1AFE-0A92-4B3F-871C-14B61E943F26}">
      <text>
        <r>
          <rPr>
            <sz val="10"/>
            <color indexed="81"/>
            <rFont val="Tahoma"/>
            <family val="2"/>
          </rPr>
          <t>rugosità caratteristica di denti di ingranaggi (file "critieri per la scelta della rugosità)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3" authorId="2" shapeId="0" xr:uid="{7A4FED94-5DC8-43E6-80D5-24AC93806E7F}">
      <text>
        <r>
          <rPr>
            <sz val="10"/>
            <color rgb="FF000000"/>
            <rFont val="Tahoma"/>
            <family val="2"/>
          </rPr>
          <t>fattore dimensionale</t>
        </r>
      </text>
    </comment>
    <comment ref="B174" authorId="2" shapeId="0" xr:uid="{593F2561-1585-4D4B-BA14-F79EA6FAAF57}">
      <text>
        <r>
          <rPr>
            <sz val="10"/>
            <color indexed="81"/>
            <rFont val="Tahoma"/>
            <family val="2"/>
          </rPr>
          <t>coefficiente di sicurezza: scelto in modo arbitrario</t>
        </r>
      </text>
    </comment>
    <comment ref="B198" authorId="2" shapeId="0" xr:uid="{C48BA903-8178-44F6-8324-AB55C2FDF346}">
      <text>
        <r>
          <rPr>
            <sz val="10"/>
            <color indexed="81"/>
            <rFont val="Tahoma"/>
            <family val="2"/>
          </rPr>
          <t>fattore di zona</t>
        </r>
      </text>
    </comment>
    <comment ref="B200" authorId="2" shapeId="0" xr:uid="{BCFB4CD8-867A-4580-85AB-64A4B4FF3485}">
      <text>
        <r>
          <rPr>
            <sz val="10"/>
            <color indexed="81"/>
            <rFont val="Tahoma"/>
            <family val="2"/>
          </rPr>
          <t>formula valida per profili non spostati</t>
        </r>
      </text>
    </comment>
    <comment ref="B201" authorId="2" shapeId="0" xr:uid="{F096D2BD-64F8-4DBF-B223-5295F4CF6D53}">
      <text>
        <r>
          <rPr>
            <sz val="10"/>
            <color indexed="81"/>
            <rFont val="Tahoma"/>
            <family val="2"/>
          </rPr>
          <t>fattore di elasticità (si è preso coefficiente di poissont pari a 0,3)</t>
        </r>
      </text>
    </comment>
    <comment ref="B202" authorId="2" shapeId="0" xr:uid="{B85278A5-672F-43FE-B72D-2633C4552E54}">
      <text>
        <r>
          <rPr>
            <sz val="10"/>
            <color indexed="81"/>
            <rFont val="Tahoma"/>
            <family val="2"/>
          </rPr>
          <t>fattore dell'angolo d'elica</t>
        </r>
      </text>
    </comment>
    <comment ref="B203" authorId="2" shapeId="0" xr:uid="{99BAF1D5-BF7F-40D5-A3A7-9367761880D5}">
      <text>
        <r>
          <rPr>
            <sz val="10"/>
            <color indexed="81"/>
            <rFont val="Tahoma"/>
            <family val="2"/>
          </rPr>
          <t>fattore del rapporto di condotta</t>
        </r>
      </text>
    </comment>
    <comment ref="B204" authorId="2" shapeId="0" xr:uid="{B5131AE9-6475-44E7-83D9-DB4E9A8233E3}">
      <text>
        <r>
          <rPr>
            <sz val="10"/>
            <color indexed="81"/>
            <rFont val="Tahoma"/>
            <family val="2"/>
          </rPr>
          <t xml:space="preserve">Z_B: fattore di contatto singolo per pignone
Z_D: fattore di contatto singolo per ruota </t>
        </r>
      </text>
    </comment>
    <comment ref="C204" authorId="2" shapeId="0" xr:uid="{C17F5E38-C41A-4C31-B198-855C97F7A659}">
      <text>
        <r>
          <rPr>
            <sz val="10"/>
            <color indexed="81"/>
            <rFont val="Tahoma"/>
            <family val="2"/>
          </rPr>
          <t>valori unitari se coefficiente di ricoprimento e rapporto di condotta entrambi maggiori di 1. 
Questo implica che le tensioni di contatto rappresententano i valori calcolati nel centro di istantanea rotazione</t>
        </r>
      </text>
    </comment>
    <comment ref="B205" authorId="2" shapeId="0" xr:uid="{6AA4A011-21D7-43FD-9DF5-D590E90B4983}">
      <text>
        <r>
          <rPr>
            <sz val="10"/>
            <color indexed="81"/>
            <rFont val="Tahoma"/>
            <family val="2"/>
          </rPr>
          <t>fattore di disallineamento</t>
        </r>
      </text>
    </comment>
    <comment ref="B206" authorId="2" shapeId="0" xr:uid="{B03AB622-6D65-4E3E-B017-36CB9C7C2623}">
      <text>
        <r>
          <rPr>
            <sz val="10"/>
            <color indexed="81"/>
            <rFont val="Tahoma"/>
            <family val="2"/>
          </rPr>
          <t>fattore di distribuzione trasversale del carico</t>
        </r>
      </text>
    </comment>
    <comment ref="B207" authorId="2" shapeId="0" xr:uid="{EFAA75FF-431E-4628-83EF-4871E0978CB1}">
      <text>
        <r>
          <rPr>
            <sz val="10"/>
            <color indexed="81"/>
            <rFont val="Tahoma"/>
            <family val="2"/>
          </rPr>
          <t xml:space="preserve">K_A: fattore di applicazione del carico (ISO 6336-6), tiene conto dell’entità dei sovraccarichi a cui è sottoposto il sistema per cause esterne all’ingranaggio; viene determinato in via qualitativa tramite una tabella in funzione dei tipi di sovraccarico.
</t>
        </r>
      </text>
    </comment>
    <comment ref="C207" authorId="2" shapeId="0" xr:uid="{260F5A00-5C9E-4BB6-BEF2-C171EED7D202}">
      <text>
        <r>
          <rPr>
            <sz val="10"/>
            <color indexed="81"/>
            <rFont val="Tahoma"/>
            <family val="2"/>
          </rPr>
          <t xml:space="preserve">si è previsto sovraccarichi leggeri del motore e sovraccarichi moderati della macchina azionata (da ipotizzare la destinazione del riduttore).
</t>
        </r>
      </text>
    </comment>
    <comment ref="B208" authorId="2" shapeId="0" xr:uid="{B613847C-BA48-450E-B1F5-66DE611B2E59}">
      <text>
        <r>
          <rPr>
            <sz val="10"/>
            <color indexed="81"/>
            <rFont val="Tahoma"/>
            <family val="2"/>
          </rPr>
          <t>K_V: fattore dinamico, calcolato secondo metodo C della normativa</t>
        </r>
      </text>
    </comment>
    <comment ref="B218" authorId="2" shapeId="0" xr:uid="{F6BE5801-FB20-4D9F-8127-3468B1304556}">
      <text>
        <r>
          <rPr>
            <sz val="10"/>
            <color indexed="81"/>
            <rFont val="Tahoma"/>
            <family val="2"/>
          </rPr>
          <t xml:space="preserve">tensione ammissibile di contatto (contact)
</t>
        </r>
      </text>
    </comment>
    <comment ref="C218" authorId="2" shapeId="0" xr:uid="{B82EFFB3-4532-4816-B9C1-1349A2133DE8}">
      <text>
        <r>
          <rPr>
            <sz val="10"/>
            <color rgb="FF000000"/>
            <rFont val="Tahoma"/>
            <family val="2"/>
          </rPr>
          <t xml:space="preserve">da tabella (slide 43) : case hardened (cementato) wrought steels quality MQ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------&gt; sigla: Eh</t>
        </r>
      </text>
    </comment>
    <comment ref="B219" authorId="2" shapeId="0" xr:uid="{ECC79FC1-0212-4A3A-81DE-15B35AAD4EB9}">
      <text>
        <r>
          <rPr>
            <sz val="10"/>
            <color indexed="81"/>
            <rFont val="Tahoma"/>
            <family val="2"/>
          </rPr>
          <t>fattore di durata</t>
        </r>
      </text>
    </comment>
    <comment ref="C219" authorId="2" shapeId="0" xr:uid="{5480F70C-2D7E-4C20-96D4-1BA08A5C716C}">
      <text>
        <r>
          <rPr>
            <sz val="10"/>
            <color indexed="81"/>
            <rFont val="Tahoma"/>
            <family val="2"/>
          </rPr>
          <t>valore unitario per vita illimitata (=1 miliardo di cicli) negli acciai cementati (sigla Eh)</t>
        </r>
      </text>
    </comment>
    <comment ref="B220" authorId="2" shapeId="0" xr:uid="{6CC9D8AD-9E0D-4B80-B127-115F94E2DFD7}">
      <text>
        <r>
          <rPr>
            <sz val="10"/>
            <color indexed="81"/>
            <rFont val="Tahoma"/>
            <family val="2"/>
          </rPr>
          <t>fattore del lubrificante</t>
        </r>
      </text>
    </comment>
    <comment ref="B221" authorId="1" shapeId="0" xr:uid="{A1483E00-DE76-D241-957F-ED51B08DAA8A}">
      <text>
        <r>
          <rPr>
            <sz val="10"/>
            <color rgb="FF000000"/>
            <rFont val="Tahoma"/>
            <family val="2"/>
          </rPr>
          <t>Dipende dal LUBRIFICANTE che è imposto dai cuscinetti</t>
        </r>
      </text>
    </comment>
    <comment ref="B223" authorId="2" shapeId="0" xr:uid="{EA038D2F-F16E-489A-9C7A-826AA2E14790}">
      <text>
        <r>
          <rPr>
            <sz val="10"/>
            <color rgb="FF000000"/>
            <rFont val="Tahoma"/>
            <family val="2"/>
          </rPr>
          <t xml:space="preserve">fattore di velocità
</t>
        </r>
      </text>
    </comment>
    <comment ref="B225" authorId="2" shapeId="0" xr:uid="{8C2AB625-376E-4C21-8679-93FB64641736}">
      <text>
        <r>
          <rPr>
            <sz val="10"/>
            <color indexed="81"/>
            <rFont val="Tahoma"/>
            <family val="2"/>
          </rPr>
          <t>fattore di rugosità</t>
        </r>
      </text>
    </comment>
    <comment ref="H229" authorId="2" shapeId="0" xr:uid="{EABC071B-788E-424C-A177-3EDE6CF71881}">
      <text>
        <r>
          <rPr>
            <sz val="10"/>
            <color indexed="81"/>
            <rFont val="Tahoma"/>
            <family val="2"/>
          </rPr>
          <t>rugosità caratteristica di denti di ingranaggi (file "critieri per la scelta della rugosità)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30" authorId="2" shapeId="0" xr:uid="{98F69948-53F8-4FD7-B186-90D81EB2E966}">
      <text>
        <r>
          <rPr>
            <sz val="10"/>
            <color rgb="FF000000"/>
            <rFont val="Tahoma"/>
            <family val="2"/>
          </rPr>
          <t xml:space="preserve">fattore del rapporto tra durezze
</t>
        </r>
      </text>
    </comment>
    <comment ref="G230" authorId="2" shapeId="0" xr:uid="{D000BAA0-039C-48CF-8056-0AC9F668C7EF}">
      <text>
        <r>
          <rPr>
            <sz val="10"/>
            <color rgb="FF000000"/>
            <rFont val="Tahoma"/>
            <family val="2"/>
          </rPr>
          <t>la formula cambia a seconda della durezza del materiale (si deve considerare la durezza del materiale più tenero delle due ruote che ingranano)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231" authorId="2" shapeId="0" xr:uid="{083E2C8B-16E3-4D09-8DCE-D4667664AE4E}">
      <text>
        <r>
          <rPr>
            <sz val="10"/>
            <color rgb="FF000000"/>
            <rFont val="Tahoma"/>
            <family val="2"/>
          </rPr>
          <t>nella formula manca un termine al numeratore perché unitario quando la rugosità è uguale nelle due ruote che ingranano</t>
        </r>
      </text>
    </comment>
    <comment ref="B232" authorId="2" shapeId="0" xr:uid="{4EFF697E-92E8-4CB2-81EE-2439DDB69DA4}">
      <text>
        <r>
          <rPr>
            <sz val="10"/>
            <color rgb="FF000000"/>
            <rFont val="Tahoma"/>
            <family val="2"/>
          </rPr>
          <t>fattore di dimensione</t>
        </r>
      </text>
    </comment>
    <comment ref="C232" authorId="2" shapeId="0" xr:uid="{ACE3E8EB-2195-4E8E-B5A7-05B2272DBB67}">
      <text>
        <r>
          <rPr>
            <sz val="10"/>
            <color rgb="FF000000"/>
            <rFont val="Tahoma"/>
            <family val="2"/>
          </rPr>
          <t>Se il materiale costituente la ruota è idoneo alla dimensione della stessa ed è stato trattato in modo opportuno si può assumere valore unitario.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247" authorId="1" shapeId="0" xr:uid="{AEC8C7C9-D24E-0044-B0BD-BEDB1D49F82C}">
      <text>
        <r>
          <rPr>
            <sz val="10"/>
            <color rgb="FF000000"/>
            <rFont val="Tahoma"/>
            <family val="2"/>
          </rPr>
          <t xml:space="preserve">Angolo della forza Fe con l'asse verticale
</t>
        </r>
      </text>
    </comment>
    <comment ref="C250" authorId="1" shapeId="0" xr:uid="{AF917FE1-FAC4-D945-9FA0-AA49EA3FB6C5}">
      <text>
        <r>
          <rPr>
            <sz val="10"/>
            <color rgb="FF000000"/>
            <rFont val="Tahoma"/>
            <family val="2"/>
          </rPr>
          <t xml:space="preserve">Questo diametro serve per dimensionare l'albero al di sotto dei cuscinetti.
</t>
        </r>
      </text>
    </comment>
    <comment ref="B251" authorId="1" shapeId="0" xr:uid="{7BDEC9E5-7537-CD45-8729-A61723E9D7E5}">
      <text>
        <r>
          <rPr>
            <sz val="10"/>
            <color rgb="FF000000"/>
            <rFont val="Tahoma"/>
            <family val="2"/>
          </rPr>
          <t xml:space="preserve">Diametro utilizzato per il diametro dell'anello esterno del cuscinetto C1
</t>
        </r>
      </text>
    </comment>
    <comment ref="D270" authorId="1" shapeId="0" xr:uid="{436960CF-81A5-D647-9684-5BF4E8E9B5F8}">
      <text>
        <r>
          <rPr>
            <b/>
            <sz val="10"/>
            <color rgb="FF000000"/>
            <rFont val="Tahoma"/>
            <family val="2"/>
          </rPr>
          <t xml:space="preserve">N.B.
</t>
        </r>
        <r>
          <rPr>
            <sz val="10"/>
            <color rgb="FF000000"/>
            <rFont val="Tahoma"/>
            <family val="2"/>
          </rPr>
          <t>Se le reazioni vincolari cambiano verso controllare tutti i calcoli e modificare i diagrarammi!</t>
        </r>
      </text>
    </comment>
    <comment ref="C335" authorId="1" shapeId="0" xr:uid="{29277D42-96DE-B249-AE6A-BD70D46DA5A0}">
      <text>
        <r>
          <rPr>
            <sz val="10"/>
            <color rgb="FF000000"/>
            <rFont val="Tahoma"/>
            <family val="2"/>
          </rPr>
          <t xml:space="preserve">Questo diametro serve per dimensionare l'albero al di sotto dei cuscinetti.
</t>
        </r>
      </text>
    </comment>
    <comment ref="E335" authorId="0" shapeId="0" xr:uid="{F84619F1-CB3C-384D-8646-18BEA6D71BE4}">
      <text>
        <r>
          <rPr>
            <sz val="10"/>
            <color rgb="FF000000"/>
            <rFont val="Tahoma"/>
            <family val="2"/>
          </rPr>
          <t xml:space="preserve">questo valore deve convergere a Modulo W, variando Diametro esterno minimo.
</t>
        </r>
        <r>
          <rPr>
            <sz val="10"/>
            <color rgb="FF000000"/>
            <rFont val="Tahoma"/>
            <family val="2"/>
          </rPr>
          <t xml:space="preserve">FLow chart:
</t>
        </r>
        <r>
          <rPr>
            <sz val="10"/>
            <color rgb="FF000000"/>
            <rFont val="Tahoma"/>
            <family val="2"/>
          </rPr>
          <t xml:space="preserve">1. impostare spessore
</t>
        </r>
        <r>
          <rPr>
            <sz val="10"/>
            <color rgb="FF000000"/>
            <rFont val="Tahoma"/>
            <family val="2"/>
          </rPr>
          <t xml:space="preserve">2. fare convergenza
</t>
        </r>
        <r>
          <rPr>
            <sz val="10"/>
            <color rgb="FF000000"/>
            <rFont val="Tahoma"/>
            <family val="2"/>
          </rPr>
          <t xml:space="preserve">3. variare diametri esterno ed interno a valore commerciali
</t>
        </r>
        <r>
          <rPr>
            <sz val="10"/>
            <color rgb="FF000000"/>
            <rFont val="Tahoma"/>
            <family val="2"/>
          </rPr>
          <t>4. valutare idoneità del nuovo coefficiente di sicurezza</t>
        </r>
      </text>
    </comment>
    <comment ref="E354" authorId="1" shapeId="0" xr:uid="{0179AD55-9A80-CE4E-8C80-D224EB693AF9}">
      <text>
        <r>
          <rPr>
            <b/>
            <sz val="10"/>
            <color rgb="FF000000"/>
            <rFont val="Tahoma"/>
            <family val="2"/>
          </rPr>
          <t xml:space="preserve">N.B.
</t>
        </r>
        <r>
          <rPr>
            <sz val="10"/>
            <color rgb="FF000000"/>
            <rFont val="Tahoma"/>
            <family val="2"/>
          </rPr>
          <t>Se le reazioni vincolari cambiano verso controllare tutti i calcoli e modificare i diagrarammi!</t>
        </r>
      </text>
    </comment>
    <comment ref="G398" authorId="0" shapeId="0" xr:uid="{65C5448A-1F08-714D-B569-9C4179460E77}">
      <text>
        <r>
          <rPr>
            <sz val="10"/>
            <color rgb="FF000000"/>
            <rFont val="Tahoma"/>
            <family val="2"/>
          </rPr>
          <t xml:space="preserve">convergere a  sigma id Von Mises, variando D
</t>
        </r>
      </text>
    </comment>
    <comment ref="E408" authorId="1" shapeId="0" xr:uid="{2E7C04F9-4D16-BA4A-8D70-26A1C2EE149D}">
      <text>
        <r>
          <rPr>
            <sz val="10"/>
            <color rgb="FF000000"/>
            <rFont val="Calibri"/>
            <family val="2"/>
          </rPr>
          <t xml:space="preserve">Questa verifica serve nel caso fosse cambiato il diametro dell'anello esterno dei cuscinetti e quindi bisogna cambiarli.
</t>
        </r>
      </text>
    </comment>
    <comment ref="B412" authorId="2" shapeId="0" xr:uid="{7C040F6C-53EF-EC4F-BC4F-6BDAB33694DC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414" authorId="1" shapeId="0" xr:uid="{FA3BC94B-93C0-4F49-83B5-12CE191608AC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415" authorId="2" shapeId="0" xr:uid="{86F8E2A2-8E37-B944-87F5-0B8EAEF4C4D1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415" authorId="2" shapeId="0" xr:uid="{056CF074-A9A8-6C41-BD01-91C4AA5FB21C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N.B.
</t>
        </r>
        <r>
          <rPr>
            <sz val="10"/>
            <color rgb="FF000000"/>
            <rFont val="Tahoma"/>
            <family val="2"/>
          </rPr>
          <t>Bisogna usare questo per rispettare la verifica a fatica dei denti</t>
        </r>
      </text>
    </comment>
    <comment ref="C416" authorId="2" shapeId="0" xr:uid="{00A03710-412C-6445-9E93-C43EAEF1699B}">
      <text>
        <r>
          <rPr>
            <b/>
            <sz val="9"/>
            <color indexed="81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417" authorId="2" shapeId="0" xr:uid="{1DD6032A-05F7-E945-A2A5-E7B4A3FD6784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418" authorId="2" shapeId="0" xr:uid="{DEDFA6CF-142F-F941-9A21-5F5C8F5B8850}">
      <text>
        <r>
          <rPr>
            <b/>
            <sz val="9"/>
            <color indexed="81"/>
            <rFont val="Tahoma"/>
            <family val="2"/>
          </rPr>
          <t>fattore per la conaminazione</t>
        </r>
      </text>
    </comment>
    <comment ref="D418" authorId="2" shapeId="0" xr:uid="{599A24F6-AD77-FB4E-BB48-1C5660925FA0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419" authorId="2" shapeId="0" xr:uid="{5990E59F-359C-2A4E-9AD2-12858F9CC429}">
      <text>
        <r>
          <rPr>
            <b/>
            <sz val="9"/>
            <color indexed="81"/>
            <rFont val="Tahoma"/>
            <family val="2"/>
          </rPr>
          <t>carico limite di fiatica (caratteristico del cuscinetto).</t>
        </r>
      </text>
    </comment>
    <comment ref="C420" authorId="1" shapeId="0" xr:uid="{8038D191-F3C4-4A41-8351-77F59C084011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D420" authorId="2" shapeId="0" xr:uid="{771E0386-E7D1-C449-8578-3F43B2FD11E9}">
      <text>
        <r>
          <rPr>
            <b/>
            <sz val="9"/>
            <color rgb="FF000000"/>
            <rFont val="Tahoma"/>
            <family val="2"/>
          </rPr>
          <t>da tabella pag 267 catalogo entrando con f0*Fa/C0</t>
        </r>
      </text>
    </comment>
    <comment ref="C423" authorId="2" shapeId="0" xr:uid="{C904047D-9628-6B44-9880-D9162070BE6F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424" authorId="2" shapeId="0" xr:uid="{EA8EFDA5-92BA-6847-A1E5-DB47938065E4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B425" authorId="2" shapeId="0" xr:uid="{6B552FE5-1107-B148-9B3C-1175C01E3289}">
      <text>
        <r>
          <rPr>
            <b/>
            <sz val="9"/>
            <color rgb="FF000000"/>
            <rFont val="Tahoma"/>
            <family val="2"/>
          </rPr>
          <t xml:space="preserve">coefficiente carico dinamico </t>
        </r>
      </text>
    </comment>
    <comment ref="C426" authorId="2" shapeId="0" xr:uid="{AD0781A6-3B5E-D741-AB11-3D52C18607BE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426" authorId="2" shapeId="0" xr:uid="{C8AECE26-0EE2-1A4D-9115-CDFF715CD0CA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428" authorId="1" shapeId="0" xr:uid="{166746D0-1BD8-9540-B71E-F305AADB4D66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E430" authorId="1" shapeId="0" xr:uid="{1DF35214-C144-C844-81AB-0B1E07C8DA6E}">
      <text>
        <r>
          <rPr>
            <sz val="10"/>
            <color rgb="FF000000"/>
            <rFont val="Calibri"/>
            <family val="2"/>
          </rPr>
          <t xml:space="preserve">Questa verifica serve nel caso fosse cambiato il diametro dell'anello esterno dei cuscinetti e quindi bisogna cambiarli.
</t>
        </r>
      </text>
    </comment>
    <comment ref="G430" authorId="1" shapeId="0" xr:uid="{C807CA00-A0E4-D24C-AE8E-7351336C2834}">
      <text>
        <r>
          <rPr>
            <b/>
            <sz val="10"/>
            <color rgb="FF000000"/>
            <rFont val="Tahoma"/>
            <family val="2"/>
          </rPr>
          <t xml:space="preserve">METTERE NELLA RELAZIONE:
</t>
        </r>
        <r>
          <rPr>
            <sz val="10"/>
            <color rgb="FF000000"/>
            <rFont val="Tahoma"/>
            <family val="2"/>
          </rPr>
          <t>La scelta di aumentare il diametro dell'albero sotto il cuscinetto è dovuta alla mancanza di spazio per mettere una ghiera. Quindi per poter mettere un distanziale abbiamo bisogno di un diametro costante pari a quello sotto la ruota.</t>
        </r>
      </text>
    </comment>
    <comment ref="C431" authorId="1" shapeId="0" xr:uid="{17EF7051-2BC8-0A40-9CE1-F796F30E112D}">
      <text>
        <r>
          <rPr>
            <sz val="10"/>
            <color rgb="FF000000"/>
            <rFont val="Tahoma"/>
            <family val="2"/>
          </rPr>
          <t>Per poter aggiungere il distanziale abbiamo maggiorato il diametro dell'albero sotto il cuscinetto pari a quello della ruota 3.</t>
        </r>
      </text>
    </comment>
    <comment ref="B434" authorId="2" shapeId="0" xr:uid="{BDED253E-2C5C-FD4D-BF08-EE489D78BCFF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436" authorId="1" shapeId="0" xr:uid="{5D155764-BF69-CC49-8EFE-999C23421EE9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437" authorId="2" shapeId="0" xr:uid="{77C956F5-804F-7244-95DF-C862740F142D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437" authorId="2" shapeId="0" xr:uid="{3F49D8C6-DEBA-6343-BB70-E9DD3DD75F74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N.B.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Bisogna usare questo per rispettare la verifica a fatica dei denti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438" authorId="2" shapeId="0" xr:uid="{87E42E53-7352-7B4C-834B-A405FA9BB0BB}">
      <text>
        <r>
          <rPr>
            <b/>
            <sz val="9"/>
            <color rgb="FF000000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439" authorId="2" shapeId="0" xr:uid="{D0424CF1-6CF2-5F47-8678-12E045519F94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440" authorId="2" shapeId="0" xr:uid="{FF9A67F0-E551-1E41-AF6C-68059A3A26B8}">
      <text>
        <r>
          <rPr>
            <b/>
            <sz val="9"/>
            <color rgb="FF000000"/>
            <rFont val="Tahoma"/>
            <family val="2"/>
          </rPr>
          <t>fattore per la conaminazione</t>
        </r>
      </text>
    </comment>
    <comment ref="D440" authorId="2" shapeId="0" xr:uid="{80031264-C9EB-5F46-A4B6-8706E12BC54B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441" authorId="2" shapeId="0" xr:uid="{D337E601-57C8-4641-A6A8-E7767D6C7FD7}">
      <text>
        <r>
          <rPr>
            <b/>
            <sz val="9"/>
            <color indexed="81"/>
            <rFont val="Tahoma"/>
            <family val="2"/>
          </rPr>
          <t>carico limite di fiatica (caratteristico del cuscinetto).</t>
        </r>
      </text>
    </comment>
    <comment ref="C442" authorId="1" shapeId="0" xr:uid="{2D6C9A44-7AC2-0C4C-B3BB-19C245042E4F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D442" authorId="2" shapeId="0" xr:uid="{9E510CBB-2F46-9B4E-B108-96124A8B50F0}">
      <text>
        <r>
          <rPr>
            <b/>
            <sz val="9"/>
            <color rgb="FF000000"/>
            <rFont val="Tahoma"/>
            <family val="2"/>
          </rPr>
          <t>da tabella pag 267 catalogo entrando con f0*Fa/C0</t>
        </r>
      </text>
    </comment>
    <comment ref="C445" authorId="2" shapeId="0" xr:uid="{BA0507D1-68A0-6A47-B342-EB393876D2F2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446" authorId="2" shapeId="0" xr:uid="{E1E30B0D-485E-F84F-BA9B-F9ADB197C425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B447" authorId="2" shapeId="0" xr:uid="{8055A689-86B7-1641-9AC7-85CE85227EC2}">
      <text>
        <r>
          <rPr>
            <b/>
            <sz val="9"/>
            <color indexed="81"/>
            <rFont val="Tahoma"/>
            <family val="2"/>
          </rPr>
          <t xml:space="preserve">coefficiente carico dinamico </t>
        </r>
      </text>
    </comment>
    <comment ref="C448" authorId="2" shapeId="0" xr:uid="{E9C2151F-8BC6-C14B-854B-B9166CBAEFFF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448" authorId="2" shapeId="0" xr:uid="{FF346ED0-9D6B-744D-963B-023B3139617D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450" authorId="1" shapeId="0" xr:uid="{21384497-F907-774F-A6CA-ED5E71AC155D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E454" authorId="1" shapeId="0" xr:uid="{38A383A3-10AF-114B-9343-C17AD3C1314D}">
      <text>
        <r>
          <rPr>
            <sz val="10"/>
            <color rgb="FF000000"/>
            <rFont val="Calibri"/>
            <family val="2"/>
          </rPr>
          <t xml:space="preserve">Questa verifica serve nel caso fosse cambiato il diametro dell'anello esterno dei cuscinetti e quindi bisogna cambiarli.
</t>
        </r>
      </text>
    </comment>
    <comment ref="B458" authorId="2" shapeId="0" xr:uid="{C4DD3EA3-9051-4A42-8783-C0EEBECC3F7B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460" authorId="1" shapeId="0" xr:uid="{1B4BAE1A-529B-3E4F-A395-B1BD4FC31B11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461" authorId="2" shapeId="0" xr:uid="{0434C190-B809-6A45-8DA6-882FC42DB635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461" authorId="2" shapeId="0" xr:uid="{05B6876D-3B1C-A049-A536-9CFB69EAFE1B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N.B.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Bisogna usare questo per rispettare la verifica a fatica dei denti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462" authorId="2" shapeId="0" xr:uid="{19E46F31-CAA3-8D49-802C-B2B66112929B}">
      <text>
        <r>
          <rPr>
            <b/>
            <sz val="9"/>
            <color rgb="FF000000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463" authorId="2" shapeId="0" xr:uid="{FD66F131-4518-3747-8D83-07ED62E1A72C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464" authorId="2" shapeId="0" xr:uid="{ACCA7ABC-F576-464F-9870-86DDD959671D}">
      <text>
        <r>
          <rPr>
            <b/>
            <sz val="9"/>
            <color indexed="81"/>
            <rFont val="Tahoma"/>
            <family val="2"/>
          </rPr>
          <t>fattore per la conaminazione</t>
        </r>
      </text>
    </comment>
    <comment ref="D464" authorId="2" shapeId="0" xr:uid="{B7B4FF3B-ED5B-944C-9852-181393191E41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465" authorId="2" shapeId="0" xr:uid="{1F89BE4F-15A2-D140-93A6-E7DE3A351D34}">
      <text>
        <r>
          <rPr>
            <b/>
            <sz val="9"/>
            <color rgb="FF000000"/>
            <rFont val="Tahoma"/>
            <family val="2"/>
          </rPr>
          <t>carico limite di fiatica (caratteristico del cuscinetto).</t>
        </r>
      </text>
    </comment>
    <comment ref="C466" authorId="1" shapeId="0" xr:uid="{A9537720-E41B-D241-8110-24631E72994C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C469" authorId="2" shapeId="0" xr:uid="{4A1E8053-E9DA-BF41-8846-3C12AFA9B73C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470" authorId="2" shapeId="0" xr:uid="{E7893478-D159-6B47-AE29-BE7078FCAA48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B471" authorId="2" shapeId="0" xr:uid="{BAB7F696-C00B-F54B-95B0-971248ABB14C}">
      <text>
        <r>
          <rPr>
            <b/>
            <sz val="9"/>
            <color rgb="FF000000"/>
            <rFont val="Tahoma"/>
            <family val="2"/>
          </rPr>
          <t xml:space="preserve">coefficiente carico dinamico </t>
        </r>
      </text>
    </comment>
    <comment ref="C472" authorId="2" shapeId="0" xr:uid="{DEA6E3D0-9B65-9E4C-93CD-97D0C8765E2B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472" authorId="2" shapeId="0" xr:uid="{A99D9A2B-7A34-7F4C-97CA-5FF036649C83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474" authorId="1" shapeId="0" xr:uid="{5A1C92E9-71A0-A84B-A6BA-AB965147FC26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C479" authorId="1" shapeId="0" xr:uid="{B65257B9-3CD5-4C41-9B1F-E2B5363F458C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Il cuscinetto con prestazioni sotto questo (NJ 305 ECP) avevamo una durata troppo piccola L10=836
</t>
        </r>
      </text>
    </comment>
    <comment ref="E479" authorId="1" shapeId="0" xr:uid="{BE9E755A-7FE5-7B49-99FC-DCE369835CB1}">
      <text>
        <r>
          <rPr>
            <sz val="10"/>
            <color rgb="FF000000"/>
            <rFont val="Calibri"/>
            <family val="2"/>
            <scheme val="minor"/>
          </rPr>
          <t>Questa verifica serve nel caso fosse cambiato il diametro dell'anello esterno dei cuscinetti e quindi bisogna cambiarli.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</text>
    </comment>
    <comment ref="B483" authorId="2" shapeId="0" xr:uid="{BD522019-FBFD-D04A-9DC2-5FC1DDBD7ADB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485" authorId="1" shapeId="0" xr:uid="{5C7DB340-46AC-7C4C-8DCE-0E0EDE223AF4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486" authorId="2" shapeId="0" xr:uid="{51559BE7-2579-3041-8048-0C8310A355EB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486" authorId="2" shapeId="0" xr:uid="{D2211D4E-8C17-7447-8F53-1D540D6772A2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N.B.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Bisogna usare questo per rispettare la verifica a fatica dei denti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487" authorId="2" shapeId="0" xr:uid="{E8611988-0105-214B-A702-E506D20E423C}">
      <text>
        <r>
          <rPr>
            <b/>
            <sz val="9"/>
            <color rgb="FF000000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488" authorId="2" shapeId="0" xr:uid="{88D6C31F-A439-3044-A854-A1665076B4A4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489" authorId="2" shapeId="0" xr:uid="{7EE593A1-C7ED-274D-BE59-5F33F2EF07DD}">
      <text>
        <r>
          <rPr>
            <b/>
            <sz val="9"/>
            <color rgb="FF000000"/>
            <rFont val="Tahoma"/>
            <family val="2"/>
          </rPr>
          <t>fattore per la conaminazione</t>
        </r>
      </text>
    </comment>
    <comment ref="D489" authorId="2" shapeId="0" xr:uid="{4C9AC0DE-32E3-194A-86E0-FFFFE002AC85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490" authorId="2" shapeId="0" xr:uid="{9D10B9D4-2E19-7143-BAE1-C144C1F614BF}">
      <text>
        <r>
          <rPr>
            <b/>
            <sz val="9"/>
            <color rgb="FF000000"/>
            <rFont val="Tahoma"/>
            <family val="2"/>
          </rPr>
          <t>carico limite di fiatica (caratteristico del cuscinetto).</t>
        </r>
      </text>
    </comment>
    <comment ref="C491" authorId="1" shapeId="0" xr:uid="{C358E7BD-C639-F844-BF22-827F73DBF0C5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C494" authorId="2" shapeId="0" xr:uid="{BC805E55-7DD6-5F45-8D57-72AB7AFA76AD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495" authorId="2" shapeId="0" xr:uid="{B0D0AC15-43EB-EF48-B824-245939C867F4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G495" authorId="1" shapeId="0" xr:uid="{BA59CDDA-1B03-7F4B-BE62-9F88CE3F8515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B496" authorId="2" shapeId="0" xr:uid="{3870EAC1-1B69-194D-9B89-D4ADA58D3AA3}">
      <text>
        <r>
          <rPr>
            <b/>
            <sz val="9"/>
            <color rgb="FF000000"/>
            <rFont val="Tahoma"/>
            <family val="2"/>
          </rPr>
          <t xml:space="preserve">coefficiente carico dinamico </t>
        </r>
      </text>
    </comment>
    <comment ref="C497" authorId="2" shapeId="0" xr:uid="{7586016D-57DD-9A45-B5B7-98413A470339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497" authorId="2" shapeId="0" xr:uid="{3B3AAB2E-B5FC-C94D-932A-9FB1564522DB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499" authorId="1" shapeId="0" xr:uid="{8AB419F4-E2FD-7A41-BB79-6D16BB871D8A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E503" authorId="1" shapeId="0" xr:uid="{13216C38-FDE9-9C49-B6DB-16C9EF7DFC44}">
      <text>
        <r>
          <rPr>
            <sz val="10"/>
            <color rgb="FF000000"/>
            <rFont val="Calibri"/>
            <family val="2"/>
            <scheme val="minor"/>
          </rPr>
          <t>Questa verifica serve nel caso fosse cambiato il diametro dell'anello esterno dei cuscinetti e quindi bisogna cambiarli.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</text>
    </comment>
    <comment ref="B507" authorId="2" shapeId="0" xr:uid="{56DC63C0-8F15-094F-BE8D-EFEF74B6BAB5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509" authorId="1" shapeId="0" xr:uid="{53E56D8F-F806-A44E-91D0-039CE9FA3456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510" authorId="2" shapeId="0" xr:uid="{E2DD71A3-14AA-3A45-893B-2484E6495793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510" authorId="2" shapeId="0" xr:uid="{9E1A81DC-AC65-CD4F-A6D8-A5419E2A8B67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N.B.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Tahoma"/>
            <family val="34"/>
          </rPr>
          <t>Bisogna usare questo per rispettare la verifica a fatica dei denti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511" authorId="2" shapeId="0" xr:uid="{2EB31F4B-222D-9848-98A7-4358FA1E39ED}">
      <text>
        <r>
          <rPr>
            <b/>
            <sz val="9"/>
            <color rgb="FF000000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512" authorId="2" shapeId="0" xr:uid="{1C7156BC-6D92-7846-A5E6-31C73F291639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513" authorId="2" shapeId="0" xr:uid="{6702701D-0C4C-4E49-9FF5-F821D2D75720}">
      <text>
        <r>
          <rPr>
            <b/>
            <sz val="9"/>
            <color indexed="81"/>
            <rFont val="Tahoma"/>
            <family val="2"/>
          </rPr>
          <t>fattore per la conaminazione</t>
        </r>
      </text>
    </comment>
    <comment ref="D513" authorId="2" shapeId="0" xr:uid="{B3FBE6A3-A58A-4844-9B7F-1327E1A86772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514" authorId="2" shapeId="0" xr:uid="{98CBC45D-7864-4F41-985F-EB8A0575E67C}">
      <text>
        <r>
          <rPr>
            <b/>
            <sz val="9"/>
            <color rgb="FF000000"/>
            <rFont val="Tahoma"/>
            <family val="2"/>
          </rPr>
          <t>carico limite di fiatica (caratteristico del cuscinetto).</t>
        </r>
      </text>
    </comment>
    <comment ref="C515" authorId="1" shapeId="0" xr:uid="{E7D3797F-4AF0-8B4F-84A2-066CA962E39A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C518" authorId="2" shapeId="0" xr:uid="{0444650A-5571-8A4D-909E-43F412DC5220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519" authorId="2" shapeId="0" xr:uid="{730621CA-558F-9E42-80A0-B465F4BB8F8D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B520" authorId="2" shapeId="0" xr:uid="{45F8123F-F128-204C-9DD5-0C314D816B38}">
      <text>
        <r>
          <rPr>
            <b/>
            <sz val="9"/>
            <color rgb="FF000000"/>
            <rFont val="Tahoma"/>
            <family val="2"/>
          </rPr>
          <t xml:space="preserve">coefficiente carico dinamico </t>
        </r>
      </text>
    </comment>
    <comment ref="C521" authorId="2" shapeId="0" xr:uid="{1C5DFD85-AB22-2543-9412-34F4D692D862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521" authorId="2" shapeId="0" xr:uid="{43363DD7-4802-464B-908E-7FEE7DCA693F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523" authorId="1" shapeId="0" xr:uid="{D073CA4F-4E19-3643-B464-25B19466310F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E525" authorId="1" shapeId="0" xr:uid="{00CD2062-5020-2745-8563-A65B5CB2B4C2}">
      <text>
        <r>
          <rPr>
            <sz val="10"/>
            <color rgb="FF000000"/>
            <rFont val="Calibri"/>
            <family val="2"/>
          </rPr>
          <t xml:space="preserve">Questa verifica serve nel caso fosse cambiato il diametro dell'anello esterno dei cuscinetti e quindi bisogna cambiarli.
</t>
        </r>
      </text>
    </comment>
    <comment ref="B529" authorId="2" shapeId="0" xr:uid="{CCE97096-5729-224A-B4E4-0304DA241F55}">
      <text>
        <r>
          <rPr>
            <sz val="10"/>
            <color rgb="FF000000"/>
            <rFont val="Tahoma"/>
            <family val="2"/>
          </rPr>
          <t>durata dei cuscinetti con probabilitità di sopravvivenza 90%</t>
        </r>
      </text>
    </comment>
    <comment ref="C531" authorId="1" shapeId="0" xr:uid="{B65810DE-2AC3-8241-A00D-1193B59EB15E}">
      <text>
        <r>
          <rPr>
            <b/>
            <sz val="10"/>
            <color rgb="FF000000"/>
            <rFont val="Tahoma"/>
            <family val="2"/>
          </rPr>
          <t>Luca Pirini Casadei: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Leggere da grafico</t>
        </r>
      </text>
    </comment>
    <comment ref="C532" authorId="2" shapeId="0" xr:uid="{4AD32CF9-DEA5-0E47-9C29-7BE5F0F03F9A}">
      <text>
        <r>
          <rPr>
            <b/>
            <sz val="9"/>
            <color rgb="FF000000"/>
            <rFont val="Tahoma"/>
            <family val="2"/>
          </rPr>
          <t>viscosità cinematica a 40</t>
        </r>
        <r>
          <rPr>
            <b/>
            <sz val="9"/>
            <color rgb="FF000000"/>
            <rFont val="Tahoma"/>
            <family val="2"/>
          </rPr>
          <t>°</t>
        </r>
        <r>
          <rPr>
            <b/>
            <sz val="9"/>
            <color rgb="FF000000"/>
            <rFont val="Tahoma"/>
            <family val="2"/>
          </rPr>
          <t>C</t>
        </r>
      </text>
    </comment>
    <comment ref="D532" authorId="2" shapeId="0" xr:uid="{767DCAB0-9178-A945-B1DE-9A5D0756C1B2}">
      <text>
        <r>
          <rPr>
            <sz val="10"/>
            <color rgb="FF000000"/>
            <rFont val="Tahoma"/>
            <family val="2"/>
          </rPr>
          <t xml:space="preserve">ISO VG200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Tahoma"/>
            <family val="34"/>
          </rPr>
          <t>N.B.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Tahoma"/>
            <family val="34"/>
          </rPr>
          <t>Bisogna usare questo per rispettare la verifica a fatica dei denti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</text>
    </comment>
    <comment ref="C533" authorId="2" shapeId="0" xr:uid="{0C5B09AF-9F4D-8541-BFDD-02EF79A8B784}">
      <text>
        <r>
          <rPr>
            <b/>
            <sz val="9"/>
            <color rgb="FF000000"/>
            <rFont val="Tahoma"/>
            <family val="2"/>
          </rPr>
          <t>viscosità necessaria per adeguata lubrificazione (leggo da diagramma conoscendo il diametro medio del cuscinetto e la velocità).</t>
        </r>
      </text>
    </comment>
    <comment ref="C534" authorId="2" shapeId="0" xr:uid="{E1F1F521-3260-294E-ACBE-3F33BD7EF7B1}">
      <text>
        <r>
          <rPr>
            <b/>
            <sz val="9"/>
            <color rgb="FF000000"/>
            <rFont val="Tahoma"/>
            <family val="2"/>
          </rPr>
          <t>rapporto di viscosità</t>
        </r>
      </text>
    </comment>
    <comment ref="C535" authorId="2" shapeId="0" xr:uid="{1428123D-D1AE-B242-90C2-FA923CE9BDCD}">
      <text>
        <r>
          <rPr>
            <b/>
            <sz val="9"/>
            <color rgb="FF000000"/>
            <rFont val="Tahoma"/>
            <family val="2"/>
          </rPr>
          <t>fattore per la conaminazione</t>
        </r>
      </text>
    </comment>
    <comment ref="D535" authorId="2" shapeId="0" xr:uid="{9F505555-938B-504B-80C5-D59E644B8DDA}">
      <text>
        <r>
          <rPr>
            <b/>
            <sz val="9"/>
            <color rgb="FF000000"/>
            <rFont val="Tahoma"/>
            <family val="2"/>
          </rPr>
          <t>valido per condizioni di lavoro pulite</t>
        </r>
      </text>
    </comment>
    <comment ref="C536" authorId="2" shapeId="0" xr:uid="{44E2F61B-146E-AF4A-8489-1DC740979AAF}">
      <text>
        <r>
          <rPr>
            <b/>
            <sz val="9"/>
            <color rgb="FF000000"/>
            <rFont val="Tahoma"/>
            <family val="2"/>
          </rPr>
          <t>carico limite di fiatica (caratteristico del cuscinetto).</t>
        </r>
      </text>
    </comment>
    <comment ref="C537" authorId="1" shapeId="0" xr:uid="{6DDEF1DA-0425-6643-92D6-394B34FC9BC9}">
      <text>
        <r>
          <rPr>
            <sz val="10"/>
            <color rgb="FF000000"/>
            <rFont val="Calibri"/>
            <family val="2"/>
          </rPr>
          <t xml:space="preserve">PER CUSCINETTI: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SFERE</t>
        </r>
        <r>
          <rPr>
            <sz val="10"/>
            <color rgb="FF000000"/>
            <rFont val="Calibri"/>
            <family val="2"/>
          </rPr>
          <t xml:space="preserve">: da tabella pag 267 catalogo entrando con </t>
        </r>
        <r>
          <rPr>
            <b/>
            <sz val="10"/>
            <color rgb="FF000000"/>
            <rFont val="Calibri"/>
            <family val="2"/>
          </rPr>
          <t xml:space="preserve">f0*Fa/C0
</t>
        </r>
        <r>
          <rPr>
            <b/>
            <sz val="10"/>
            <color rgb="FF000000"/>
            <rFont val="Calibri"/>
            <family val="2"/>
          </rPr>
          <t xml:space="preserve">- SFERE OBLIQUI: </t>
        </r>
        <r>
          <rPr>
            <sz val="10"/>
            <color rgb="FF000000"/>
            <rFont val="Calibri"/>
            <family val="2"/>
          </rPr>
          <t>e,X,Y --&gt; da cuscinetto</t>
        </r>
        <r>
          <rPr>
            <b/>
            <sz val="10"/>
            <color rgb="FF000000"/>
            <rFont val="Calibri"/>
            <family val="2"/>
          </rPr>
          <t xml:space="preserve"> 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: e,Y --&gt; dati dei cuscinetti;  X --&gt; 0,92
</t>
        </r>
        <r>
          <rPr>
            <sz val="10"/>
            <color rgb="FF000000"/>
            <rFont val="Calibri"/>
            <family val="2"/>
          </rPr>
          <t xml:space="preserve">- </t>
        </r>
        <r>
          <rPr>
            <b/>
            <sz val="10"/>
            <color rgb="FF000000"/>
            <rFont val="Calibri"/>
            <family val="2"/>
          </rPr>
          <t>RULLI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OBLIQUI: </t>
        </r>
        <r>
          <rPr>
            <sz val="10"/>
            <color rgb="FF000000"/>
            <rFont val="Calibri"/>
            <family val="2"/>
          </rPr>
          <t xml:space="preserve"> e, Y --&gt; dati del cuscinetto; X --&gt; 0,4
</t>
        </r>
        <r>
          <rPr>
            <sz val="10"/>
            <color rgb="FF000000"/>
            <rFont val="Calibri"/>
            <family val="2"/>
          </rPr>
          <t xml:space="preserve"> 
</t>
        </r>
      </text>
    </comment>
    <comment ref="C540" authorId="2" shapeId="0" xr:uid="{2AF689DC-C6AE-6345-86ED-FB7C1FD77513}">
      <text>
        <r>
          <rPr>
            <b/>
            <sz val="9"/>
            <color rgb="FF000000"/>
            <rFont val="Tahoma"/>
            <family val="2"/>
          </rPr>
          <t>carico dinamico equivalente</t>
        </r>
      </text>
    </comment>
    <comment ref="C541" authorId="2" shapeId="0" xr:uid="{7772483E-0940-0548-B2B1-C68F25400458}">
      <text>
        <r>
          <rPr>
            <b/>
            <sz val="9"/>
            <color rgb="FF000000"/>
            <rFont val="Tahoma"/>
            <family val="2"/>
          </rPr>
          <t>dato con cui leggo a_skf da tabella silde 13</t>
        </r>
      </text>
    </comment>
    <comment ref="B542" authorId="2" shapeId="0" xr:uid="{F3017471-27D7-CE49-8D54-D7A67804F736}">
      <text>
        <r>
          <rPr>
            <b/>
            <sz val="9"/>
            <color rgb="FF000000"/>
            <rFont val="Tahoma"/>
            <family val="2"/>
          </rPr>
          <t xml:space="preserve">coefficiente carico dinamico </t>
        </r>
      </text>
    </comment>
    <comment ref="C543" authorId="2" shapeId="0" xr:uid="{E63DD488-1F2C-7B41-9859-6CC966E3A896}">
      <text>
        <r>
          <rPr>
            <b/>
            <sz val="9"/>
            <color rgb="FF000000"/>
            <rFont val="Tahoma"/>
            <family val="2"/>
          </rPr>
          <t>cuscinetti a sfere</t>
        </r>
      </text>
    </comment>
    <comment ref="D543" authorId="2" shapeId="0" xr:uid="{6F92F243-81C7-4841-9B35-98868DCC2ABE}">
      <text>
        <r>
          <rPr>
            <b/>
            <sz val="9"/>
            <color rgb="FF000000"/>
            <rFont val="Tahoma"/>
            <family val="2"/>
          </rPr>
          <t>cuscinetti a rulli</t>
        </r>
      </text>
    </comment>
    <comment ref="F545" authorId="1" shapeId="0" xr:uid="{3AF44EF3-FB99-9043-A6A1-958B58310AD2}">
      <text>
        <r>
          <rPr>
            <sz val="10"/>
            <color rgb="FF000000"/>
            <rFont val="Tahoma"/>
            <family val="2"/>
          </rPr>
          <t>Questo valore deve essere il più possibile vicino a un numero intero perchè indica il multiplo di 25k ore (quella dopo quale avviene la manutenzione)</t>
        </r>
      </text>
    </comment>
    <comment ref="C555" authorId="2" shapeId="0" xr:uid="{17D648F6-40C0-4518-B8CC-C58607C2EC7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valore caratterisitico acciaio</t>
        </r>
      </text>
    </comment>
    <comment ref="C556" authorId="2" shapeId="0" xr:uid="{F5DC814B-3E63-489D-9806-38BE6FEDB1D0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UNI 6604: per diametro dell'albero compreso tra 38-44 mm, la linguetta è una 12 x 8 (b x h)</t>
        </r>
      </text>
    </comment>
    <comment ref="C557" authorId="2" shapeId="0" xr:uid="{B0D3C025-69B7-4955-9D28-81FA2E28CF1D}">
      <text>
        <r>
          <rPr>
            <b/>
            <sz val="9"/>
            <color indexed="81"/>
            <rFont val="Tahoma"/>
            <family val="2"/>
          </rPr>
          <t>Alessandro Peripoli:
UNI 6604:</t>
        </r>
        <r>
          <rPr>
            <sz val="9"/>
            <color indexed="81"/>
            <rFont val="Tahoma"/>
            <family val="2"/>
          </rPr>
          <t xml:space="preserve"> 
UNI 6604: per diametro dell'albero compreso tra 38-44 mm, la linguetta è una 12 x 8 (b x h)</t>
        </r>
      </text>
    </comment>
    <comment ref="C563" authorId="2" shapeId="0" xr:uid="{72F49671-8ADA-48DD-BF14-C9C80687E7BD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 dati fanno riferimento ad un d=42 mm in quanto la UNI8953 non riporta quelli relativi a 40 mm</t>
        </r>
      </text>
    </comment>
    <comment ref="C564" authorId="2" shapeId="0" xr:uid="{3EA09873-BFA2-4204-833A-3D9A61AF069A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accoppiamenti fissi, una sola superficie di contatto cementata</t>
        </r>
      </text>
    </comment>
    <comment ref="B565" authorId="2" shapeId="0" xr:uid="{34B7E76A-63B2-4834-A53E-3E3DC5425B7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momento trasmissibile dall'albero pieno di diametro d</t>
        </r>
      </text>
    </comment>
    <comment ref="C566" authorId="2" shapeId="0" xr:uid="{12587F1D-678D-4456-848D-980EADF4E1FA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accoppiamenti fissi con carico variabile e forti vibrazioni (condizione conservativa).</t>
        </r>
      </text>
    </comment>
    <comment ref="B568" authorId="2" shapeId="0" xr:uid="{0A92BD69-4EF5-4ACC-A84B-B563044CBBA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serie media</t>
        </r>
      </text>
    </comment>
    <comment ref="B574" authorId="2" shapeId="0" xr:uid="{22D77E44-D5A8-4C76-80B4-6A2C8386B24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lunghezza dello scanalato va fatta coincidere con la larghezza di fascia, purchè questa sia superiore alla larghezza minima.</t>
        </r>
      </text>
    </comment>
    <comment ref="B576" authorId="2" shapeId="0" xr:uid="{C4BBD241-2C56-43E7-8AF0-15B24B467AE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lunghezza dello scanalato deve essere tale che il rapporto L/d non sia maggiore di 1,5 per evitare significative differenze di rotazione tra le sezioni estreme di albero e mozzo e quindi disuniformità  di pressione sulle facce lateriali dei risalti.</t>
        </r>
      </text>
    </comment>
    <comment ref="B581" authorId="2" shapeId="0" xr:uid="{3EF0B70F-280A-452A-8D87-ED41D535239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pressione necessaria a trasmettere il momento torcente</t>
        </r>
      </text>
    </comment>
    <comment ref="C582" authorId="2" shapeId="0" xr:uid="{CFCA0588-BDB4-4F5C-8C69-A860D28930ED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collegamenti a caldo</t>
        </r>
      </text>
    </comment>
    <comment ref="B584" authorId="2" shapeId="0" xr:uid="{ED3ED5B8-80E8-418F-9397-44AC082B703F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sicurezza assunto tra 1.5 e 2.5</t>
        </r>
      </text>
    </comment>
    <comment ref="B586" authorId="2" shapeId="0" xr:uid="{D105A141-BF37-4AE6-8D10-718537FAA06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interferenza necessaria ad assicurare la pressione di contatto</t>
        </r>
      </text>
    </comment>
    <comment ref="E587" authorId="2" shapeId="0" xr:uid="{8F2E364E-D562-43AD-ADE8-BCF4A7BC8B25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Pur essendo diversi i materiali di albero e mozzo, la formula si semplifica poiché il modulo di young e ill coeff di poissont risultano comunque uguali nei due materiali: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E_1=E_2
</t>
        </r>
        <r>
          <rPr>
            <sz val="9"/>
            <color rgb="FF000000"/>
            <rFont val="Tahoma"/>
            <family val="2"/>
          </rPr>
          <t xml:space="preserve">ni_1=ni_2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inoltre in caso di albero pieno r_1i=0 per cui la formula si semplifica ulteriormente</t>
        </r>
      </text>
    </comment>
    <comment ref="B588" authorId="2" shapeId="0" xr:uid="{9D3C7BA1-0ABB-46C9-949E-6353F11109D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raggio del mozzo (preso uguale al raggio primitivo della ruota)</t>
        </r>
      </text>
    </comment>
    <comment ref="B592" authorId="2" shapeId="0" xr:uid="{C5A2F919-4E70-4B08-9A31-8CB972FB24E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mozzo</t>
        </r>
      </text>
    </comment>
    <comment ref="B593" authorId="2" shapeId="0" xr:uid="{A8210BCB-F806-4599-AB03-7D55579AE5B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mozzo</t>
        </r>
      </text>
    </comment>
    <comment ref="B594" authorId="2" shapeId="0" xr:uid="{C8F0216F-276C-4B1D-9945-73780711E841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albero</t>
        </r>
      </text>
    </comment>
    <comment ref="B595" authorId="2" shapeId="0" xr:uid="{ED4E229F-44DD-4AA1-8C77-CF2F00FA9D6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albero</t>
        </r>
      </text>
    </comment>
    <comment ref="B598" authorId="2" shapeId="0" xr:uid="{E0257EBF-26A4-477B-811C-CB62EC6A68D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calettamento del mozzo provoca uno schiacciamento delle creste del profilo che può essere stimata dell'ordine del 40%, producendo una perdita di interferenza</t>
        </r>
      </text>
    </comment>
    <comment ref="B599" authorId="2" shapeId="0" xr:uid="{16269EC5-12E7-47E9-A87A-CF0C1A0AE6A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mozzo</t>
        </r>
      </text>
    </comment>
    <comment ref="C599" authorId="2" shapeId="0" xr:uid="{FFA1612F-4F0A-47E4-8EF3-875C37984A5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IT7</t>
        </r>
      </text>
    </comment>
    <comment ref="B600" authorId="2" shapeId="0" xr:uid="{453B8806-0E91-4805-94E8-924AD0DF114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albero</t>
        </r>
      </text>
    </comment>
    <comment ref="C600" authorId="2" shapeId="0" xr:uid="{DDEAE74D-4916-4D93-9F38-C19207B0D1F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IT7</t>
        </r>
      </text>
    </comment>
    <comment ref="C601" authorId="2" shapeId="0" xr:uid="{C2FAB6E5-E66D-453D-B563-D8BAAB47DE7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seppure diversi i materiali di albero e mozzo sono entrambi acciai, perciò i coefficienti di dilatazione sono molto simili</t>
        </r>
      </text>
    </comment>
    <comment ref="B604" authorId="2" shapeId="0" xr:uid="{130EEA80-CCBA-4C56-89AE-4FB44BECB7B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nel montaggio a caldo il mozzo viene scaldato in modo da far aumentare il suo diametro interno, successivamente l'albero viene inserito nel mozzo. Quando questo si raffredda si realizza il forzamento.</t>
        </r>
      </text>
    </comment>
    <comment ref="B607" authorId="2" shapeId="0" xr:uid="{0BD35C3A-E47A-4D94-968A-B6A4B9F3160D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30-100 µm</t>
        </r>
      </text>
    </comment>
    <comment ref="B608" authorId="2" shapeId="0" xr:uid="{B7C12B01-5588-4000-9949-2A558BEC78B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dilatazione termica lineare</t>
        </r>
      </text>
    </comment>
    <comment ref="B610" authorId="2" shapeId="0" xr:uid="{C08A72CD-69D9-4990-AA37-0B15E015AED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mozzo non deve esserescaldato oltre i 350°C</t>
        </r>
      </text>
    </comment>
    <comment ref="C620" authorId="2" shapeId="0" xr:uid="{BA1A9717-7C0B-43CE-A9CD-1867A70A2AA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valore caratterisitico acciaio</t>
        </r>
      </text>
    </comment>
    <comment ref="C621" authorId="2" shapeId="0" xr:uid="{645BA1DF-02BD-481E-AE5B-6C98580E493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44-50 mm, la linguetta è una 14 x 9 (b x h)</t>
        </r>
      </text>
    </comment>
    <comment ref="C622" authorId="2" shapeId="0" xr:uid="{7DEDAF18-C434-49CC-BDA3-0C7DAE6F08B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44-50 mm, la linguetta è una 14 x 9 (b x h)</t>
        </r>
      </text>
    </comment>
    <comment ref="B626" authorId="2" shapeId="0" xr:uid="{857C3305-3441-47DF-BEE2-BDCA1556DA1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linguetta, ipotizzata di matriale simile all'albero (stessa tau_adm) deve risultare meno resistente dell'albero, al fine di fungere da fusibile in caso di sovraccarichi che portano a rottura.</t>
        </r>
      </text>
    </comment>
    <comment ref="C630" authorId="2" shapeId="0" xr:uid="{EE6F4A66-D64B-4DD1-8774-96991CDDBAD1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 dati fanno riferimento ad un d=46 mm in quanto la UNI8953 non riporta quelli relativi a 45 mm</t>
        </r>
      </text>
    </comment>
    <comment ref="C631" authorId="2" shapeId="0" xr:uid="{FDC607ED-764E-4260-9B33-0410B5DE47D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fissi, una sola superficie di contatto cementata</t>
        </r>
      </text>
    </comment>
    <comment ref="B632" authorId="2" shapeId="0" xr:uid="{E9146D61-715F-4CB9-B8D0-8B3F7291BE9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momento trasmissibile dall'albero pieno di diametro d</t>
        </r>
      </text>
    </comment>
    <comment ref="C633" authorId="2" shapeId="0" xr:uid="{0E77FD3F-8247-4E4E-A443-F60E57E30F9A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 con carico variabile e forti vibrazioni (condizione conservativa).</t>
        </r>
      </text>
    </comment>
    <comment ref="B635" authorId="2" shapeId="0" xr:uid="{A3F7D95D-C861-4B6F-9817-7AB54A832A94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serie media</t>
        </r>
      </text>
    </comment>
    <comment ref="B641" authorId="2" shapeId="0" xr:uid="{73145198-AF05-4D15-AC4F-8C0B8C0639DA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lunghezza dello scanalato va fatta coincidere con la larghezza di fascia, purchè questa sia superiore alla larghezza minima.</t>
        </r>
      </text>
    </comment>
    <comment ref="B643" authorId="2" shapeId="0" xr:uid="{65F5BAD5-6988-42D8-9508-BA934DF05C15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la lunghezza dello scanalato deve essere tale che il rapporto L/d non sia maggiore di 1,5 per evitare significative differenze di rotazione tra le sezioni estreme di albero e mozzo e quindi disuniformità  di pressione sulle facce lateriali dei risalti.</t>
        </r>
      </text>
    </comment>
    <comment ref="B648" authorId="2" shapeId="0" xr:uid="{84B7B4D2-86EB-4D34-B45F-F70AB39FE2E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pressione necessaria a trasmettere il momento torcente</t>
        </r>
      </text>
    </comment>
    <comment ref="C649" authorId="2" shapeId="0" xr:uid="{6A68F6FA-1A82-4FDE-8217-952B4379DA9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collegamenti a caldo</t>
        </r>
      </text>
    </comment>
    <comment ref="B651" authorId="2" shapeId="0" xr:uid="{CB4BF7C4-1BE9-4B30-9C19-655C7B8F336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sicurezza assunto tra 1.5 e 2.5</t>
        </r>
      </text>
    </comment>
    <comment ref="B653" authorId="2" shapeId="0" xr:uid="{3104853A-E6A3-416D-B66C-89E6A00C369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interferenza necessaria ad assicurare la pressione di contatto</t>
        </r>
      </text>
    </comment>
    <comment ref="E654" authorId="2" shapeId="0" xr:uid="{C5E9BF5D-6628-41DA-AE96-1D714E8F3D8F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Pur essendo diversi i materiali di albero e mozzo, la formula si semplifica poiché il modulo di young e ill coeff di poissont risultano comunque uguali nei due materiali: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E_1=E_2
</t>
        </r>
        <r>
          <rPr>
            <sz val="9"/>
            <color rgb="FF000000"/>
            <rFont val="Tahoma"/>
            <family val="2"/>
          </rPr>
          <t xml:space="preserve">ni_1=ni_2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inoltre in caso di albero pieno r_1i=0 per cui la formula si semplifica ulteriormente</t>
        </r>
      </text>
    </comment>
    <comment ref="B655" authorId="2" shapeId="0" xr:uid="{0D9C9F3C-E51F-472F-84F4-A6533863088A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raggio del mozzo (preso uguale al raggio primitivo della ruota)</t>
        </r>
      </text>
    </comment>
    <comment ref="B659" authorId="2" shapeId="0" xr:uid="{AC800C61-392C-4984-A96D-A443A316D2A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mozzo</t>
        </r>
      </text>
    </comment>
    <comment ref="B660" authorId="2" shapeId="0" xr:uid="{5B76E5D9-BCFE-4853-80BC-EE2F657BE84A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mozzo</t>
        </r>
      </text>
    </comment>
    <comment ref="B661" authorId="2" shapeId="0" xr:uid="{373D1481-24DE-4C84-9322-187C58DE8B5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albero</t>
        </r>
      </text>
    </comment>
    <comment ref="B662" authorId="2" shapeId="0" xr:uid="{D133D773-DC22-4CB7-A5FD-ED96A09F529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albero</t>
        </r>
      </text>
    </comment>
    <comment ref="B665" authorId="2" shapeId="0" xr:uid="{2967FBB9-3823-49E1-A3E3-FE489C7CAD0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calettamento del mozzo provoca uno schiacciamento delle creste del profilo che può essere stimata dell'ordine del 40%, producendo una perdita di interferenza</t>
        </r>
      </text>
    </comment>
    <comment ref="B666" authorId="2" shapeId="0" xr:uid="{362F6F81-1E02-44A9-BD51-92C11ECA8F2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mozzo</t>
        </r>
      </text>
    </comment>
    <comment ref="C666" authorId="2" shapeId="0" xr:uid="{4BCC5310-FBF2-4289-83BB-A90FAF52526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IT7</t>
        </r>
      </text>
    </comment>
    <comment ref="B667" authorId="2" shapeId="0" xr:uid="{F753294D-9395-4255-91DF-95320BA0685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albero</t>
        </r>
      </text>
    </comment>
    <comment ref="C667" authorId="2" shapeId="0" xr:uid="{616938E4-E4E6-482F-8B3F-87B5FC9635D4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IT7</t>
        </r>
      </text>
    </comment>
    <comment ref="C668" authorId="2" shapeId="0" xr:uid="{640D3B47-D760-4137-8E9D-1FEC105AFFE6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seppure diversi i materiali di albero e mozzo sono entrambi acciai, perciò i coefficienti di dilatazione sono molto simili</t>
        </r>
      </text>
    </comment>
    <comment ref="B671" authorId="2" shapeId="0" xr:uid="{8F5508F9-F46D-43DF-9AD0-A723BD0E987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nel montaggio a caldo il mozzo viene scaldato in modo da far aumentare il suo diametro interno, successivamente l'albero viene inserito nel mozzo. Quando questo si raffredda si realizza il forzamento.</t>
        </r>
      </text>
    </comment>
    <comment ref="B674" authorId="2" shapeId="0" xr:uid="{6A201884-3E3A-40BE-8062-9C1E538D7BA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30-100 µm</t>
        </r>
      </text>
    </comment>
    <comment ref="B675" authorId="2" shapeId="0" xr:uid="{9D0984BA-6988-40E7-918A-AAF3CA2C11D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dilatazione termica lineare</t>
        </r>
      </text>
    </comment>
    <comment ref="B677" authorId="2" shapeId="0" xr:uid="{4C05D6B1-1B38-44F1-957C-AF00996411F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mozzo non deve esserescaldato oltre i 350°C</t>
        </r>
      </text>
    </comment>
    <comment ref="C690" authorId="2" shapeId="0" xr:uid="{25F7B6A4-7315-4239-BC98-81894A15E0E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fissi, una sola superficie di contatto cementata</t>
        </r>
      </text>
    </comment>
    <comment ref="B691" authorId="2" shapeId="0" xr:uid="{A39398C4-DC10-4D06-8304-0B4460B622C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momento trasmissibile dall'albero pieno di diametro d</t>
        </r>
      </text>
    </comment>
    <comment ref="C692" authorId="2" shapeId="0" xr:uid="{C1A24D1D-984D-47B6-AFCA-CDFF6C9B994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 con carico variabile e forti vibrazioni (condizione conservativa).</t>
        </r>
      </text>
    </comment>
    <comment ref="B694" authorId="2" shapeId="0" xr:uid="{28246EFC-038E-4DA1-A227-9FBB187FB549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serie media</t>
        </r>
      </text>
    </comment>
    <comment ref="B700" authorId="2" shapeId="0" xr:uid="{2DB5F6D4-1F2B-4044-8275-065A6110E95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lunghezza dello scanalato va fatta coincidere con la larghezza di fascia, purchè questa sia superiore alla larghezza minima.</t>
        </r>
      </text>
    </comment>
    <comment ref="B702" authorId="2" shapeId="0" xr:uid="{1DDA09E4-FA9A-48D0-BE01-92B7D122F4C1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la lunghezza dello scanalato deve essere tale che il rapporto L/d non sia maggiore di 1,5 per evitare significative differenze di rotazione tra le sezioni estreme di albero e mozzo e quindi disuniformità  di pressione sulle facce lateriali dei risalti.</t>
        </r>
      </text>
    </comment>
    <comment ref="B707" authorId="2" shapeId="0" xr:uid="{7D4C5341-12CC-4B0C-873F-8EAA3D1A5C9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pressione necessaria a trasmettere il momento torcente</t>
        </r>
      </text>
    </comment>
    <comment ref="C708" authorId="2" shapeId="0" xr:uid="{E2B68872-ABFD-4646-B42E-F43771F9389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collegamenti a caldo</t>
        </r>
      </text>
    </comment>
    <comment ref="B710" authorId="2" shapeId="0" xr:uid="{F3920C6B-00C9-497F-AF96-4889555E5BD8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sicurezza assunto tra 1.5 e 2.5</t>
        </r>
      </text>
    </comment>
    <comment ref="B712" authorId="2" shapeId="0" xr:uid="{01415FCB-D769-4028-8093-3202E8B8B76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interferenza necessaria ad assicurare la pressione di contatto</t>
        </r>
      </text>
    </comment>
    <comment ref="E713" authorId="2" shapeId="0" xr:uid="{459E87A6-62CD-4427-A311-0889D4D92315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Pur essendo diversi i materiali di albero e mozzo, la formula si semplifica poiché il modulo di young e ill coeff di poissont risultano comunque uguali nei due materiali: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E_1=E_2
</t>
        </r>
        <r>
          <rPr>
            <sz val="9"/>
            <color rgb="FF000000"/>
            <rFont val="Tahoma"/>
            <family val="2"/>
          </rPr>
          <t>ni_1=ni_2</t>
        </r>
      </text>
    </comment>
    <comment ref="B714" authorId="2" shapeId="0" xr:uid="{E9B3AD25-E8E2-4F2C-8617-24758B1FB1C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raggio del mozzo (preso uguale al raggio primitivo della ruota)</t>
        </r>
      </text>
    </comment>
    <comment ref="B719" authorId="2" shapeId="0" xr:uid="{B05A0653-5905-4657-96A5-0B30DDA1B62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mozzo</t>
        </r>
      </text>
    </comment>
    <comment ref="B720" authorId="2" shapeId="0" xr:uid="{FA2F531F-352B-4C73-9709-B7362B5A730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mozzo</t>
        </r>
      </text>
    </comment>
    <comment ref="B721" authorId="2" shapeId="0" xr:uid="{6BDB751E-A527-4D6C-AADD-0EA79939F83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superiore albero</t>
        </r>
      </text>
    </comment>
    <comment ref="B722" authorId="2" shapeId="0" xr:uid="{A58157BC-A2F1-4700-8CF1-C1DCD27B93D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scostamento inferiore albero</t>
        </r>
      </text>
    </comment>
    <comment ref="B725" authorId="2" shapeId="0" xr:uid="{42408FB6-AD72-45E2-8C81-52160CD4C324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calettamento del mozzo provoca uno schiacciamento delle creste del profilo che può essere stimata dell'ordine del 40%, producendo una perdita di interferenza</t>
        </r>
      </text>
    </comment>
    <comment ref="B726" authorId="2" shapeId="0" xr:uid="{42B57A25-E17F-4AF2-82F3-AB4C9109578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mozzo</t>
        </r>
      </text>
    </comment>
    <comment ref="C726" authorId="2" shapeId="0" xr:uid="{626C647F-38DB-4A81-9A82-5109494729D4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IT7</t>
        </r>
      </text>
    </comment>
    <comment ref="B727" authorId="2" shapeId="0" xr:uid="{5B872DCB-A873-40C1-A014-D3C0E927B0D1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rugosità albero</t>
        </r>
      </text>
    </comment>
    <comment ref="C727" authorId="2" shapeId="0" xr:uid="{5EB28F60-7C65-47D1-83D8-4D5C9FDD09EA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IT7</t>
        </r>
      </text>
    </comment>
    <comment ref="C728" authorId="2" shapeId="0" xr:uid="{15C613EF-7E18-4322-85BA-FD7B909528B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seppure diversi i materiali di albero e mozzo sono entrambi acciai, perciò i coefficienti di dilatazione sono molto simili</t>
        </r>
      </text>
    </comment>
    <comment ref="B731" authorId="2" shapeId="0" xr:uid="{037FAD9A-1777-4C85-BFBF-B3720527E545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nel montaggio a caldo il mozzo viene scaldato in modo da far aumentare il suo diametro interno, successivamente l'albero viene inserito nel mozzo. Quando questo si raffredda si realizza il forzamento.</t>
        </r>
      </text>
    </comment>
    <comment ref="B734" authorId="2" shapeId="0" xr:uid="{622ABFE6-36FE-4FFB-B9BB-4573F73E6E1C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30-100 µm</t>
        </r>
      </text>
    </comment>
    <comment ref="B735" authorId="2" shapeId="0" xr:uid="{31C7F92C-BA2F-4DC8-B772-1906F8F7678F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coefficiente di dilatazione termica lineare</t>
        </r>
      </text>
    </comment>
    <comment ref="B737" authorId="2" shapeId="0" xr:uid="{D9AB73E9-564D-4F3B-B839-3ACEE0DADBA2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il mozzo non deve esserescaldato oltre i 350°C</t>
        </r>
      </text>
    </comment>
    <comment ref="C748" authorId="2" shapeId="0" xr:uid="{1D622AF5-800A-4A9E-8E78-316B3407EDB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valore caratterisitico acciaio</t>
        </r>
      </text>
    </comment>
    <comment ref="C749" authorId="2" shapeId="0" xr:uid="{4FA59A95-1ECF-4E71-B3C3-02C79787FD1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30-38 mm, la linguetta è una 10 x 8 (b x h)</t>
        </r>
      </text>
    </comment>
    <comment ref="C750" authorId="2" shapeId="0" xr:uid="{358C43B7-8C66-4DBE-90FD-8F4A8DDE933B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30-38 mm, la linguetta è una 10 x 8 (b x h)</t>
        </r>
      </text>
    </comment>
    <comment ref="B754" authorId="2" shapeId="0" xr:uid="{F6540E0D-4774-4578-9ECB-3462EFABC50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la linguetta, ipotizzata di matriale simile all'albero (stessa tau_adm) deve risultare meno resistente dell'albero, al fine di fungere da fusibile in caso di sovraccarichi che portano a rottura.</t>
        </r>
      </text>
    </comment>
    <comment ref="C759" authorId="2" shapeId="0" xr:uid="{E014899E-2EC8-49A8-815C-B0F426E07B3E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fissi, una sola o nessuna superficie di contatto cementata</t>
        </r>
      </text>
    </comment>
    <comment ref="B760" authorId="2" shapeId="0" xr:uid="{85305FEE-91EC-418E-B5BC-F6029D6BDC70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momento trasmissibile dall'albero pieno di diametro d</t>
        </r>
      </text>
    </comment>
    <comment ref="C761" authorId="2" shapeId="0" xr:uid="{8B265DF5-0508-488F-9A91-F53D54047B8F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accoppiamenti fissi con carico variabile e forti vibrazioni (condizione conservativa).</t>
        </r>
      </text>
    </comment>
    <comment ref="B763" authorId="2" shapeId="0" xr:uid="{1DE4FBCD-842A-4153-AF54-FD809C3DA48B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serie media</t>
        </r>
      </text>
    </comment>
    <comment ref="B771" authorId="2" shapeId="0" xr:uid="{031ACC29-3739-44A7-85B9-0B8F1FF1CF35}">
      <text>
        <r>
          <rPr>
            <b/>
            <sz val="9"/>
            <color rgb="FF000000"/>
            <rFont val="Tahoma"/>
            <family val="2"/>
          </rPr>
          <t>Alessandro Peripoli: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la lunghezza dello scanalato deve essere tale che il rapporto L/d non sia maggiore di 1,5 per evitare significative differenze di rotazione tra le sezioni estreme di albero e mozzo e quindi disuniformità  di pressione sulle facce lateriali dei risalti.</t>
        </r>
      </text>
    </comment>
    <comment ref="C782" authorId="2" shapeId="0" xr:uid="{8EBC5F12-5000-47B2-BF11-D08F241A94B9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valore caratterisitico acciaio</t>
        </r>
      </text>
    </comment>
    <comment ref="C783" authorId="2" shapeId="0" xr:uid="{5B49235C-7C27-4141-866F-7A388A652B3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17-22 mm, la linguetta è una 6 x 6 (b x h)</t>
        </r>
      </text>
    </comment>
    <comment ref="C784" authorId="2" shapeId="0" xr:uid="{16ED3702-75A7-4B7E-A42A-D847CC831AA7}">
      <text>
        <r>
          <rPr>
            <b/>
            <sz val="9"/>
            <color indexed="81"/>
            <rFont val="Tahoma"/>
            <family val="2"/>
          </rPr>
          <t>Alessandro Peripoli:</t>
        </r>
        <r>
          <rPr>
            <sz val="9"/>
            <color indexed="81"/>
            <rFont val="Tahoma"/>
            <family val="2"/>
          </rPr>
          <t xml:space="preserve">
UNI 6604: per diametro dell'albero compreso tra 30-38 mm, la linguetta è una 10 x 8 (b x h)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Gianmarco Santoro - gianmarco.santoro2@studio.unibo.it</author>
  </authors>
  <commentList>
    <comment ref="M1" authorId="0" shapeId="0" xr:uid="{2EED6356-F14D-9149-9AF4-CFAA65A41314}">
      <text>
        <r>
          <rPr>
            <sz val="10"/>
            <color rgb="FF000000"/>
            <rFont val="Tahoma"/>
            <family val="2"/>
          </rPr>
          <t>evitare di correggere a meno che non sia assolutamente necessario</t>
        </r>
      </text>
    </comment>
    <comment ref="K2" authorId="0" shapeId="0" xr:uid="{DE13CE11-ADA0-2745-95E6-06CC925E0E0D}">
      <text>
        <r>
          <rPr>
            <sz val="10"/>
            <color rgb="FF000000"/>
            <rFont val="Tahoma"/>
            <family val="2"/>
          </rPr>
          <t>range di validità beta: 15-30, ma teniamo minore di 20 per evitare forze assiali eccessive</t>
        </r>
      </text>
    </comment>
    <comment ref="G5" authorId="0" shapeId="0" xr:uid="{4D017E5E-7748-D049-8405-EB621B9ADA90}">
      <text>
        <r>
          <rPr>
            <b/>
            <sz val="10"/>
            <color rgb="FF000000"/>
            <rFont val="Tahoma"/>
            <family val="2"/>
          </rPr>
          <t xml:space="preserve">Numero denti virtuale, necessario per ricavare il fattore di forma (Y) da tabelle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C10" authorId="0" shapeId="0" xr:uid="{DEA377E3-5EC6-1A4B-8F0C-6745736F3E5E}">
      <text>
        <r>
          <rPr>
            <sz val="10"/>
            <color rgb="FF000000"/>
            <rFont val="Tahoma"/>
            <family val="2"/>
          </rPr>
          <t xml:space="preserve">Si scegli nel range:
</t>
        </r>
        <r>
          <rPr>
            <sz val="10"/>
            <color rgb="FF000000"/>
            <rFont val="Tahoma"/>
            <family val="2"/>
          </rPr>
          <t xml:space="preserve">dritti: 8-14
</t>
        </r>
        <r>
          <rPr>
            <sz val="10"/>
            <color rgb="FF000000"/>
            <rFont val="Tahoma"/>
            <family val="2"/>
          </rPr>
          <t>elicoidali: 5-30</t>
        </r>
      </text>
    </comment>
    <comment ref="K10" authorId="0" shapeId="0" xr:uid="{D0322982-0423-5D45-814F-D5C5EF0F04A8}">
      <text>
        <r>
          <rPr>
            <sz val="10"/>
            <color rgb="FF000000"/>
            <rFont val="Tahoma"/>
            <family val="2"/>
          </rPr>
          <t xml:space="preserve">Si scegli nel range:
</t>
        </r>
        <r>
          <rPr>
            <sz val="10"/>
            <color rgb="FF000000"/>
            <rFont val="Tahoma"/>
            <family val="2"/>
          </rPr>
          <t xml:space="preserve">dritti: 8-14
</t>
        </r>
        <r>
          <rPr>
            <sz val="10"/>
            <color rgb="FF000000"/>
            <rFont val="Tahoma"/>
            <family val="2"/>
          </rPr>
          <t>elicoidali: 5-30</t>
        </r>
      </text>
    </comment>
    <comment ref="M10" authorId="0" shapeId="0" xr:uid="{C8E30DC0-7BE7-1B48-82AD-AEB19AAEC3C3}">
      <text>
        <r>
          <rPr>
            <sz val="10"/>
            <color rgb="FF000000"/>
            <rFont val="Tahoma"/>
            <family val="2"/>
          </rPr>
          <t>sigma R/coef.sicurezza</t>
        </r>
      </text>
    </comment>
    <comment ref="D11" authorId="0" shapeId="0" xr:uid="{6DEFB19A-8DF1-6E45-854D-0A579BF8ED70}">
      <text>
        <r>
          <rPr>
            <sz val="10"/>
            <color rgb="FF000000"/>
            <rFont val="Tahoma"/>
            <family val="2"/>
          </rPr>
          <t>15CrNi6-cementato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Luca Pirini Casadei</author>
  </authors>
  <commentList>
    <comment ref="D6" authorId="0" shapeId="0" xr:uid="{160A1438-73A4-43F0-9477-831CFA320E23}">
      <text>
        <r>
          <rPr>
            <b/>
            <sz val="9"/>
            <color rgb="FF000000"/>
            <rFont val="Tahoma"/>
          </rPr>
          <t>Luca Pirini Casadei:</t>
        </r>
        <r>
          <rPr>
            <sz val="9"/>
            <color rgb="FF000000"/>
            <rFont val="Tahoma"/>
          </rPr>
          <t xml:space="preserve">
</t>
        </r>
        <r>
          <rPr>
            <sz val="9"/>
            <color rgb="FF000000"/>
            <rFont val="Tahoma"/>
          </rPr>
          <t xml:space="preserve">Margine dopo cuscinetto
</t>
        </r>
      </text>
    </comment>
    <comment ref="D12" authorId="0" shapeId="0" xr:uid="{7CEE6ADA-2505-48E3-8273-93D7A09A3766}">
      <text>
        <r>
          <rPr>
            <b/>
            <sz val="9"/>
            <color rgb="FF000000"/>
            <rFont val="Tahoma"/>
          </rPr>
          <t>Luca Pirini Casadei:</t>
        </r>
        <r>
          <rPr>
            <sz val="9"/>
            <color rgb="FF000000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<sst xmlns="http://schemas.openxmlformats.org/spreadsheetml/2006/main" count="1836" uniqueCount="622">
  <si>
    <t>DATI DI PROGETTO</t>
  </si>
  <si>
    <t>Numero giri [rpm]</t>
  </si>
  <si>
    <t>GRUPPO C10</t>
  </si>
  <si>
    <t>potenza ingresso P1 [kW]</t>
  </si>
  <si>
    <t>Taglia</t>
  </si>
  <si>
    <t>Forza Fe (su puleggia) [N]</t>
  </si>
  <si>
    <t>Rapporto di trasmissione complessivo 𝜏</t>
  </si>
  <si>
    <t>𝜏</t>
  </si>
  <si>
    <t>verifica err. 2%</t>
  </si>
  <si>
    <t>𝜏*</t>
  </si>
  <si>
    <t>β_1</t>
  </si>
  <si>
    <t>β_3</t>
  </si>
  <si>
    <t>correzione𝝌</t>
  </si>
  <si>
    <t>N° denti minimo</t>
  </si>
  <si>
    <t>z1</t>
  </si>
  <si>
    <t>z3</t>
  </si>
  <si>
    <t>z1_min</t>
  </si>
  <si>
    <t>z3_min</t>
  </si>
  <si>
    <t>angolo di pressione</t>
  </si>
  <si>
    <t>input arbitrari -&gt;</t>
  </si>
  <si>
    <t xml:space="preserve"> caselle verdi</t>
  </si>
  <si>
    <t>z_v1</t>
  </si>
  <si>
    <t>z_v3</t>
  </si>
  <si>
    <t>Fattore di forma (Y)</t>
  </si>
  <si>
    <t>Z, Zv</t>
  </si>
  <si>
    <t>Y</t>
  </si>
  <si>
    <t>1/Y</t>
  </si>
  <si>
    <t>Fattori di forma di lewis</t>
  </si>
  <si>
    <t>LEGENDA:</t>
  </si>
  <si>
    <t>Lambda</t>
  </si>
  <si>
    <t xml:space="preserve">Durezza superficiale </t>
  </si>
  <si>
    <t xml:space="preserve">DS </t>
  </si>
  <si>
    <t xml:space="preserve">Durezza HB </t>
  </si>
  <si>
    <t xml:space="preserve">HB </t>
  </si>
  <si>
    <t xml:space="preserve">HV </t>
  </si>
  <si>
    <t xml:space="preserve">673.5 </t>
  </si>
  <si>
    <t xml:space="preserve">15CrNi6 - Acciaio da Cementazione - Cementato e temprato </t>
  </si>
  <si>
    <t xml:space="preserve">16 MnCr5 - Acciaio da Cementazione - Carbonitrurazione Gas </t>
  </si>
  <si>
    <t xml:space="preserve">16 MnCr5 - Acciaio da Cementazione - Cementato e temprato </t>
  </si>
  <si>
    <t xml:space="preserve">HRC </t>
  </si>
  <si>
    <t xml:space="preserve">687.7 </t>
  </si>
  <si>
    <t xml:space="preserve">17CrNiMo6 - Acciaio da Cementazione - Cementato e tempra </t>
  </si>
  <si>
    <t xml:space="preserve">31CrMoV9 - Acciaio da Nitrurazione - Nitrurato </t>
  </si>
  <si>
    <t xml:space="preserve">34CrMo4 - Acciaio da bonifica - Bonificato </t>
  </si>
  <si>
    <t xml:space="preserve">310.7 </t>
  </si>
  <si>
    <t xml:space="preserve">34CrMo4 - Acciaio da bonifica - Normalizzato </t>
  </si>
  <si>
    <t xml:space="preserve">34CrMo4 - Acciaio da bonifica - tempra superficiale </t>
  </si>
  <si>
    <t xml:space="preserve">34CrNiMo6 - Acciaio da bonifica - Bonificato </t>
  </si>
  <si>
    <t xml:space="preserve">318.7 </t>
  </si>
  <si>
    <t xml:space="preserve">34CrNiMo6 - Acciaio da bonifica - Normalizzato </t>
  </si>
  <si>
    <t xml:space="preserve">34CrNiMo6 - Acciaio da bonifica - tempra superficiale </t>
  </si>
  <si>
    <t xml:space="preserve">34CrNiMo6 - Acciaio da Nitrurazione - Nitrurato </t>
  </si>
  <si>
    <t xml:space="preserve">42CrMo4 - Acciai da bonifica - Nitrurato </t>
  </si>
  <si>
    <t xml:space="preserve">42CrMo4 - Acciaio da bonifica - Bonificato </t>
  </si>
  <si>
    <t xml:space="preserve">334.5 </t>
  </si>
  <si>
    <t xml:space="preserve">42CrMo4 - Acciaio da bonifica - Normalizzato </t>
  </si>
  <si>
    <t xml:space="preserve">42CrMo4 - Acciaio da bonifica - tempra superficiale </t>
  </si>
  <si>
    <t xml:space="preserve">615.6 </t>
  </si>
  <si>
    <t xml:space="preserve">C45 - Acciaio da bonifica - Bonificato </t>
  </si>
  <si>
    <t xml:space="preserve">C45 - Acciaio da bonifica - Normalizzato </t>
  </si>
  <si>
    <t xml:space="preserve">C45 - Acciaio da bonifica - tempra superficiale </t>
  </si>
  <si>
    <t xml:space="preserve">Fe490 - Acciaio da costruzione </t>
  </si>
  <si>
    <t xml:space="preserve">Fe590 - Acciaio da costruzione </t>
  </si>
  <si>
    <t xml:space="preserve">Fe690 - Acciaio da costruzione </t>
  </si>
  <si>
    <t xml:space="preserve">GG20 - Ghisa Grigia lamellare - ferritica </t>
  </si>
  <si>
    <t xml:space="preserve">- </t>
  </si>
  <si>
    <t xml:space="preserve">GG25 - Ghisa Grigia lamellare - ferritica/perlitica </t>
  </si>
  <si>
    <t xml:space="preserve">GGG100 - Ghisa sferoidale - perlitica </t>
  </si>
  <si>
    <t xml:space="preserve">GGG40 - Ghisa sferoidale - ferritica </t>
  </si>
  <si>
    <t xml:space="preserve">GGG60 - Ghisa sferoidale - perlitica </t>
  </si>
  <si>
    <t xml:space="preserve">GGG80 - Ghisa sferoidale - perlitica </t>
  </si>
  <si>
    <t xml:space="preserve">GS 52 - Acciao per getti </t>
  </si>
  <si>
    <t xml:space="preserve">GS 60 - Acciao per getti </t>
  </si>
  <si>
    <t xml:space="preserve">GTS35 - Ghisa malleabile nera - Ferrite + carburi </t>
  </si>
  <si>
    <t xml:space="preserve">GTS65 - Ghisa malleabile nera - Perlite + carburi </t>
  </si>
  <si>
    <t>14CrMoV6 - Acciaio da Cementazione - Cementato e temprato</t>
  </si>
  <si>
    <t>σ_R</t>
  </si>
  <si>
    <t>MATERIALE</t>
  </si>
  <si>
    <t>σ_amm</t>
  </si>
  <si>
    <t>Dimensionamento modulare di massima con Lewis [ruote 1 &amp; 2]</t>
  </si>
  <si>
    <t>Dimensionamento modulare di massima con Lewis [ruote 3 &amp; 4]</t>
  </si>
  <si>
    <t xml:space="preserve">E                Gpa </t>
  </si>
  <si>
    <t xml:space="preserve">sigS           Mpa </t>
  </si>
  <si>
    <t xml:space="preserve">sigR          Mpa </t>
  </si>
  <si>
    <t xml:space="preserve">sigD          Mpa </t>
  </si>
  <si>
    <t xml:space="preserve">sHLim         Mpa </t>
  </si>
  <si>
    <t xml:space="preserve">Sflim                   Mpa </t>
  </si>
  <si>
    <t>[rad/s]</t>
  </si>
  <si>
    <t>Potenza continuativa [kW]</t>
  </si>
  <si>
    <t>σ_R [Mpa]</t>
  </si>
  <si>
    <t>𝜏_1 -2</t>
  </si>
  <si>
    <t>𝜏_3-4</t>
  </si>
  <si>
    <t>Coef. Sicurezza</t>
  </si>
  <si>
    <t>Rp_1</t>
  </si>
  <si>
    <t>Rp_2</t>
  </si>
  <si>
    <t>Rp_3</t>
  </si>
  <si>
    <t>Rp_4</t>
  </si>
  <si>
    <t>z2</t>
  </si>
  <si>
    <t>z4</t>
  </si>
  <si>
    <t>z2_calcolato</t>
  </si>
  <si>
    <t>z4_calcolato</t>
  </si>
  <si>
    <t>Re_1</t>
  </si>
  <si>
    <t>Re_2</t>
  </si>
  <si>
    <t>Re_3</t>
  </si>
  <si>
    <t>Re_4</t>
  </si>
  <si>
    <t>&gt;&gt;&gt;</t>
  </si>
  <si>
    <t>C=O</t>
  </si>
  <si>
    <t>b=R</t>
  </si>
  <si>
    <t>a=P</t>
  </si>
  <si>
    <t>spessore carcassa</t>
  </si>
  <si>
    <t>Verticale</t>
  </si>
  <si>
    <t>𝜸_1 [deg]</t>
  </si>
  <si>
    <t>vincoli non restrittivi</t>
  </si>
  <si>
    <t>caselle arancio</t>
  </si>
  <si>
    <t>verifica</t>
  </si>
  <si>
    <t>spazio vuoto MIN</t>
  </si>
  <si>
    <t>Ingombro</t>
  </si>
  <si>
    <t>B1,B2</t>
  </si>
  <si>
    <t>B3,B4</t>
  </si>
  <si>
    <t>Larghezza di fascia [mm]</t>
  </si>
  <si>
    <t>Forze sull'albero 2 intermedio</t>
  </si>
  <si>
    <t>Ruota 2</t>
  </si>
  <si>
    <t>Ft2</t>
  </si>
  <si>
    <t>Hertziana</t>
  </si>
  <si>
    <t>Statica</t>
  </si>
  <si>
    <t>F2</t>
  </si>
  <si>
    <t>[N]</t>
  </si>
  <si>
    <t>Fa2</t>
  </si>
  <si>
    <t>Fr2</t>
  </si>
  <si>
    <t>Ruota 3</t>
  </si>
  <si>
    <t>Ft3</t>
  </si>
  <si>
    <t>F3</t>
  </si>
  <si>
    <t>Fa3</t>
  </si>
  <si>
    <t>Fr3</t>
  </si>
  <si>
    <t>𝛼_t</t>
  </si>
  <si>
    <t>Verifica</t>
  </si>
  <si>
    <t>σ_H</t>
  </si>
  <si>
    <t>σ_H0</t>
  </si>
  <si>
    <t>Raggi primitivi [mm]</t>
  </si>
  <si>
    <t>caselle blu</t>
  </si>
  <si>
    <t>caselle gialle</t>
  </si>
  <si>
    <t>Profondità</t>
  </si>
  <si>
    <t>Orizzontale</t>
  </si>
  <si>
    <t>H=A [mm]-altezza</t>
  </si>
  <si>
    <t>W=E- larghezza</t>
  </si>
  <si>
    <t>C2-spessore</t>
  </si>
  <si>
    <t>Verifica a pressione di contatto statico ingranamento 1-2</t>
  </si>
  <si>
    <t>Lunghezza parametrico</t>
  </si>
  <si>
    <t>Dati parametrici</t>
  </si>
  <si>
    <t>Ruota_3</t>
  </si>
  <si>
    <t>Ruota_2</t>
  </si>
  <si>
    <t>Verifiche</t>
  </si>
  <si>
    <t>Piano sezione x-y</t>
  </si>
  <si>
    <t>Piano sezione x-z</t>
  </si>
  <si>
    <t>V_1y</t>
  </si>
  <si>
    <t>V_1z</t>
  </si>
  <si>
    <t>V_2z</t>
  </si>
  <si>
    <t>H_1z</t>
  </si>
  <si>
    <t xml:space="preserve">Reazioni vincolari: </t>
  </si>
  <si>
    <t xml:space="preserve">V_2y </t>
  </si>
  <si>
    <t>Forze agenti:</t>
  </si>
  <si>
    <t>F_3y [N]</t>
  </si>
  <si>
    <t>F_3z [N]</t>
  </si>
  <si>
    <t>M_a2 [Nmm]</t>
  </si>
  <si>
    <t>M_a3 [Nmm]</t>
  </si>
  <si>
    <t>Piano x-y</t>
  </si>
  <si>
    <t>[Nmm]</t>
  </si>
  <si>
    <t>Piano x-z</t>
  </si>
  <si>
    <t>(-)</t>
  </si>
  <si>
    <t>(+)</t>
  </si>
  <si>
    <t>Max</t>
  </si>
  <si>
    <t>x</t>
  </si>
  <si>
    <t>sollecitazione</t>
  </si>
  <si>
    <t>Diagramma x-y</t>
  </si>
  <si>
    <t>Diagramma x-z</t>
  </si>
  <si>
    <t>Mf_2y</t>
  </si>
  <si>
    <t>Mf_3y</t>
  </si>
  <si>
    <t>Mf_2z</t>
  </si>
  <si>
    <t>Mf_3z</t>
  </si>
  <si>
    <t>NOTA BENE</t>
  </si>
  <si>
    <t>Mf_2</t>
  </si>
  <si>
    <t>Mf_3</t>
  </si>
  <si>
    <t>Tensioni totali:</t>
  </si>
  <si>
    <t>Sollecitazioni totali:</t>
  </si>
  <si>
    <t>𝜎f_2</t>
  </si>
  <si>
    <t>𝜏mt_2</t>
  </si>
  <si>
    <t>[Mpa]</t>
  </si>
  <si>
    <t>[mm]</t>
  </si>
  <si>
    <t>𝜎f_3</t>
  </si>
  <si>
    <t>𝜏mt_3</t>
  </si>
  <si>
    <t>𝜎id_VM_2</t>
  </si>
  <si>
    <t>𝜎id_VM_3</t>
  </si>
  <si>
    <t>Minimo</t>
  </si>
  <si>
    <t>DIMENSIONAMENTO A FATICA (vita infinita)</t>
  </si>
  <si>
    <t>D</t>
  </si>
  <si>
    <t>d</t>
  </si>
  <si>
    <t>r</t>
  </si>
  <si>
    <t xml:space="preserve">Diametro minimo </t>
  </si>
  <si>
    <t xml:space="preserve">Diametro scelto </t>
  </si>
  <si>
    <t>Verifica ingombro</t>
  </si>
  <si>
    <t>Interasse ruote [d]</t>
  </si>
  <si>
    <t>Distanza ruota-cuscinetto [d1, d2]</t>
  </si>
  <si>
    <t>Cuscinetti spessore  [a1, a2]</t>
  </si>
  <si>
    <t>Spazio per paraoli &amp; ghiere [e1, e2]</t>
  </si>
  <si>
    <t>Ruote [B2, B3]</t>
  </si>
  <si>
    <t>Da grafico</t>
  </si>
  <si>
    <t>r/d</t>
  </si>
  <si>
    <t>D/d</t>
  </si>
  <si>
    <t>Kt</t>
  </si>
  <si>
    <t>(⍴)^(1/2)</t>
  </si>
  <si>
    <t>𝜎_r</t>
  </si>
  <si>
    <t>q</t>
  </si>
  <si>
    <t>Kf</t>
  </si>
  <si>
    <t>DA MODIFICARE CAMBIANDO INPUT</t>
  </si>
  <si>
    <t>Spallamento 3</t>
  </si>
  <si>
    <t>Spallamento 2</t>
  </si>
  <si>
    <t>𝜎_D</t>
  </si>
  <si>
    <t>Si considera la 𝜎(D) a vita infinita circa 0,5*𝜎(R), mentre la 𝜎(S) è circa 0,7*𝜎(R)</t>
  </si>
  <si>
    <t>CS</t>
  </si>
  <si>
    <t>Dimensionamento ISO 6336-ruote dentate</t>
  </si>
  <si>
    <t>Fatica a flessione</t>
  </si>
  <si>
    <t>FATTORE " Y_fe*Y_S" in funzione di Zv con tau=1</t>
  </si>
  <si>
    <t>X=0</t>
  </si>
  <si>
    <t>Zv</t>
  </si>
  <si>
    <t>Fattori</t>
  </si>
  <si>
    <t>infinito</t>
  </si>
  <si>
    <t>Interpolazione 2</t>
  </si>
  <si>
    <t>Interpolazione 3</t>
  </si>
  <si>
    <t>Y_fe*Y_S</t>
  </si>
  <si>
    <t>Dati aggiuntivi:</t>
  </si>
  <si>
    <t>Zv_2</t>
  </si>
  <si>
    <t>Zv_4</t>
  </si>
  <si>
    <t>Zv_3</t>
  </si>
  <si>
    <t>Y_𝛽</t>
  </si>
  <si>
    <t>m_n1 unificato</t>
  </si>
  <si>
    <t>Modulo m_n1 [mm]</t>
  </si>
  <si>
    <t>Modulo m_n3</t>
  </si>
  <si>
    <t>m_n3 unificato</t>
  </si>
  <si>
    <t>m_t1</t>
  </si>
  <si>
    <t>m_t3</t>
  </si>
  <si>
    <t>Ruota 1</t>
  </si>
  <si>
    <t>Ruota 4</t>
  </si>
  <si>
    <t>Zv_1</t>
  </si>
  <si>
    <t>Interpolazione 1</t>
  </si>
  <si>
    <t>Interpolazione 4</t>
  </si>
  <si>
    <t>Y_B</t>
  </si>
  <si>
    <t>Ri_1</t>
  </si>
  <si>
    <t>Ri_2</t>
  </si>
  <si>
    <t>Ri_3</t>
  </si>
  <si>
    <t>Ri_4</t>
  </si>
  <si>
    <t>Moduli tangenziali</t>
  </si>
  <si>
    <t>Dimensionamento a flessione statico</t>
  </si>
  <si>
    <t>Scompongo M_a3:</t>
  </si>
  <si>
    <t>M_az3</t>
  </si>
  <si>
    <t>M_ay3</t>
  </si>
  <si>
    <t>CS con diametro scelto</t>
  </si>
  <si>
    <t xml:space="preserve">Da grafico </t>
  </si>
  <si>
    <r>
      <t xml:space="preserve">Sollecitazioni </t>
    </r>
    <r>
      <rPr>
        <b/>
        <sz val="12"/>
        <color theme="1"/>
        <rFont val="Calibri"/>
        <family val="2"/>
        <scheme val="minor"/>
      </rPr>
      <t>Hertziane</t>
    </r>
  </si>
  <si>
    <r>
      <t>Sollecitazioni</t>
    </r>
    <r>
      <rPr>
        <b/>
        <sz val="12"/>
        <color theme="1"/>
        <rFont val="Calibri"/>
        <family val="2"/>
        <scheme val="minor"/>
      </rPr>
      <t xml:space="preserve"> statiche</t>
    </r>
    <r>
      <rPr>
        <sz val="12"/>
        <color theme="1"/>
        <rFont val="Calibri"/>
        <family val="2"/>
        <scheme val="minor"/>
      </rPr>
      <t xml:space="preserve"> sull'albero:</t>
    </r>
  </si>
  <si>
    <t>Diametro albero a solo torsione[mm]</t>
  </si>
  <si>
    <t>V_1</t>
  </si>
  <si>
    <t>V_2</t>
  </si>
  <si>
    <t>Y_DT</t>
  </si>
  <si>
    <t>K_A</t>
  </si>
  <si>
    <t>K_V</t>
  </si>
  <si>
    <t>velocità angolare [rad/s]</t>
  </si>
  <si>
    <t>velocità tangenziale (periferica) [m/s]</t>
  </si>
  <si>
    <t>VERIFICA di validità formula</t>
  </si>
  <si>
    <t>(vz/100)(u^2/(1+u^2))</t>
  </si>
  <si>
    <t>F_t*K_A/B</t>
  </si>
  <si>
    <t>DA CALCOLARE FORZE TANGENZIALI SU RUOTE 1 E 4</t>
  </si>
  <si>
    <r>
      <t>K_F</t>
    </r>
    <r>
      <rPr>
        <sz val="12"/>
        <color theme="1"/>
        <rFont val="Calibri"/>
        <family val="2"/>
      </rPr>
      <t>α</t>
    </r>
  </si>
  <si>
    <r>
      <t>K_F</t>
    </r>
    <r>
      <rPr>
        <sz val="10"/>
        <color theme="1"/>
        <rFont val="Calibri"/>
        <family val="2"/>
      </rPr>
      <t>β</t>
    </r>
  </si>
  <si>
    <t>hertziana</t>
  </si>
  <si>
    <t xml:space="preserve">Ft1 </t>
  </si>
  <si>
    <t>Ft4</t>
  </si>
  <si>
    <r>
      <t>σ</t>
    </r>
    <r>
      <rPr>
        <sz val="8.15"/>
        <color theme="1"/>
        <rFont val="Calibri"/>
        <family val="2"/>
      </rPr>
      <t>_F0</t>
    </r>
    <r>
      <rPr>
        <sz val="12"/>
        <color theme="1"/>
        <rFont val="Calibri"/>
        <family val="2"/>
      </rPr>
      <t xml:space="preserve"> [MPa]</t>
    </r>
  </si>
  <si>
    <r>
      <t>σ</t>
    </r>
    <r>
      <rPr>
        <sz val="8.15"/>
        <color rgb="FFFF0000"/>
        <rFont val="Calibri"/>
        <family val="2"/>
      </rPr>
      <t>_F</t>
    </r>
    <r>
      <rPr>
        <sz val="12"/>
        <color rgb="FFFF0000"/>
        <rFont val="Calibri"/>
        <family val="2"/>
      </rPr>
      <t xml:space="preserve"> [MPa]</t>
    </r>
  </si>
  <si>
    <t>σ_Flim [MPa]</t>
  </si>
  <si>
    <t>Y_NT</t>
  </si>
  <si>
    <t>Y_ST</t>
  </si>
  <si>
    <r>
      <t>Y_</t>
    </r>
    <r>
      <rPr>
        <sz val="12"/>
        <color theme="1"/>
        <rFont val="DengXian"/>
        <family val="4"/>
        <charset val="134"/>
      </rPr>
      <t>δrelT</t>
    </r>
  </si>
  <si>
    <t>Y_X</t>
  </si>
  <si>
    <t>S_Fmin</t>
  </si>
  <si>
    <r>
      <t>Y_R</t>
    </r>
    <r>
      <rPr>
        <sz val="12"/>
        <color theme="1"/>
        <rFont val="DengXian"/>
        <family val="4"/>
        <charset val="134"/>
      </rPr>
      <t>relT</t>
    </r>
  </si>
  <si>
    <r>
      <t>Ra (rugosità) [</t>
    </r>
    <r>
      <rPr>
        <sz val="12"/>
        <color theme="1"/>
        <rFont val="Calibri"/>
        <family val="2"/>
      </rPr>
      <t>µm</t>
    </r>
    <r>
      <rPr>
        <sz val="12"/>
        <color theme="1"/>
        <rFont val="Calibri"/>
        <family val="2"/>
        <scheme val="minor"/>
      </rPr>
      <t>]</t>
    </r>
  </si>
  <si>
    <t>ATTENZIONE:</t>
  </si>
  <si>
    <t>σ_FP [MPa]</t>
  </si>
  <si>
    <t>VERIFICA A FATICA FLESSIONALE: σ_F &lt; σ_FP</t>
  </si>
  <si>
    <t>Fatica a pressione superficiale (resistenza a pitting)</t>
  </si>
  <si>
    <r>
      <t>coefficiente di ricoprimento ε_</t>
    </r>
    <r>
      <rPr>
        <sz val="12"/>
        <color theme="1"/>
        <rFont val="Calibri"/>
        <family val="2"/>
      </rPr>
      <t>β</t>
    </r>
  </si>
  <si>
    <t>Pignone 1</t>
  </si>
  <si>
    <t>Pignone  3</t>
  </si>
  <si>
    <t>Z_H</t>
  </si>
  <si>
    <t>α_t [°]</t>
  </si>
  <si>
    <t>α_wt [°]</t>
  </si>
  <si>
    <t>Z_E</t>
  </si>
  <si>
    <r>
      <t>Z_</t>
    </r>
    <r>
      <rPr>
        <sz val="12"/>
        <color theme="1"/>
        <rFont val="Calibri"/>
        <family val="2"/>
      </rPr>
      <t>β</t>
    </r>
  </si>
  <si>
    <r>
      <t>rapporto di condotta o ε_</t>
    </r>
    <r>
      <rPr>
        <sz val="12"/>
        <color theme="1"/>
        <rFont val="Calibri"/>
        <family val="2"/>
      </rPr>
      <t>α</t>
    </r>
  </si>
  <si>
    <t>Rb_1</t>
  </si>
  <si>
    <t>Rb_2</t>
  </si>
  <si>
    <t>Rb_3</t>
  </si>
  <si>
    <t>Rb_4</t>
  </si>
  <si>
    <t>Raggi di base [mm]</t>
  </si>
  <si>
    <t>Raggi di troncatura esterna [mm]</t>
  </si>
  <si>
    <t>Raggi di troncatura interna [mm]</t>
  </si>
  <si>
    <r>
      <t>Z_</t>
    </r>
    <r>
      <rPr>
        <sz val="12"/>
        <color theme="1"/>
        <rFont val="Calibri"/>
        <family val="2"/>
      </rPr>
      <t>ε</t>
    </r>
  </si>
  <si>
    <t>Z_B      /      Z_D</t>
  </si>
  <si>
    <t>σ_H [MPa]</t>
  </si>
  <si>
    <t>σ_H0 [MPa]</t>
  </si>
  <si>
    <r>
      <t>K_H</t>
    </r>
    <r>
      <rPr>
        <sz val="12"/>
        <color theme="1"/>
        <rFont val="Calibri"/>
        <family val="2"/>
      </rPr>
      <t>β</t>
    </r>
  </si>
  <si>
    <r>
      <t>K_H</t>
    </r>
    <r>
      <rPr>
        <sz val="12"/>
        <color theme="1"/>
        <rFont val="Calibri"/>
        <family val="2"/>
      </rPr>
      <t>α</t>
    </r>
  </si>
  <si>
    <t>σ_Hlim [MPa]</t>
  </si>
  <si>
    <t>Z_NT</t>
  </si>
  <si>
    <t xml:space="preserve">Z_L </t>
  </si>
  <si>
    <r>
      <rPr>
        <sz val="12"/>
        <color theme="1"/>
        <rFont val="Calibri"/>
        <family val="2"/>
      </rPr>
      <t xml:space="preserve">ν_40: </t>
    </r>
    <r>
      <rPr>
        <sz val="12"/>
        <color theme="1"/>
        <rFont val="Calibri"/>
        <family val="2"/>
        <scheme val="minor"/>
      </rPr>
      <t>viscosità a 40°C</t>
    </r>
  </si>
  <si>
    <t>C_LZ</t>
  </si>
  <si>
    <t>Z_V</t>
  </si>
  <si>
    <t>C_ZV</t>
  </si>
  <si>
    <t>Z_R</t>
  </si>
  <si>
    <t>C_ZR</t>
  </si>
  <si>
    <t>ρ</t>
  </si>
  <si>
    <t>ρ_red</t>
  </si>
  <si>
    <t>R_z10</t>
  </si>
  <si>
    <t>Z_W</t>
  </si>
  <si>
    <t>R_ZH</t>
  </si>
  <si>
    <t>ATTENZIONE</t>
  </si>
  <si>
    <t>Z_X</t>
  </si>
  <si>
    <t>(in tutte le ruote si rientra nel caso di rapporto di condotta e coefficiente di ricoprimento maggiori di 1, perciò σ_H  è calcolato nel centro di istantanea rotazione )</t>
  </si>
  <si>
    <t>DIMENSIONAMENTO ALBERO 1</t>
  </si>
  <si>
    <t>a</t>
  </si>
  <si>
    <t>mm</t>
  </si>
  <si>
    <t>b</t>
  </si>
  <si>
    <t>c</t>
  </si>
  <si>
    <t>gamma_2</t>
  </si>
  <si>
    <t>°</t>
  </si>
  <si>
    <t>alpha</t>
  </si>
  <si>
    <t>S_Hmin</t>
  </si>
  <si>
    <t>σ_HP [MPa]</t>
  </si>
  <si>
    <t>VERIFICA A FATICA DI CONTATTO: σ_H &lt; σ_HP</t>
  </si>
  <si>
    <t>Larghezza Ruota 1 [B1]</t>
  </si>
  <si>
    <t>larghezza puleggia [D]</t>
  </si>
  <si>
    <t>Dimensionamento a sola torsione</t>
  </si>
  <si>
    <t>Diametro minimo a sola torsione [mm]</t>
  </si>
  <si>
    <t>Lunghezza totale parametrica ALBERO 1</t>
  </si>
  <si>
    <t>Reazioni vincolari</t>
  </si>
  <si>
    <t>Forze agenti</t>
  </si>
  <si>
    <t>Ft_1</t>
  </si>
  <si>
    <t>Fr_1</t>
  </si>
  <si>
    <t>Fa_1</t>
  </si>
  <si>
    <t>Fe</t>
  </si>
  <si>
    <t>Ma_1</t>
  </si>
  <si>
    <t>H_2z</t>
  </si>
  <si>
    <t>Sollecitazioni totali</t>
  </si>
  <si>
    <t>Diagrammi sollecitazioni</t>
  </si>
  <si>
    <t>Sezione 2</t>
  </si>
  <si>
    <t>Sezione 3</t>
  </si>
  <si>
    <t>Dimensioni riduttore</t>
  </si>
  <si>
    <t>Verifica a pressione di contatto statico ingranamento 3-4</t>
  </si>
  <si>
    <t>Dimensionamento statico a sola torsione ALBERO 2:</t>
  </si>
  <si>
    <t>MATERIALE RUOTE</t>
  </si>
  <si>
    <t>MATERIALE ALBERO</t>
  </si>
  <si>
    <t>DIMENSIONAMENTO STATICO ALBERO 2 [mm]</t>
  </si>
  <si>
    <t>N.B.</t>
  </si>
  <si>
    <t>DIMENSIONAMENTO ALBERO 3</t>
  </si>
  <si>
    <t>Coppia albero 1 motore [Nm]</t>
  </si>
  <si>
    <t>Coppia albero 2 intermedio [Nm]</t>
  </si>
  <si>
    <t>Coppia albero 3 uscita [Nm]</t>
  </si>
  <si>
    <t>Diametro esterno minimo a sola torsione [mm]</t>
  </si>
  <si>
    <t>Lunghezza totale parametrica ALBERO 3</t>
  </si>
  <si>
    <t>Larghezza Ruota 4 [B]</t>
  </si>
  <si>
    <t>Modulo W</t>
  </si>
  <si>
    <t>Convergenza</t>
  </si>
  <si>
    <t>Spessore albero</t>
  </si>
  <si>
    <t>Diametro interno [mm]</t>
  </si>
  <si>
    <t>Ft_4</t>
  </si>
  <si>
    <t>Fr_4</t>
  </si>
  <si>
    <t>Fa_4</t>
  </si>
  <si>
    <t>Ma_4</t>
  </si>
  <si>
    <t>Statica [N]</t>
  </si>
  <si>
    <t>H_2y</t>
  </si>
  <si>
    <t>Ma_4z</t>
  </si>
  <si>
    <t>Ma_4y</t>
  </si>
  <si>
    <t>V_2y</t>
  </si>
  <si>
    <t>Mf_y</t>
  </si>
  <si>
    <t>Mf_z</t>
  </si>
  <si>
    <t>Mf_tot</t>
  </si>
  <si>
    <t>𝜎_id_VM</t>
  </si>
  <si>
    <t>convergenza</t>
  </si>
  <si>
    <t xml:space="preserve">Diametro esterno minimo </t>
  </si>
  <si>
    <t>𝜎_id_con diametro scelto</t>
  </si>
  <si>
    <t>Tensioni totali con diametro scelto</t>
  </si>
  <si>
    <t>VERIFICA</t>
  </si>
  <si>
    <t>VERIFICA CS</t>
  </si>
  <si>
    <t>Diametro interno</t>
  </si>
  <si>
    <t>SCELTA DEI CUSCINETTI</t>
  </si>
  <si>
    <t>caselle verdi</t>
  </si>
  <si>
    <t>valori cuscinetti da catolago</t>
  </si>
  <si>
    <t>ALBERO 1</t>
  </si>
  <si>
    <t>CUSCINETTO LATO RUOTA 2</t>
  </si>
  <si>
    <t>durata richiesta prima di manutenzione</t>
  </si>
  <si>
    <t>ore</t>
  </si>
  <si>
    <t>Fa</t>
  </si>
  <si>
    <t>velocità di rotazione</t>
  </si>
  <si>
    <t>giri/min</t>
  </si>
  <si>
    <t>Fr</t>
  </si>
  <si>
    <t>L_10</t>
  </si>
  <si>
    <t>milioni di giri</t>
  </si>
  <si>
    <t>a_1</t>
  </si>
  <si>
    <t>a_skf</t>
  </si>
  <si>
    <t>ni_lubrificante</t>
  </si>
  <si>
    <t>mm^2/s</t>
  </si>
  <si>
    <t>ni_1</t>
  </si>
  <si>
    <t>k</t>
  </si>
  <si>
    <t>eta_c</t>
  </si>
  <si>
    <t>P_u</t>
  </si>
  <si>
    <t>kN</t>
  </si>
  <si>
    <t>e</t>
  </si>
  <si>
    <t>X</t>
  </si>
  <si>
    <t>P</t>
  </si>
  <si>
    <t>eta_c*Pu/P</t>
  </si>
  <si>
    <t xml:space="preserve">C </t>
  </si>
  <si>
    <t>esponente formula della durata</t>
  </si>
  <si>
    <t>CUSCINETTO LATO RUOTA 3</t>
  </si>
  <si>
    <t>ALBERO 2</t>
  </si>
  <si>
    <t>-</t>
  </si>
  <si>
    <t>CUSCINETTO LATO SX [C1]</t>
  </si>
  <si>
    <t>Diametro anello interno cuscinetto [d]</t>
  </si>
  <si>
    <t>Diametro a sola torsione unificato [mm]</t>
  </si>
  <si>
    <t>FORZE</t>
  </si>
  <si>
    <t>VERIFICA Fa/Fr&lt;0,5</t>
  </si>
  <si>
    <t>&gt;&gt; usiamo un cuscinetto obliquo</t>
  </si>
  <si>
    <t>Hertziana [N]</t>
  </si>
  <si>
    <t>Sezione ruota</t>
  </si>
  <si>
    <t>Diametro esterno scelto [mm]</t>
  </si>
  <si>
    <t>L ingombro albero 1</t>
  </si>
  <si>
    <t>CUSCINETTO LATO DX [C2]</t>
  </si>
  <si>
    <t>Sezione 3 - cuscinetto</t>
  </si>
  <si>
    <t>Sezione 2 - ruota 1</t>
  </si>
  <si>
    <t>ATTENZIONE: in realtà la puleggia è dall'altro lato --&gt; questo disegno sarebbe specchiato</t>
  </si>
  <si>
    <t>ALBERO 3</t>
  </si>
  <si>
    <r>
      <rPr>
        <b/>
        <sz val="12"/>
        <color rgb="FFFF0000"/>
        <rFont val="Calibri"/>
        <family val="2"/>
        <scheme val="minor"/>
      </rPr>
      <t>COLLEGAMENTI</t>
    </r>
    <r>
      <rPr>
        <sz val="12"/>
        <color theme="1"/>
        <rFont val="Calibri"/>
        <family val="2"/>
        <scheme val="minor"/>
      </rPr>
      <t xml:space="preserve"> </t>
    </r>
  </si>
  <si>
    <t>RUOTA 2</t>
  </si>
  <si>
    <t>M_t2: coppia albero 2</t>
  </si>
  <si>
    <t>Nm</t>
  </si>
  <si>
    <t>diametro albero 2 sotto la ruota 2</t>
  </si>
  <si>
    <t>linguetta UNI 6604</t>
  </si>
  <si>
    <t>p_amm</t>
  </si>
  <si>
    <t>Mpa</t>
  </si>
  <si>
    <t>h: altezza chiavetta</t>
  </si>
  <si>
    <t>b: larghezza chiavetta</t>
  </si>
  <si>
    <t>L_min</t>
  </si>
  <si>
    <t>L_unificata</t>
  </si>
  <si>
    <t>La lunghezza minima che deve avere la linguetta è eccessiva essendo questa superiore alla larghezza della ruota stessa.</t>
  </si>
  <si>
    <t>collegamento scanalato UNI 8953 (centraggio interno)</t>
  </si>
  <si>
    <t>m</t>
  </si>
  <si>
    <t>omega</t>
  </si>
  <si>
    <t>N</t>
  </si>
  <si>
    <t>B</t>
  </si>
  <si>
    <t>c (altezza degli smussi)</t>
  </si>
  <si>
    <t>L (lunghezza di contatto)</t>
  </si>
  <si>
    <t>RUOTA 3</t>
  </si>
  <si>
    <t>diametro albero 2 sotto la ruota 3</t>
  </si>
  <si>
    <t>La soluzione di collegamento tramite linguetta viene scartato in quanto la chiavetta risulterebbe più resistente dell'albero.</t>
  </si>
  <si>
    <t>Poiché non risulta soddisfatta la condizione L/d &lt; 1,5 si è scartato il collegamento tramite profilo scanalato e si è passati ad un collegamento forzato.</t>
  </si>
  <si>
    <r>
      <t>d</t>
    </r>
    <r>
      <rPr>
        <vertAlign val="subscript"/>
        <sz val="10"/>
        <color rgb="FF5E5E5E"/>
        <rFont val="Arial"/>
        <family val="2"/>
      </rPr>
      <t>1</t>
    </r>
  </si>
  <si>
    <t>≈</t>
  </si>
  <si>
    <r>
      <t>r</t>
    </r>
    <r>
      <rPr>
        <vertAlign val="subscript"/>
        <sz val="10"/>
        <color rgb="FF5E5E5E"/>
        <rFont val="Arial"/>
        <family val="2"/>
      </rPr>
      <t>1,2</t>
    </r>
  </si>
  <si>
    <t>min.</t>
  </si>
  <si>
    <r>
      <t>r</t>
    </r>
    <r>
      <rPr>
        <vertAlign val="subscript"/>
        <sz val="10"/>
        <color rgb="FF5E5E5E"/>
        <rFont val="Arial"/>
        <family val="2"/>
      </rPr>
      <t>3,4</t>
    </r>
  </si>
  <si>
    <t>max.</t>
  </si>
  <si>
    <r>
      <t>d</t>
    </r>
    <r>
      <rPr>
        <vertAlign val="subscript"/>
        <sz val="10"/>
        <color rgb="FF5E5E5E"/>
        <rFont val="Arial"/>
        <family val="2"/>
      </rPr>
      <t>a</t>
    </r>
  </si>
  <si>
    <r>
      <t>d</t>
    </r>
    <r>
      <rPr>
        <vertAlign val="subscript"/>
        <sz val="10"/>
        <color rgb="FF5E5E5E"/>
        <rFont val="Arial"/>
        <family val="2"/>
      </rPr>
      <t>b</t>
    </r>
  </si>
  <si>
    <r>
      <t>D</t>
    </r>
    <r>
      <rPr>
        <vertAlign val="subscript"/>
        <sz val="10"/>
        <color rgb="FF5E5E5E"/>
        <rFont val="Arial"/>
        <family val="2"/>
      </rPr>
      <t>a</t>
    </r>
  </si>
  <si>
    <r>
      <t>r</t>
    </r>
    <r>
      <rPr>
        <vertAlign val="subscript"/>
        <sz val="10"/>
        <color rgb="FF5E5E5E"/>
        <rFont val="Arial"/>
        <family val="2"/>
      </rPr>
      <t>a</t>
    </r>
  </si>
  <si>
    <t>Spallamento</t>
  </si>
  <si>
    <r>
      <t>D</t>
    </r>
    <r>
      <rPr>
        <vertAlign val="subscript"/>
        <sz val="10"/>
        <color rgb="FF5E5E5E"/>
        <rFont val="Arial"/>
        <family val="2"/>
      </rPr>
      <t>b</t>
    </r>
  </si>
  <si>
    <r>
      <t>r</t>
    </r>
    <r>
      <rPr>
        <vertAlign val="subscript"/>
        <sz val="10"/>
        <color rgb="FF5E5E5E"/>
        <rFont val="Arial"/>
        <family val="2"/>
      </rPr>
      <t>b</t>
    </r>
  </si>
  <si>
    <t>spallamento</t>
  </si>
  <si>
    <t>DIMENSIONI CUSCINETTO 6212</t>
  </si>
  <si>
    <t>collegamento forzato UNI 7218-73</t>
  </si>
  <si>
    <t>P_c</t>
  </si>
  <si>
    <t>f: coefficiente di attrito</t>
  </si>
  <si>
    <t>l: lunghezza accoppiamento</t>
  </si>
  <si>
    <t>C.S.</t>
  </si>
  <si>
    <t>d_c: diametro di contatto</t>
  </si>
  <si>
    <t>i</t>
  </si>
  <si>
    <t>E</t>
  </si>
  <si>
    <t>Gpa</t>
  </si>
  <si>
    <t>r_2e</t>
  </si>
  <si>
    <t>r_c</t>
  </si>
  <si>
    <r>
      <rPr>
        <sz val="12"/>
        <color theme="1"/>
        <rFont val="Calibri"/>
        <family val="2"/>
      </rPr>
      <t>µ</t>
    </r>
    <r>
      <rPr>
        <sz val="12"/>
        <color theme="1"/>
        <rFont val="Calibri"/>
        <family val="2"/>
        <scheme val="minor"/>
      </rPr>
      <t>m</t>
    </r>
  </si>
  <si>
    <t>condizioni di interferenza</t>
  </si>
  <si>
    <t>H7/u6</t>
  </si>
  <si>
    <t>S_im</t>
  </si>
  <si>
    <t>S_sm</t>
  </si>
  <si>
    <t>S_sa</t>
  </si>
  <si>
    <t>S_ia</t>
  </si>
  <si>
    <t>i_min</t>
  </si>
  <si>
    <t>i_max</t>
  </si>
  <si>
    <t>delta_i_R</t>
  </si>
  <si>
    <t>Ra_a</t>
  </si>
  <si>
    <t>Ra_m</t>
  </si>
  <si>
    <t>delta_i_T</t>
  </si>
  <si>
    <t xml:space="preserve">TEMPERATURA RISCALDAMENTO MOZZO </t>
  </si>
  <si>
    <t>s gioco diametrale di infilamento</t>
  </si>
  <si>
    <t>°C^(-1)</t>
  </si>
  <si>
    <t>delta_T</t>
  </si>
  <si>
    <t>d_c</t>
  </si>
  <si>
    <t>°C</t>
  </si>
  <si>
    <t>Poiché sono soddisfatte le condizioni si è optato per un collegamento forzato con interferenza H7/u6</t>
  </si>
  <si>
    <t>RUOTA 1</t>
  </si>
  <si>
    <t>RUOTA 4</t>
  </si>
  <si>
    <t>M_t3: coppia albero 3</t>
  </si>
  <si>
    <t>diametro albero 3 sotto la ruota 4</t>
  </si>
  <si>
    <t>La soluzione di collegamento tramite linguetta viene scartata in quanto la lavorazione indebolirebbe ulteriormente l'albero che, essendo cavo, ne risentirebbe maggiormente.</t>
  </si>
  <si>
    <t>J7/x7</t>
  </si>
  <si>
    <t>Durata ore REALE</t>
  </si>
  <si>
    <t>Numero di cicli manutenzione per sostituzione</t>
  </si>
  <si>
    <t>esponente formula della durata [p]</t>
  </si>
  <si>
    <t xml:space="preserve"> </t>
  </si>
  <si>
    <t>L_10_REALE</t>
  </si>
  <si>
    <t>Spessore mettere 7/8 valutando il peso per essere coerenti con quelli</t>
  </si>
  <si>
    <t>C.S effettivo</t>
  </si>
  <si>
    <t>C.S. effettivo</t>
  </si>
  <si>
    <t>DIMENSIONI CUSCINETTO 32305</t>
  </si>
  <si>
    <r>
      <t>C</t>
    </r>
    <r>
      <rPr>
        <vertAlign val="subscript"/>
        <sz val="10"/>
        <color rgb="FF5E5E5E"/>
        <rFont val="Arial"/>
        <family val="2"/>
      </rPr>
      <t>a</t>
    </r>
  </si>
  <si>
    <r>
      <t>C</t>
    </r>
    <r>
      <rPr>
        <vertAlign val="subscript"/>
        <sz val="10"/>
        <color rgb="FF5E5E5E"/>
        <rFont val="Arial"/>
        <family val="2"/>
      </rPr>
      <t>b</t>
    </r>
  </si>
  <si>
    <t>T</t>
  </si>
  <si>
    <t>C</t>
  </si>
  <si>
    <t>DATI IMPORTANTI</t>
  </si>
  <si>
    <t>Diametri</t>
  </si>
  <si>
    <t xml:space="preserve">Lunghezze </t>
  </si>
  <si>
    <t>e1</t>
  </si>
  <si>
    <t>Diametro ruota 1</t>
  </si>
  <si>
    <t>a1</t>
  </si>
  <si>
    <t>d1</t>
  </si>
  <si>
    <t>B1</t>
  </si>
  <si>
    <t>d2</t>
  </si>
  <si>
    <t>a2</t>
  </si>
  <si>
    <t>e2</t>
  </si>
  <si>
    <t>Lunghezza totale</t>
  </si>
  <si>
    <t>Diametro cuscinetto C2</t>
  </si>
  <si>
    <t>Diametro cuscinetto C1</t>
  </si>
  <si>
    <t>B2</t>
  </si>
  <si>
    <t>B3</t>
  </si>
  <si>
    <t>Diametro ruota 2</t>
  </si>
  <si>
    <t>Diametro ruota 3</t>
  </si>
  <si>
    <t>Diametro cuscinetto Ruota 3</t>
  </si>
  <si>
    <t>Diametro cuscinetto Ruota 2</t>
  </si>
  <si>
    <t>Diametro cuscinetto SX</t>
  </si>
  <si>
    <t>Diametro cuscinetto DX</t>
  </si>
  <si>
    <t>B4</t>
  </si>
  <si>
    <t>d interno</t>
  </si>
  <si>
    <t>D esterno</t>
  </si>
  <si>
    <t>Larghezza</t>
  </si>
  <si>
    <t>min</t>
  </si>
  <si>
    <t>max</t>
  </si>
  <si>
    <t>CUSCINETTI</t>
  </si>
  <si>
    <t>RUOTE</t>
  </si>
  <si>
    <t>Raggio interno</t>
  </si>
  <si>
    <t>Raggio esterno</t>
  </si>
  <si>
    <t>Raggio primitivo</t>
  </si>
  <si>
    <t>Modulo</t>
  </si>
  <si>
    <t>Spallamento Albero</t>
  </si>
  <si>
    <t>DIMENSIONE CARCASSA</t>
  </si>
  <si>
    <t>diametro minimo a sola torsione output</t>
  </si>
  <si>
    <t>verifica albero utilizzatore a sola torsione</t>
  </si>
  <si>
    <t>da cui va tolta la resistenza della scanalatura per la trasmissione del moto</t>
  </si>
  <si>
    <t>C2 [lato sx]</t>
  </si>
  <si>
    <t>C1 [lato dx]</t>
  </si>
  <si>
    <t>[lato sx]</t>
  </si>
  <si>
    <t>[lato dx]</t>
  </si>
  <si>
    <r>
      <t>d</t>
    </r>
    <r>
      <rPr>
        <vertAlign val="subscript"/>
        <sz val="6"/>
        <color theme="1"/>
        <rFont val="Arial"/>
        <family val="2"/>
      </rPr>
      <t>1</t>
    </r>
  </si>
  <si>
    <r>
      <t>D</t>
    </r>
    <r>
      <rPr>
        <vertAlign val="subscript"/>
        <sz val="6"/>
        <color theme="1"/>
        <rFont val="Arial"/>
        <family val="2"/>
      </rPr>
      <t>2</t>
    </r>
  </si>
  <si>
    <r>
      <t>r</t>
    </r>
    <r>
      <rPr>
        <vertAlign val="subscript"/>
        <sz val="6"/>
        <color theme="1"/>
        <rFont val="Arial"/>
        <family val="2"/>
      </rPr>
      <t>1,2</t>
    </r>
  </si>
  <si>
    <r>
      <t>d</t>
    </r>
    <r>
      <rPr>
        <vertAlign val="subscript"/>
        <sz val="6"/>
        <color rgb="FF5E5E5E"/>
        <rFont val="Arial"/>
        <family val="2"/>
      </rPr>
      <t>a</t>
    </r>
  </si>
  <si>
    <r>
      <t>D</t>
    </r>
    <r>
      <rPr>
        <vertAlign val="subscript"/>
        <sz val="6"/>
        <color rgb="FF5E5E5E"/>
        <rFont val="Arial"/>
        <family val="2"/>
      </rPr>
      <t>a</t>
    </r>
  </si>
  <si>
    <r>
      <t>r</t>
    </r>
    <r>
      <rPr>
        <vertAlign val="subscript"/>
        <sz val="6"/>
        <color rgb="FF5E5E5E"/>
        <rFont val="Arial"/>
        <family val="2"/>
      </rPr>
      <t>a</t>
    </r>
  </si>
  <si>
    <t>Poiché risultano soddisfatte le condizioni ottimali il profilo scanalto risulta un'opzione fattibile per fissare la ruota 2.</t>
  </si>
  <si>
    <t>Js7/x7</t>
  </si>
  <si>
    <t>C. lato DX</t>
  </si>
  <si>
    <t>C. lato SX</t>
  </si>
  <si>
    <t>Spallamento Carcassa</t>
  </si>
  <si>
    <t>VERIFICA INTERFERENZA</t>
  </si>
  <si>
    <t>Poiché sono soddisfatte le condizioni si può optare anche per un collegamento forzato con interferenza Js7/x7</t>
  </si>
  <si>
    <t>diametro interno albero cavo</t>
  </si>
  <si>
    <t>r_i</t>
  </si>
  <si>
    <t>Poiché non sono soddisfatte le condizioni si è scartata l'ipotesi collegamento forzato</t>
  </si>
  <si>
    <t>Poiché risultano soddisfatte le condizioni ottimali il profilo scanalto risulta un'opzione fattibile per fissare la ruota 4. Si è deciso di optare per questa soluzione.</t>
  </si>
  <si>
    <t>COLLEGAMENTO ALBERO 3-ALBERO OUTPUT</t>
  </si>
  <si>
    <t>diametro interno albero 3</t>
  </si>
  <si>
    <t>Numero denti</t>
  </si>
  <si>
    <t>Angolo elica</t>
  </si>
  <si>
    <t>Direzione elica</t>
  </si>
  <si>
    <t>Destra</t>
  </si>
  <si>
    <t>Sinistra</t>
  </si>
  <si>
    <t>coefficiente sicurezza effettivo</t>
  </si>
  <si>
    <t>coefficiente di sicurezza effett.</t>
  </si>
  <si>
    <t>DIMENSIONI CUSCINETTO 32306</t>
  </si>
  <si>
    <t>DIMENSIONI CUSCINETTO 30307</t>
  </si>
  <si>
    <t>Raggio di raccordo MAX-carcassa</t>
  </si>
  <si>
    <t>Raggio di raccordo MAX</t>
  </si>
  <si>
    <t>Raggio di raccordo MAX-Albero</t>
  </si>
  <si>
    <t>k_tab</t>
  </si>
  <si>
    <t xml:space="preserve">M_t </t>
  </si>
  <si>
    <t>K</t>
  </si>
  <si>
    <t>M_t</t>
  </si>
  <si>
    <t>La linguetta in grado di sopportare la coppia richiesta deve essere di dimensioni troppo grandi (maggiore della larghezza di fascia). Il collegamento tramite linguetta viene scartato.</t>
  </si>
  <si>
    <t>Poiché risultano soddisfatte le condizioni ottimali si è optato per un collegamento forzato.</t>
  </si>
  <si>
    <t>C2 - Lato DX</t>
  </si>
  <si>
    <t>C1 - Lato SX</t>
  </si>
  <si>
    <t>C. RUOTA 2 [lato DX]</t>
  </si>
  <si>
    <t>C. RUOTA 3 - lato SX</t>
  </si>
  <si>
    <t>Forza tirante</t>
  </si>
  <si>
    <t>Denti elicoidali</t>
  </si>
  <si>
    <t>COLLEGAMENTO ALBERO 1-PULEGGIA</t>
  </si>
  <si>
    <t>M_t1: coppia albero 1</t>
  </si>
  <si>
    <t>Spazio paraolio</t>
  </si>
  <si>
    <t>s1</t>
  </si>
  <si>
    <t>Ingobro totale</t>
  </si>
  <si>
    <t>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</si>
</sst>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(Corpo)"/>
    </font>
    <font>
      <sz val="12"/>
      <color theme="1"/>
      <name val="TimesNewRoman"/>
    </font>
    <font>
      <sz val="12"/>
      <color rgb="FFFF0000"/>
      <name val="Calibri (Corpo)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FF0000"/>
      <name val="Calibri"/>
      <family val="2"/>
      <scheme val="minor"/>
    </font>
    <font>
      <sz val="10"/>
      <color indexed="81"/>
      <name val="Tahoma"/>
      <family val="2"/>
    </font>
    <font>
      <sz val="9"/>
      <color indexed="81"/>
      <name val="Tahoma"/>
      <family val="2"/>
    </font>
    <font>
      <sz val="8.15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2"/>
      <color rgb="FFFF0000"/>
      <name val="Calibri"/>
      <family val="2"/>
    </font>
    <font>
      <sz val="8.15"/>
      <color rgb="FFFF0000"/>
      <name val="Calibri"/>
      <family val="2"/>
    </font>
    <font>
      <sz val="12"/>
      <color theme="1"/>
      <name val="DengXian"/>
      <family val="4"/>
      <charset val="134"/>
    </font>
    <font>
      <sz val="9"/>
      <color rgb="FF000000"/>
      <name val="Tahoma"/>
      <family val="2"/>
    </font>
    <font>
      <i/>
      <sz val="12"/>
      <color theme="1"/>
      <name val="Calibri"/>
      <family val="2"/>
      <scheme val="minor"/>
    </font>
    <font>
      <i/>
      <sz val="12"/>
      <color rgb="FF0070C0"/>
      <name val="Calibri (Corpo)"/>
    </font>
    <font>
      <sz val="12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indexed="81"/>
      <name val="Tahoma"/>
      <family val="2"/>
    </font>
    <font>
      <b/>
      <sz val="12"/>
      <color theme="4" tint="-0.249977111117893"/>
      <name val="Calibri"/>
      <family val="2"/>
      <scheme val="minor"/>
    </font>
    <font>
      <b/>
      <sz val="12"/>
      <color theme="5" tint="-0.249977111117893"/>
      <name val="Calibri (Corpo)"/>
    </font>
    <font>
      <sz val="10"/>
      <color rgb="FF000000"/>
      <name val="Calibri"/>
      <family val="2"/>
      <scheme val="minor"/>
    </font>
    <font>
      <sz val="15"/>
      <color rgb="FF5E5E5E"/>
      <name val="Arial"/>
      <family val="2"/>
    </font>
    <font>
      <vertAlign val="subscript"/>
      <sz val="10"/>
      <color rgb="FF5E5E5E"/>
      <name val="Arial"/>
      <family val="2"/>
    </font>
    <font>
      <b/>
      <sz val="15"/>
      <color rgb="FF5E5E5E"/>
      <name val="Arial"/>
      <family val="2"/>
    </font>
    <font>
      <sz val="15"/>
      <color rgb="FF5E5E5E"/>
      <name val="Arial"/>
      <family val="2"/>
    </font>
    <font>
      <b/>
      <sz val="15"/>
      <color rgb="FF5E5E5E"/>
      <name val="Arial"/>
      <family val="2"/>
    </font>
    <font>
      <sz val="10"/>
      <color rgb="FF000000"/>
      <name val="Tahoma"/>
      <family val="34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2"/>
      <color theme="4" tint="-0.249977111117893"/>
      <name val="Calibri"/>
      <family val="2"/>
      <scheme val="minor"/>
    </font>
    <font>
      <vertAlign val="subscript"/>
      <sz val="6"/>
      <color theme="1"/>
      <name val="Arial"/>
      <family val="2"/>
    </font>
    <font>
      <vertAlign val="subscript"/>
      <sz val="6"/>
      <color rgb="FF5E5E5E"/>
      <name val="Arial"/>
      <family val="2"/>
    </font>
    <font>
      <sz val="15"/>
      <color rgb="FF5E5E5E"/>
      <name val="Arial"/>
      <family val="2"/>
    </font>
    <font>
      <b/>
      <sz val="15"/>
      <color rgb="FF5E5E5E"/>
      <name val="Arial"/>
      <family val="2"/>
    </font>
    <font>
      <u/>
      <sz val="12"/>
      <color theme="1"/>
      <name val="Calibri"/>
      <family val="2"/>
      <scheme val="minor"/>
    </font>
    <font>
      <b/>
      <sz val="9"/>
      <color rgb="FF000000"/>
      <name val="Tahoma"/>
    </font>
    <font>
      <sz val="9"/>
      <color rgb="FF000000"/>
      <name val="Tahoma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413">
    <xf numFmtId="0" fontId="0" fillId="0" borderId="0" xfId="0"/>
    <xf numFmtId="0" fontId="0" fillId="0" borderId="1" xfId="0" applyBorder="1"/>
    <xf numFmtId="0" fontId="0" fillId="0" borderId="3" xfId="0" applyBorder="1"/>
    <xf numFmtId="2" fontId="0" fillId="0" borderId="1" xfId="0" applyNumberFormat="1" applyBorder="1"/>
    <xf numFmtId="0" fontId="0" fillId="2" borderId="1" xfId="0" applyFill="1" applyBorder="1"/>
    <xf numFmtId="4" fontId="0" fillId="0" borderId="1" xfId="0" applyNumberFormat="1" applyBorder="1"/>
    <xf numFmtId="164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0" borderId="5" xfId="0" applyNumberFormat="1" applyBorder="1"/>
    <xf numFmtId="0" fontId="0" fillId="4" borderId="1" xfId="0" applyFill="1" applyBorder="1"/>
    <xf numFmtId="0" fontId="0" fillId="5" borderId="1" xfId="0" applyFill="1" applyBorder="1"/>
    <xf numFmtId="1" fontId="0" fillId="0" borderId="1" xfId="0" applyNumberFormat="1" applyBorder="1"/>
    <xf numFmtId="165" fontId="0" fillId="0" borderId="1" xfId="0" applyNumberFormat="1" applyBorder="1"/>
    <xf numFmtId="1" fontId="0" fillId="0" borderId="10" xfId="0" applyNumberFormat="1" applyBorder="1"/>
    <xf numFmtId="1" fontId="0" fillId="0" borderId="0" xfId="0" applyNumberFormat="1"/>
    <xf numFmtId="1" fontId="0" fillId="0" borderId="11" xfId="0" applyNumberFormat="1" applyBorder="1"/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2" fontId="8" fillId="0" borderId="5" xfId="0" applyNumberFormat="1" applyFont="1" applyBorder="1"/>
    <xf numFmtId="1" fontId="0" fillId="5" borderId="1" xfId="0" applyNumberFormat="1" applyFill="1" applyBorder="1"/>
    <xf numFmtId="1" fontId="1" fillId="5" borderId="5" xfId="0" applyNumberFormat="1" applyFont="1" applyFill="1" applyBorder="1"/>
    <xf numFmtId="0" fontId="0" fillId="6" borderId="1" xfId="0" applyFill="1" applyBorder="1"/>
    <xf numFmtId="2" fontId="8" fillId="0" borderId="0" xfId="0" applyNumberFormat="1" applyFont="1"/>
    <xf numFmtId="1" fontId="1" fillId="5" borderId="1" xfId="0" applyNumberFormat="1" applyFont="1" applyFill="1" applyBorder="1"/>
    <xf numFmtId="2" fontId="8" fillId="0" borderId="1" xfId="0" applyNumberFormat="1" applyFont="1" applyBorder="1"/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0" xfId="0" applyFont="1" applyAlignment="1">
      <alignment horizontal="center"/>
    </xf>
    <xf numFmtId="2" fontId="0" fillId="0" borderId="0" xfId="0" applyNumberFormat="1"/>
    <xf numFmtId="0" fontId="0" fillId="0" borderId="13" xfId="0" applyBorder="1"/>
    <xf numFmtId="2" fontId="0" fillId="0" borderId="3" xfId="0" applyNumberFormat="1" applyBorder="1"/>
    <xf numFmtId="2" fontId="0" fillId="0" borderId="4" xfId="0" applyNumberFormat="1" applyBorder="1"/>
    <xf numFmtId="0" fontId="0" fillId="0" borderId="1" xfId="0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164" fontId="0" fillId="0" borderId="1" xfId="0" applyNumberFormat="1" applyBorder="1" applyAlignment="1"/>
    <xf numFmtId="164" fontId="0" fillId="0" borderId="0" xfId="0" applyNumberFormat="1" applyBorder="1" applyAlignment="1"/>
    <xf numFmtId="0" fontId="0" fillId="0" borderId="0" xfId="0" applyBorder="1"/>
    <xf numFmtId="0" fontId="0" fillId="0" borderId="0" xfId="0" applyAlignment="1">
      <alignment vertical="top" wrapText="1"/>
    </xf>
    <xf numFmtId="0" fontId="0" fillId="0" borderId="10" xfId="0" applyBorder="1"/>
    <xf numFmtId="0" fontId="0" fillId="5" borderId="10" xfId="0" applyFill="1" applyBorder="1"/>
    <xf numFmtId="0" fontId="0" fillId="0" borderId="18" xfId="0" applyBorder="1"/>
    <xf numFmtId="0" fontId="0" fillId="0" borderId="17" xfId="0" applyBorder="1" applyAlignment="1">
      <alignment horizontal="center"/>
    </xf>
    <xf numFmtId="0" fontId="0" fillId="6" borderId="19" xfId="0" applyFill="1" applyBorder="1"/>
    <xf numFmtId="0" fontId="0" fillId="0" borderId="24" xfId="0" applyBorder="1"/>
    <xf numFmtId="0" fontId="0" fillId="0" borderId="16" xfId="0" applyBorder="1"/>
    <xf numFmtId="0" fontId="0" fillId="0" borderId="17" xfId="0" applyBorder="1"/>
    <xf numFmtId="0" fontId="0" fillId="0" borderId="25" xfId="0" applyBorder="1"/>
    <xf numFmtId="0" fontId="0" fillId="0" borderId="26" xfId="0" applyBorder="1"/>
    <xf numFmtId="2" fontId="0" fillId="0" borderId="26" xfId="0" applyNumberFormat="1" applyBorder="1"/>
    <xf numFmtId="2" fontId="0" fillId="0" borderId="19" xfId="0" applyNumberFormat="1" applyBorder="1"/>
    <xf numFmtId="0" fontId="0" fillId="0" borderId="4" xfId="0" applyBorder="1"/>
    <xf numFmtId="0" fontId="9" fillId="0" borderId="0" xfId="0" applyFont="1" applyAlignment="1">
      <alignment wrapText="1"/>
    </xf>
    <xf numFmtId="0" fontId="10" fillId="0" borderId="0" xfId="0" applyFont="1"/>
    <xf numFmtId="0" fontId="0" fillId="0" borderId="1" xfId="0" applyBorder="1" applyAlignment="1">
      <alignment horizontal="center"/>
    </xf>
    <xf numFmtId="0" fontId="1" fillId="7" borderId="2" xfId="0" applyFont="1" applyFill="1" applyBorder="1"/>
    <xf numFmtId="0" fontId="4" fillId="0" borderId="25" xfId="0" applyFont="1" applyBorder="1"/>
    <xf numFmtId="0" fontId="4" fillId="3" borderId="26" xfId="0" applyFont="1" applyFill="1" applyBorder="1"/>
    <xf numFmtId="0" fontId="0" fillId="4" borderId="26" xfId="0" applyFill="1" applyBorder="1"/>
    <xf numFmtId="0" fontId="0" fillId="5" borderId="26" xfId="0" applyFill="1" applyBorder="1"/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8" xfId="0" applyBorder="1" applyAlignment="1">
      <alignment horizontal="righ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2" fontId="0" fillId="0" borderId="1" xfId="0" applyNumberFormat="1" applyBorder="1" applyAlignment="1">
      <alignment horizontal="right"/>
    </xf>
    <xf numFmtId="2" fontId="0" fillId="2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2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2" fontId="0" fillId="5" borderId="1" xfId="0" applyNumberFormat="1" applyFill="1" applyBorder="1" applyAlignment="1">
      <alignment horizontal="right"/>
    </xf>
    <xf numFmtId="0" fontId="0" fillId="0" borderId="0" xfId="0" applyAlignment="1">
      <alignment horizontal="right"/>
    </xf>
    <xf numFmtId="2" fontId="0" fillId="0" borderId="1" xfId="0" applyNumberFormat="1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5" xfId="0" applyBorder="1" applyAlignment="1">
      <alignment horizontal="left"/>
    </xf>
    <xf numFmtId="2" fontId="0" fillId="0" borderId="18" xfId="0" applyNumberFormat="1" applyBorder="1" applyAlignment="1">
      <alignment horizontal="right"/>
    </xf>
    <xf numFmtId="2" fontId="0" fillId="0" borderId="19" xfId="0" applyNumberFormat="1" applyBorder="1" applyAlignment="1">
      <alignment horizontal="right"/>
    </xf>
    <xf numFmtId="2" fontId="0" fillId="0" borderId="5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4" xfId="0" applyBorder="1" applyAlignment="1"/>
    <xf numFmtId="0" fontId="0" fillId="0" borderId="5" xfId="0" applyBorder="1" applyAlignment="1"/>
    <xf numFmtId="0" fontId="0" fillId="0" borderId="0" xfId="0" applyBorder="1" applyAlignment="1">
      <alignment horizontal="center"/>
    </xf>
    <xf numFmtId="0" fontId="1" fillId="0" borderId="2" xfId="0" applyFont="1" applyBorder="1"/>
    <xf numFmtId="0" fontId="0" fillId="0" borderId="10" xfId="0" applyFill="1" applyBorder="1"/>
    <xf numFmtId="2" fontId="0" fillId="0" borderId="20" xfId="0" applyNumberFormat="1" applyBorder="1"/>
    <xf numFmtId="2" fontId="0" fillId="0" borderId="17" xfId="0" applyNumberFormat="1" applyBorder="1"/>
    <xf numFmtId="0" fontId="0" fillId="6" borderId="26" xfId="0" applyFill="1" applyBorder="1"/>
    <xf numFmtId="166" fontId="0" fillId="8" borderId="1" xfId="0" applyNumberFormat="1" applyFill="1" applyBorder="1"/>
    <xf numFmtId="166" fontId="0" fillId="8" borderId="26" xfId="0" applyNumberFormat="1" applyFill="1" applyBorder="1"/>
    <xf numFmtId="2" fontId="0" fillId="0" borderId="21" xfId="0" applyNumberFormat="1" applyBorder="1"/>
    <xf numFmtId="0" fontId="17" fillId="0" borderId="3" xfId="0" applyFont="1" applyFill="1" applyBorder="1"/>
    <xf numFmtId="0" fontId="12" fillId="0" borderId="1" xfId="0" applyFont="1" applyBorder="1"/>
    <xf numFmtId="0" fontId="19" fillId="0" borderId="1" xfId="0" applyFont="1" applyBorder="1"/>
    <xf numFmtId="2" fontId="12" fillId="0" borderId="1" xfId="0" applyNumberFormat="1" applyFont="1" applyBorder="1"/>
    <xf numFmtId="0" fontId="0" fillId="9" borderId="0" xfId="0" applyFill="1" applyAlignment="1">
      <alignment horizontal="center"/>
    </xf>
    <xf numFmtId="0" fontId="10" fillId="0" borderId="1" xfId="0" applyFont="1" applyBorder="1"/>
    <xf numFmtId="2" fontId="0" fillId="0" borderId="0" xfId="0" applyNumberFormat="1" applyBorder="1"/>
    <xf numFmtId="2" fontId="0" fillId="0" borderId="3" xfId="0" applyNumberFormat="1" applyFont="1" applyBorder="1"/>
    <xf numFmtId="0" fontId="0" fillId="0" borderId="0" xfId="0" applyFont="1"/>
    <xf numFmtId="0" fontId="0" fillId="0" borderId="3" xfId="0" applyFont="1" applyFill="1" applyBorder="1"/>
    <xf numFmtId="2" fontId="0" fillId="0" borderId="1" xfId="0" applyNumberFormat="1" applyFont="1" applyBorder="1"/>
    <xf numFmtId="2" fontId="12" fillId="0" borderId="10" xfId="0" applyNumberFormat="1" applyFont="1" applyBorder="1"/>
    <xf numFmtId="2" fontId="0" fillId="0" borderId="30" xfId="0" applyNumberFormat="1" applyFont="1" applyBorder="1"/>
    <xf numFmtId="2" fontId="0" fillId="0" borderId="20" xfId="0" applyNumberFormat="1" applyFont="1" applyBorder="1"/>
    <xf numFmtId="2" fontId="0" fillId="0" borderId="17" xfId="0" applyNumberFormat="1" applyFont="1" applyBorder="1"/>
    <xf numFmtId="2" fontId="0" fillId="0" borderId="31" xfId="0" applyNumberFormat="1" applyFont="1" applyBorder="1"/>
    <xf numFmtId="2" fontId="0" fillId="0" borderId="32" xfId="0" applyNumberFormat="1" applyFont="1" applyBorder="1"/>
    <xf numFmtId="2" fontId="0" fillId="0" borderId="33" xfId="0" applyNumberFormat="1" applyFont="1" applyBorder="1"/>
    <xf numFmtId="2" fontId="0" fillId="0" borderId="16" xfId="0" applyNumberFormat="1" applyFont="1" applyBorder="1"/>
    <xf numFmtId="0" fontId="0" fillId="0" borderId="5" xfId="0" applyBorder="1"/>
    <xf numFmtId="2" fontId="0" fillId="0" borderId="20" xfId="0" applyNumberFormat="1" applyFont="1" applyBorder="1" applyAlignment="1"/>
    <xf numFmtId="0" fontId="0" fillId="9" borderId="5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2" fontId="0" fillId="0" borderId="32" xfId="0" applyNumberFormat="1" applyBorder="1"/>
    <xf numFmtId="2" fontId="0" fillId="0" borderId="16" xfId="0" applyNumberFormat="1" applyBorder="1"/>
    <xf numFmtId="2" fontId="0" fillId="0" borderId="33" xfId="0" applyNumberFormat="1" applyBorder="1"/>
    <xf numFmtId="0" fontId="0" fillId="0" borderId="3" xfId="0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0" fillId="0" borderId="3" xfId="0" applyFill="1" applyBorder="1"/>
    <xf numFmtId="0" fontId="0" fillId="6" borderId="3" xfId="0" applyFill="1" applyBorder="1"/>
    <xf numFmtId="0" fontId="0" fillId="0" borderId="9" xfId="0" applyFill="1" applyBorder="1"/>
    <xf numFmtId="1" fontId="0" fillId="0" borderId="9" xfId="0" applyNumberFormat="1" applyBorder="1" applyAlignment="1">
      <alignment horizontal="center"/>
    </xf>
    <xf numFmtId="0" fontId="25" fillId="9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1" fontId="0" fillId="0" borderId="5" xfId="0" applyNumberFormat="1" applyBorder="1"/>
    <xf numFmtId="0" fontId="11" fillId="0" borderId="4" xfId="0" applyFont="1" applyBorder="1" applyAlignment="1">
      <alignment horizontal="center"/>
    </xf>
    <xf numFmtId="1" fontId="0" fillId="0" borderId="4" xfId="0" applyNumberFormat="1" applyBorder="1"/>
    <xf numFmtId="0" fontId="11" fillId="0" borderId="0" xfId="0" applyFont="1" applyBorder="1" applyAlignment="1">
      <alignment horizontal="center"/>
    </xf>
    <xf numFmtId="0" fontId="24" fillId="0" borderId="6" xfId="0" applyFont="1" applyBorder="1" applyAlignment="1">
      <alignment horizontal="center" vertical="center"/>
    </xf>
    <xf numFmtId="0" fontId="9" fillId="0" borderId="0" xfId="0" applyFont="1" applyBorder="1" applyAlignment="1">
      <alignment wrapText="1"/>
    </xf>
    <xf numFmtId="0" fontId="11" fillId="0" borderId="13" xfId="0" applyFont="1" applyBorder="1" applyAlignment="1">
      <alignment horizontal="center"/>
    </xf>
    <xf numFmtId="1" fontId="0" fillId="0" borderId="13" xfId="0" applyNumberFormat="1" applyBorder="1"/>
    <xf numFmtId="0" fontId="0" fillId="0" borderId="13" xfId="0" applyBorder="1" applyAlignment="1"/>
    <xf numFmtId="0" fontId="1" fillId="0" borderId="1" xfId="0" applyFont="1" applyBorder="1"/>
    <xf numFmtId="0" fontId="0" fillId="0" borderId="4" xfId="0" applyBorder="1" applyAlignment="1">
      <alignment horizontal="center"/>
    </xf>
    <xf numFmtId="0" fontId="0" fillId="9" borderId="1" xfId="0" applyFill="1" applyBorder="1" applyAlignment="1">
      <alignment horizontal="center"/>
    </xf>
    <xf numFmtId="1" fontId="0" fillId="0" borderId="0" xfId="0" applyNumberFormat="1" applyBorder="1"/>
    <xf numFmtId="0" fontId="0" fillId="0" borderId="25" xfId="0" applyBorder="1" applyAlignment="1">
      <alignment horizontal="right"/>
    </xf>
    <xf numFmtId="0" fontId="12" fillId="0" borderId="25" xfId="0" applyFont="1" applyBorder="1" applyAlignment="1">
      <alignment horizontal="right"/>
    </xf>
    <xf numFmtId="0" fontId="12" fillId="0" borderId="18" xfId="0" applyFont="1" applyBorder="1" applyAlignment="1">
      <alignment horizontal="right"/>
    </xf>
    <xf numFmtId="2" fontId="0" fillId="0" borderId="34" xfId="0" applyNumberFormat="1" applyFont="1" applyBorder="1" applyAlignment="1">
      <alignment horizontal="right"/>
    </xf>
    <xf numFmtId="2" fontId="0" fillId="0" borderId="35" xfId="0" applyNumberFormat="1" applyFont="1" applyBorder="1" applyAlignment="1">
      <alignment horizontal="right"/>
    </xf>
    <xf numFmtId="2" fontId="0" fillId="0" borderId="34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4" fillId="0" borderId="6" xfId="0" applyFon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26" fillId="0" borderId="2" xfId="0" applyFont="1" applyBorder="1"/>
    <xf numFmtId="0" fontId="0" fillId="9" borderId="0" xfId="0" applyFill="1"/>
    <xf numFmtId="0" fontId="23" fillId="0" borderId="1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1" fontId="0" fillId="0" borderId="12" xfId="0" applyNumberFormat="1" applyBorder="1"/>
    <xf numFmtId="0" fontId="0" fillId="0" borderId="1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24" fillId="0" borderId="2" xfId="0" applyNumberFormat="1" applyFont="1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0" fillId="0" borderId="0" xfId="0" applyBorder="1" applyAlignment="1"/>
    <xf numFmtId="0" fontId="1" fillId="0" borderId="4" xfId="0" applyFont="1" applyBorder="1" applyAlignment="1"/>
    <xf numFmtId="0" fontId="13" fillId="0" borderId="0" xfId="0" applyFont="1" applyBorder="1" applyAlignment="1">
      <alignment horizontal="center"/>
    </xf>
    <xf numFmtId="0" fontId="0" fillId="10" borderId="17" xfId="0" applyFill="1" applyBorder="1"/>
    <xf numFmtId="0" fontId="0" fillId="0" borderId="16" xfId="0" applyBorder="1" applyAlignment="1">
      <alignment horizontal="right"/>
    </xf>
    <xf numFmtId="0" fontId="0" fillId="10" borderId="26" xfId="0" applyFill="1" applyBorder="1"/>
    <xf numFmtId="0" fontId="0" fillId="10" borderId="10" xfId="0" applyFill="1" applyBorder="1"/>
    <xf numFmtId="0" fontId="0" fillId="0" borderId="16" xfId="0" applyFill="1" applyBorder="1" applyAlignment="1">
      <alignment horizontal="right"/>
    </xf>
    <xf numFmtId="0" fontId="0" fillId="0" borderId="25" xfId="0" applyFill="1" applyBorder="1" applyAlignment="1">
      <alignment horizontal="right"/>
    </xf>
    <xf numFmtId="0" fontId="0" fillId="10" borderId="1" xfId="0" applyFill="1" applyBorder="1"/>
    <xf numFmtId="0" fontId="0" fillId="8" borderId="1" xfId="0" applyFill="1" applyBorder="1"/>
    <xf numFmtId="0" fontId="0" fillId="0" borderId="0" xfId="0" applyFill="1" applyBorder="1" applyAlignment="1"/>
    <xf numFmtId="0" fontId="0" fillId="6" borderId="4" xfId="0" applyFill="1" applyBorder="1"/>
    <xf numFmtId="0" fontId="26" fillId="0" borderId="6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0" fillId="0" borderId="13" xfId="0" applyFill="1" applyBorder="1" applyAlignment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0" fillId="6" borderId="1" xfId="0" applyFont="1" applyFill="1" applyBorder="1"/>
    <xf numFmtId="2" fontId="25" fillId="5" borderId="1" xfId="0" applyNumberFormat="1" applyFont="1" applyFill="1" applyBorder="1"/>
    <xf numFmtId="2" fontId="0" fillId="0" borderId="1" xfId="0" applyNumberFormat="1" applyFill="1" applyBorder="1" applyAlignment="1">
      <alignment horizontal="right"/>
    </xf>
    <xf numFmtId="0" fontId="0" fillId="0" borderId="2" xfId="0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4" fillId="0" borderId="40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2" fontId="0" fillId="5" borderId="1" xfId="0" applyNumberFormat="1" applyFill="1" applyBorder="1"/>
    <xf numFmtId="0" fontId="1" fillId="0" borderId="1" xfId="0" applyFont="1" applyBorder="1" applyAlignment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25" fillId="0" borderId="1" xfId="0" applyNumberFormat="1" applyFont="1" applyFill="1" applyBorder="1"/>
    <xf numFmtId="2" fontId="0" fillId="0" borderId="1" xfId="0" applyNumberFormat="1" applyFill="1" applyBorder="1"/>
    <xf numFmtId="0" fontId="0" fillId="0" borderId="0" xfId="0" applyBorder="1" applyAlignment="1">
      <alignment horizontal="center"/>
    </xf>
    <xf numFmtId="0" fontId="0" fillId="0" borderId="0" xfId="0" applyFill="1" applyAlignment="1">
      <alignment wrapText="1"/>
    </xf>
    <xf numFmtId="0" fontId="27" fillId="0" borderId="10" xfId="0" applyFont="1" applyBorder="1"/>
    <xf numFmtId="0" fontId="0" fillId="0" borderId="16" xfId="0" applyFill="1" applyBorder="1"/>
    <xf numFmtId="166" fontId="0" fillId="0" borderId="17" xfId="0" applyNumberFormat="1" applyBorder="1"/>
    <xf numFmtId="0" fontId="0" fillId="0" borderId="18" xfId="0" applyFill="1" applyBorder="1" applyAlignment="1">
      <alignment horizontal="right"/>
    </xf>
    <xf numFmtId="0" fontId="0" fillId="2" borderId="19" xfId="0" applyFill="1" applyBorder="1"/>
    <xf numFmtId="0" fontId="0" fillId="0" borderId="41" xfId="0" applyBorder="1"/>
    <xf numFmtId="0" fontId="0" fillId="0" borderId="30" xfId="0" applyFill="1" applyBorder="1" applyAlignment="1">
      <alignment horizontal="left"/>
    </xf>
    <xf numFmtId="2" fontId="0" fillId="0" borderId="30" xfId="0" applyNumberFormat="1" applyBorder="1"/>
    <xf numFmtId="0" fontId="0" fillId="0" borderId="1" xfId="0" applyFill="1" applyBorder="1" applyAlignment="1">
      <alignment horizontal="left"/>
    </xf>
    <xf numFmtId="2" fontId="0" fillId="0" borderId="10" xfId="0" applyNumberFormat="1" applyBorder="1"/>
    <xf numFmtId="0" fontId="0" fillId="6" borderId="10" xfId="0" applyFill="1" applyBorder="1"/>
    <xf numFmtId="0" fontId="0" fillId="0" borderId="11" xfId="0" applyFill="1" applyBorder="1"/>
    <xf numFmtId="2" fontId="0" fillId="0" borderId="11" xfId="0" applyNumberFormat="1" applyBorder="1"/>
    <xf numFmtId="0" fontId="0" fillId="0" borderId="1" xfId="0" applyFill="1" applyBorder="1" applyAlignment="1"/>
    <xf numFmtId="0" fontId="0" fillId="6" borderId="1" xfId="0" applyFill="1" applyBorder="1" applyAlignment="1"/>
    <xf numFmtId="0" fontId="0" fillId="0" borderId="1" xfId="0" applyBorder="1" applyAlignment="1">
      <alignment horizontal="center"/>
    </xf>
    <xf numFmtId="0" fontId="36" fillId="0" borderId="1" xfId="0" applyFont="1" applyBorder="1"/>
    <xf numFmtId="0" fontId="36" fillId="0" borderId="0" xfId="0" applyFont="1" applyBorder="1"/>
    <xf numFmtId="0" fontId="0" fillId="0" borderId="30" xfId="0" applyFill="1" applyBorder="1" applyAlignment="1">
      <alignment horizontal="right"/>
    </xf>
    <xf numFmtId="166" fontId="0" fillId="0" borderId="30" xfId="0" applyNumberFormat="1" applyBorder="1"/>
    <xf numFmtId="0" fontId="0" fillId="0" borderId="34" xfId="0" applyFill="1" applyBorder="1"/>
    <xf numFmtId="0" fontId="0" fillId="0" borderId="19" xfId="0" applyBorder="1"/>
    <xf numFmtId="0" fontId="0" fillId="0" borderId="3" xfId="0" applyFill="1" applyBorder="1" applyAlignment="1">
      <alignment horizontal="left"/>
    </xf>
    <xf numFmtId="0" fontId="0" fillId="0" borderId="5" xfId="0" applyFill="1" applyBorder="1"/>
    <xf numFmtId="0" fontId="0" fillId="0" borderId="42" xfId="0" applyFill="1" applyBorder="1" applyAlignment="1">
      <alignment horizontal="left"/>
    </xf>
    <xf numFmtId="2" fontId="0" fillId="0" borderId="43" xfId="0" applyNumberFormat="1" applyBorder="1"/>
    <xf numFmtId="0" fontId="0" fillId="0" borderId="14" xfId="0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6" xfId="0" applyBorder="1"/>
    <xf numFmtId="0" fontId="0" fillId="0" borderId="44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10" borderId="15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6" borderId="0" xfId="0" applyFill="1"/>
    <xf numFmtId="165" fontId="0" fillId="0" borderId="21" xfId="0" applyNumberFormat="1" applyFill="1" applyBorder="1"/>
    <xf numFmtId="2" fontId="0" fillId="2" borderId="1" xfId="0" applyNumberFormat="1" applyFill="1" applyBorder="1"/>
    <xf numFmtId="0" fontId="0" fillId="0" borderId="9" xfId="0" applyBorder="1"/>
    <xf numFmtId="0" fontId="0" fillId="0" borderId="13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0" borderId="0" xfId="0" applyFont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1" xfId="0" applyFont="1" applyBorder="1"/>
    <xf numFmtId="0" fontId="0" fillId="0" borderId="0" xfId="0" applyAlignment="1"/>
    <xf numFmtId="0" fontId="0" fillId="6" borderId="47" xfId="0" applyFill="1" applyBorder="1"/>
    <xf numFmtId="2" fontId="0" fillId="0" borderId="14" xfId="0" applyNumberFormat="1" applyBorder="1"/>
    <xf numFmtId="0" fontId="1" fillId="0" borderId="3" xfId="0" applyFont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42" xfId="0" applyBorder="1"/>
    <xf numFmtId="0" fontId="0" fillId="6" borderId="48" xfId="0" applyFill="1" applyBorder="1"/>
    <xf numFmtId="0" fontId="0" fillId="6" borderId="29" xfId="0" applyFill="1" applyBorder="1"/>
    <xf numFmtId="0" fontId="0" fillId="0" borderId="18" xfId="0" applyFill="1" applyBorder="1"/>
    <xf numFmtId="164" fontId="0" fillId="0" borderId="21" xfId="0" applyNumberFormat="1" applyBorder="1"/>
    <xf numFmtId="164" fontId="0" fillId="0" borderId="19" xfId="0" applyNumberFormat="1" applyBorder="1"/>
    <xf numFmtId="0" fontId="0" fillId="0" borderId="0" xfId="0" applyFill="1"/>
    <xf numFmtId="2" fontId="0" fillId="5" borderId="1" xfId="0" applyNumberFormat="1" applyFont="1" applyFill="1" applyBorder="1" applyAlignment="1">
      <alignment horizontal="center" vertical="center"/>
    </xf>
    <xf numFmtId="0" fontId="0" fillId="0" borderId="17" xfId="0" applyFill="1" applyBorder="1"/>
    <xf numFmtId="2" fontId="0" fillId="0" borderId="3" xfId="0" applyNumberFormat="1" applyFont="1" applyFill="1" applyBorder="1"/>
    <xf numFmtId="0" fontId="0" fillId="6" borderId="20" xfId="0" applyFill="1" applyBorder="1"/>
    <xf numFmtId="0" fontId="0" fillId="6" borderId="17" xfId="0" applyFill="1" applyBorder="1"/>
    <xf numFmtId="0" fontId="0" fillId="0" borderId="0" xfId="0" applyBorder="1" applyAlignment="1">
      <alignment horizontal="center"/>
    </xf>
    <xf numFmtId="0" fontId="4" fillId="0" borderId="0" xfId="0" applyFont="1" applyBorder="1"/>
    <xf numFmtId="0" fontId="0" fillId="0" borderId="0" xfId="0" applyFill="1" applyBorder="1" applyAlignment="1">
      <alignment horizontal="center"/>
    </xf>
    <xf numFmtId="0" fontId="10" fillId="0" borderId="0" xfId="0" applyFont="1" applyBorder="1" applyAlignment="1"/>
    <xf numFmtId="0" fontId="0" fillId="0" borderId="0" xfId="0" applyBorder="1" applyAlignment="1">
      <alignment wrapText="1"/>
    </xf>
    <xf numFmtId="0" fontId="0" fillId="0" borderId="30" xfId="0" applyBorder="1"/>
    <xf numFmtId="0" fontId="0" fillId="0" borderId="55" xfId="0" applyFill="1" applyBorder="1" applyAlignment="1">
      <alignment horizontal="right"/>
    </xf>
    <xf numFmtId="0" fontId="0" fillId="0" borderId="56" xfId="0" applyBorder="1"/>
    <xf numFmtId="0" fontId="27" fillId="0" borderId="1" xfId="0" applyFont="1" applyBorder="1"/>
    <xf numFmtId="0" fontId="0" fillId="0" borderId="30" xfId="0" applyFill="1" applyBorder="1"/>
    <xf numFmtId="0" fontId="25" fillId="0" borderId="1" xfId="0" applyFont="1" applyBorder="1" applyAlignment="1">
      <alignment horizontal="left"/>
    </xf>
    <xf numFmtId="0" fontId="0" fillId="0" borderId="57" xfId="0" applyBorder="1"/>
    <xf numFmtId="2" fontId="0" fillId="0" borderId="57" xfId="0" applyNumberFormat="1" applyBorder="1"/>
    <xf numFmtId="0" fontId="0" fillId="0" borderId="1" xfId="0" applyFill="1" applyBorder="1" applyAlignment="1">
      <alignment horizontal="right" vertical="center"/>
    </xf>
    <xf numFmtId="0" fontId="44" fillId="0" borderId="1" xfId="0" applyFont="1" applyBorder="1"/>
    <xf numFmtId="0" fontId="44" fillId="0" borderId="0" xfId="0" applyFont="1" applyBorder="1"/>
    <xf numFmtId="0" fontId="46" fillId="0" borderId="0" xfId="0" applyFont="1"/>
    <xf numFmtId="2" fontId="0" fillId="0" borderId="0" xfId="0" applyNumberFormat="1" applyFill="1" applyBorder="1"/>
    <xf numFmtId="0" fontId="11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41" fillId="0" borderId="38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3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9" borderId="0" xfId="0" applyFill="1" applyAlignment="1">
      <alignment horizontal="center" wrapText="1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2" fontId="0" fillId="8" borderId="10" xfId="0" applyNumberFormat="1" applyFill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0" fillId="0" borderId="7" xfId="0" applyFont="1" applyBorder="1" applyAlignment="1">
      <alignment horizontal="center"/>
    </xf>
    <xf numFmtId="0" fontId="30" fillId="0" borderId="8" xfId="0" applyFont="1" applyBorder="1" applyAlignment="1">
      <alignment horizontal="center"/>
    </xf>
    <xf numFmtId="0" fontId="24" fillId="0" borderId="38" xfId="0" applyFont="1" applyBorder="1" applyAlignment="1">
      <alignment horizontal="center" vertical="center"/>
    </xf>
    <xf numFmtId="0" fontId="24" fillId="0" borderId="39" xfId="0" applyFont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18" xfId="0" applyFont="1" applyFill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4" xfId="0" applyNumberFormat="1" applyFon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2" fontId="0" fillId="0" borderId="36" xfId="0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6" fillId="0" borderId="1" xfId="0" applyFont="1" applyBorder="1"/>
    <xf numFmtId="0" fontId="6" fillId="6" borderId="1" xfId="0" applyFont="1" applyFill="1" applyBorder="1"/>
    <xf numFmtId="0" fontId="6" fillId="6" borderId="10" xfId="0" applyFont="1" applyFill="1" applyBorder="1"/>
    <xf numFmtId="0" fontId="6" fillId="6" borderId="3" xfId="0" applyFont="1" applyFill="1" applyBorder="1"/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49" xfId="0" applyFont="1" applyBorder="1" applyAlignment="1">
      <alignment horizontal="center"/>
    </xf>
    <xf numFmtId="0" fontId="10" fillId="0" borderId="50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3" xfId="0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44" fillId="0" borderId="9" xfId="0" applyFont="1" applyBorder="1" applyAlignment="1">
      <alignment horizontal="center"/>
    </xf>
    <xf numFmtId="0" fontId="44" fillId="0" borderId="5" xfId="0" applyFont="1" applyBorder="1" applyAlignment="1">
      <alignment horizontal="center"/>
    </xf>
    <xf numFmtId="0" fontId="0" fillId="11" borderId="49" xfId="0" applyFill="1" applyBorder="1" applyAlignment="1">
      <alignment horizontal="center" vertical="center"/>
    </xf>
    <xf numFmtId="0" fontId="0" fillId="11" borderId="50" xfId="0" applyFill="1" applyBorder="1" applyAlignment="1">
      <alignment horizontal="center" vertical="center"/>
    </xf>
    <xf numFmtId="0" fontId="0" fillId="11" borderId="43" xfId="0" applyFill="1" applyBorder="1" applyAlignment="1">
      <alignment horizontal="center" vertical="center"/>
    </xf>
    <xf numFmtId="0" fontId="0" fillId="11" borderId="52" xfId="0" applyFill="1" applyBorder="1" applyAlignment="1">
      <alignment horizontal="center" vertical="center"/>
    </xf>
    <xf numFmtId="0" fontId="0" fillId="11" borderId="53" xfId="0" applyFill="1" applyBorder="1" applyAlignment="1">
      <alignment horizontal="center" vertical="center"/>
    </xf>
    <xf numFmtId="0" fontId="0" fillId="11" borderId="54" xfId="0" applyFill="1" applyBorder="1" applyAlignment="1">
      <alignment horizontal="center" vertical="center"/>
    </xf>
    <xf numFmtId="0" fontId="27" fillId="0" borderId="12" xfId="0" applyFont="1" applyBorder="1" applyAlignment="1">
      <alignment horizontal="center"/>
    </xf>
    <xf numFmtId="0" fontId="27" fillId="0" borderId="51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41" fillId="0" borderId="38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45" fillId="0" borderId="4" xfId="0" applyFont="1" applyBorder="1" applyAlignment="1">
      <alignment horizontal="center"/>
    </xf>
    <xf numFmtId="0" fontId="45" fillId="0" borderId="9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7" fillId="0" borderId="52" xfId="0" applyFont="1" applyBorder="1" applyAlignment="1">
      <alignment horizontal="center"/>
    </xf>
    <xf numFmtId="0" fontId="27" fillId="0" borderId="53" xfId="0" applyFont="1" applyBorder="1" applyAlignment="1">
      <alignment horizontal="center"/>
    </xf>
    <xf numFmtId="0" fontId="27" fillId="0" borderId="54" xfId="0" applyFon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/>
              <a:t>Diagramma Momento</a:t>
            </a:r>
            <a:r>
              <a:rPr lang="it-IT" sz="1800" baseline="0"/>
              <a:t> Flettente piano</a:t>
            </a:r>
            <a:r>
              <a:rPr lang="it-IT" sz="1800"/>
              <a:t> x-y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4.1584393742485633E-2"/>
                  <c:y val="3.9427693489533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69-6549-80A3-5FFE24D97852}"/>
                </c:ext>
              </c:extLst>
            </c:dLbl>
            <c:dLbl>
              <c:idx val="3"/>
              <c:layout>
                <c:manualLayout>
                  <c:x val="-4.1584393742485633E-2"/>
                  <c:y val="3.1923003058013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69-6549-80A3-5FFE24D97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RISULTATI!$C$78:$C$82</c:f>
              <c:numCache>
                <c:formatCode>0</c:formatCode>
                <c:ptCount val="5"/>
                <c:pt idx="0" formatCode="General">
                  <c:v>0</c:v>
                </c:pt>
                <c:pt idx="1">
                  <c:v>53.107799856849624</c:v>
                </c:pt>
                <c:pt idx="2">
                  <c:v>130.66345647907735</c:v>
                </c:pt>
                <c:pt idx="3">
                  <c:v>130.66345647907735</c:v>
                </c:pt>
                <c:pt idx="4">
                  <c:v>187.86131324445546</c:v>
                </c:pt>
              </c:numCache>
            </c:numRef>
          </c:xVal>
          <c:yVal>
            <c:numRef>
              <c:f>RISULTATI!$D$78:$D$82</c:f>
              <c:numCache>
                <c:formatCode>0</c:formatCode>
                <c:ptCount val="5"/>
                <c:pt idx="0" formatCode="General">
                  <c:v>0</c:v>
                </c:pt>
                <c:pt idx="1">
                  <c:v>-622296.09668122977</c:v>
                </c:pt>
                <c:pt idx="2">
                  <c:v>-1203740.4339822561</c:v>
                </c:pt>
                <c:pt idx="3">
                  <c:v>-921603.32027564477</c:v>
                </c:pt>
                <c:pt idx="4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F-9F4E-9F8B-699B6C988C2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556338959"/>
        <c:axId val="1515040655"/>
      </c:scatterChart>
      <c:valAx>
        <c:axId val="1556338959"/>
        <c:scaling>
          <c:orientation val="minMax"/>
          <c:max val="187.8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15040655"/>
        <c:crosses val="autoZero"/>
        <c:crossBetween val="midCat"/>
      </c:valAx>
      <c:valAx>
        <c:axId val="151504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56338959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Diagramma Momento Flettente piano</a:t>
            </a:r>
            <a:r>
              <a:rPr lang="it-IT" sz="1800" b="0" i="0" u="none" strike="noStrike" baseline="0">
                <a:effectLst/>
              </a:rPr>
              <a:t> x-z</a:t>
            </a:r>
            <a:r>
              <a:rPr lang="it-IT" sz="1800" b="0" i="0" u="none" strike="noStrike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3.9014951627088859E-2"/>
                  <c:y val="3.20096809873730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ED-4645-9FC3-897F82022C78}"/>
                </c:ext>
              </c:extLst>
            </c:dLbl>
            <c:dLbl>
              <c:idx val="3"/>
              <c:layout>
                <c:manualLayout>
                  <c:x val="-4.4291996481970096E-2"/>
                  <c:y val="4.31362456605302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ED-4645-9FC3-897F82022C78}"/>
                </c:ext>
              </c:extLst>
            </c:dLbl>
            <c:dLbl>
              <c:idx val="4"/>
              <c:layout>
                <c:manualLayout>
                  <c:x val="-4.6645636172449975E-2"/>
                  <c:y val="-3.19868914690748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ED-4645-9FC3-897F82022C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RISULTATI!$C$86:$C$91</c:f>
              <c:numCache>
                <c:formatCode>0</c:formatCode>
                <c:ptCount val="6"/>
                <c:pt idx="0">
                  <c:v>0</c:v>
                </c:pt>
                <c:pt idx="1">
                  <c:v>53.107799856849624</c:v>
                </c:pt>
                <c:pt idx="2">
                  <c:v>53.107799856849624</c:v>
                </c:pt>
                <c:pt idx="3">
                  <c:v>130.66345647907735</c:v>
                </c:pt>
                <c:pt idx="4">
                  <c:v>130.66345647907735</c:v>
                </c:pt>
                <c:pt idx="5">
                  <c:v>187.86131324445546</c:v>
                </c:pt>
              </c:numCache>
            </c:numRef>
          </c:xVal>
          <c:yVal>
            <c:numRef>
              <c:f>RISULTATI!$D$86:$D$91</c:f>
              <c:numCache>
                <c:formatCode>0</c:formatCode>
                <c:ptCount val="6"/>
                <c:pt idx="0" formatCode="General">
                  <c:v>0</c:v>
                </c:pt>
                <c:pt idx="1">
                  <c:v>1514410.9567692003</c:v>
                </c:pt>
                <c:pt idx="2">
                  <c:v>1113657.4611379881</c:v>
                </c:pt>
                <c:pt idx="3">
                  <c:v>588358.03746957239</c:v>
                </c:pt>
                <c:pt idx="4">
                  <c:v>674616.00950787426</c:v>
                </c:pt>
                <c:pt idx="5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A-CC4B-8522-78C7126E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23103"/>
        <c:axId val="1555067135"/>
      </c:scatterChart>
      <c:valAx>
        <c:axId val="1515723103"/>
        <c:scaling>
          <c:orientation val="minMax"/>
          <c:max val="187.8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317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55067135"/>
        <c:crosses val="autoZero"/>
        <c:crossBetween val="midCat"/>
      </c:valAx>
      <c:valAx>
        <c:axId val="15550671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15723103"/>
        <c:crosses val="autoZero"/>
        <c:crossBetween val="midCat"/>
        <c:minorUnit val="7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Diagramma</a:t>
            </a:r>
            <a:r>
              <a:rPr lang="en-US" baseline="0"/>
              <a:t> momento flettente piano x-y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RISULTATI!$D$294</c:f>
              <c:strCache>
                <c:ptCount val="1"/>
                <c:pt idx="0">
                  <c:v>sollecitazione</c:v>
                </c:pt>
              </c:strCache>
            </c:strRef>
          </c:tx>
          <c:xVal>
            <c:numRef>
              <c:f>RISULTATI!$C$295:$C$298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136.00351338760584</c:v>
                </c:pt>
                <c:pt idx="2">
                  <c:v>187.36131324445546</c:v>
                </c:pt>
                <c:pt idx="3">
                  <c:v>254.98631324445546</c:v>
                </c:pt>
              </c:numCache>
            </c:numRef>
          </c:xVal>
          <c:yVal>
            <c:numRef>
              <c:f>RISULTATI!$D$295:$D$298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404474.89147616975</c:v>
                </c:pt>
                <c:pt idx="2">
                  <c:v>-33206.991549244762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1-774D-884E-7A28E7A5116F}"/>
            </c:ext>
          </c:extLst>
        </c:ser>
        <c:ser>
          <c:idx val="3"/>
          <c:order val="1"/>
          <c:tx>
            <c:strRef>
              <c:f>RISULTATI!$D$294</c:f>
              <c:strCache>
                <c:ptCount val="1"/>
                <c:pt idx="0">
                  <c:v>sollecitazione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xVal>
            <c:numRef>
              <c:f>RISULTATI!$C$295:$C$298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136.00351338760584</c:v>
                </c:pt>
                <c:pt idx="2">
                  <c:v>187.36131324445546</c:v>
                </c:pt>
                <c:pt idx="3">
                  <c:v>254.98631324445546</c:v>
                </c:pt>
              </c:numCache>
            </c:numRef>
          </c:xVal>
          <c:yVal>
            <c:numRef>
              <c:f>RISULTATI!$D$295:$D$298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404474.89147616975</c:v>
                </c:pt>
                <c:pt idx="2">
                  <c:v>-33206.991549244762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1-774D-884E-7A28E7A5116F}"/>
            </c:ext>
          </c:extLst>
        </c:ser>
        <c:ser>
          <c:idx val="1"/>
          <c:order val="2"/>
          <c:tx>
            <c:strRef>
              <c:f>RISULTATI!$D$294</c:f>
              <c:strCache>
                <c:ptCount val="1"/>
                <c:pt idx="0">
                  <c:v>sollecitazione</c:v>
                </c:pt>
              </c:strCache>
            </c:strRef>
          </c:tx>
          <c:xVal>
            <c:numRef>
              <c:f>RISULTATI!$C$295:$C$298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136.00351338760584</c:v>
                </c:pt>
                <c:pt idx="2">
                  <c:v>187.36131324445546</c:v>
                </c:pt>
                <c:pt idx="3">
                  <c:v>254.98631324445546</c:v>
                </c:pt>
              </c:numCache>
            </c:numRef>
          </c:xVal>
          <c:yVal>
            <c:numRef>
              <c:f>RISULTATI!$D$295:$D$298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404474.89147616975</c:v>
                </c:pt>
                <c:pt idx="2">
                  <c:v>-33206.991549244762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1-774D-884E-7A28E7A5116F}"/>
            </c:ext>
          </c:extLst>
        </c:ser>
        <c:ser>
          <c:idx val="0"/>
          <c:order val="3"/>
          <c:tx>
            <c:strRef>
              <c:f>RISULTATI!$D$294</c:f>
              <c:strCache>
                <c:ptCount val="1"/>
                <c:pt idx="0">
                  <c:v>sollecitazione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1.4340979904226104E-2"/>
                  <c:y val="-1.4102362204724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D11-774D-884E-7A28E7A5116F}"/>
                </c:ext>
              </c:extLst>
            </c:dLbl>
            <c:dLbl>
              <c:idx val="2"/>
              <c:layout>
                <c:manualLayout>
                  <c:x val="-1.1223025371621178E-2"/>
                  <c:y val="-0.12319327129563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11-774D-884E-7A28E7A5116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RISULTATI!$C$295:$C$298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136.00351338760584</c:v>
                </c:pt>
                <c:pt idx="2">
                  <c:v>187.36131324445546</c:v>
                </c:pt>
                <c:pt idx="3">
                  <c:v>254.98631324445546</c:v>
                </c:pt>
              </c:numCache>
            </c:numRef>
          </c:xVal>
          <c:yVal>
            <c:numRef>
              <c:f>RISULTATI!$D$295:$D$298</c:f>
              <c:numCache>
                <c:formatCode>0</c:formatCode>
                <c:ptCount val="4"/>
                <c:pt idx="0" formatCode="General">
                  <c:v>0</c:v>
                </c:pt>
                <c:pt idx="1">
                  <c:v>404474.89147616975</c:v>
                </c:pt>
                <c:pt idx="2">
                  <c:v>-33206.991549244762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1-774D-884E-7A28E7A51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62064"/>
        <c:axId val="1869363744"/>
      </c:scatterChart>
      <c:valAx>
        <c:axId val="1869362064"/>
        <c:scaling>
          <c:orientation val="minMax"/>
          <c:max val="2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9363744"/>
        <c:crosses val="autoZero"/>
        <c:crossBetween val="midCat"/>
      </c:valAx>
      <c:valAx>
        <c:axId val="1869363744"/>
        <c:scaling>
          <c:orientation val="minMax"/>
        </c:scaling>
        <c:delete val="0"/>
        <c:axPos val="l"/>
        <c:majorGridlines>
          <c: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93620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Diagramma</a:t>
            </a:r>
            <a:r>
              <a:rPr lang="en-US" baseline="0"/>
              <a:t> momento flettente piano x-z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pPr>
              <a:solidFill>
                <a:schemeClr val="accent2"/>
              </a:solidFill>
              <a:ln w="635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1"/>
            <c:bubble3D val="0"/>
            <c:spPr>
              <a:ln w="19050" cap="rnd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53E-A247-BEE6-10B361522F40}"/>
              </c:ext>
            </c:extLst>
          </c:dPt>
          <c:dPt>
            <c:idx val="2"/>
            <c:bubble3D val="0"/>
            <c:spPr>
              <a:ln w="19050" cap="rnd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3E-A247-BEE6-10B361522F40}"/>
              </c:ext>
            </c:extLst>
          </c:dPt>
          <c:dPt>
            <c:idx val="3"/>
            <c:bubble3D val="0"/>
            <c:spPr>
              <a:ln w="19050" cap="rnd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53E-A247-BEE6-10B361522F40}"/>
              </c:ext>
            </c:extLst>
          </c:dPt>
          <c:dPt>
            <c:idx val="4"/>
            <c:bubble3D val="0"/>
            <c:spPr>
              <a:ln w="19050" cap="rnd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3E-A247-BEE6-10B361522F40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3E-A247-BEE6-10B361522F4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3E-A247-BEE6-10B361522F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RISULTATI!$C$302:$C$306</c:f>
              <c:numCache>
                <c:formatCode>0</c:formatCode>
                <c:ptCount val="5"/>
                <c:pt idx="0" formatCode="General">
                  <c:v>0</c:v>
                </c:pt>
                <c:pt idx="1">
                  <c:v>136.00351338760584</c:v>
                </c:pt>
                <c:pt idx="2">
                  <c:v>136.00351338760584</c:v>
                </c:pt>
                <c:pt idx="3">
                  <c:v>187.36131324445546</c:v>
                </c:pt>
                <c:pt idx="4">
                  <c:v>254.98631324445546</c:v>
                </c:pt>
              </c:numCache>
            </c:numRef>
          </c:xVal>
          <c:yVal>
            <c:numRef>
              <c:f>RISULTATI!$D$302:$D$306</c:f>
              <c:numCache>
                <c:formatCode>0</c:formatCode>
                <c:ptCount val="5"/>
                <c:pt idx="0" formatCode="General">
                  <c:v>0</c:v>
                </c:pt>
                <c:pt idx="1">
                  <c:v>8828.0545803343193</c:v>
                </c:pt>
                <c:pt idx="2">
                  <c:v>122374.87834251113</c:v>
                </c:pt>
                <c:pt idx="3">
                  <c:v>-102978.32641992386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E-A247-BEE6-10B36152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62064"/>
        <c:axId val="1869363744"/>
      </c:scatterChart>
      <c:valAx>
        <c:axId val="1869362064"/>
        <c:scaling>
          <c:orientation val="minMax"/>
          <c:max val="2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9363744"/>
        <c:crosses val="autoZero"/>
        <c:crossBetween val="midCat"/>
      </c:valAx>
      <c:valAx>
        <c:axId val="1869363744"/>
        <c:scaling>
          <c:orientation val="minMax"/>
        </c:scaling>
        <c:delete val="0"/>
        <c:axPos val="l"/>
        <c:majorGridlines>
          <c: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936206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Diagramma momento flettente piano X-Y </a:t>
            </a:r>
          </a:p>
        </c:rich>
      </c:tx>
      <c:layout>
        <c:manualLayout>
          <c:xMode val="edge"/>
          <c:yMode val="edge"/>
          <c:x val="0.203811581074489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8.5206296260764966E-2"/>
                  <c:y val="-3.7959414080592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5C6-BD45-A2AF-E420875030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RISULTATI!$C$379:$C$382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127.28845647907735</c:v>
                </c:pt>
                <c:pt idx="2">
                  <c:v>127.28845647907735</c:v>
                </c:pt>
                <c:pt idx="3">
                  <c:v>184.11131324445546</c:v>
                </c:pt>
              </c:numCache>
            </c:numRef>
          </c:xVal>
          <c:yVal>
            <c:numRef>
              <c:f>RISULTATI!$D$379:$D$382</c:f>
              <c:numCache>
                <c:formatCode>0</c:formatCode>
                <c:ptCount val="4"/>
                <c:pt idx="0" formatCode="General">
                  <c:v>0</c:v>
                </c:pt>
                <c:pt idx="1">
                  <c:v>-334355.89996715891</c:v>
                </c:pt>
                <c:pt idx="2">
                  <c:v>-1330133.9483434341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56-DC40-94D2-43B4EC5C040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595629200"/>
        <c:axId val="1598558512"/>
      </c:scatterChart>
      <c:valAx>
        <c:axId val="1595629200"/>
        <c:scaling>
          <c:orientation val="minMax"/>
          <c:max val="18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8558512"/>
        <c:crosses val="autoZero"/>
        <c:crossBetween val="midCat"/>
      </c:valAx>
      <c:valAx>
        <c:axId val="1598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562920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Diagramma momento flettente piano X-Z </a:t>
            </a:r>
          </a:p>
        </c:rich>
      </c:tx>
      <c:layout>
        <c:manualLayout>
          <c:xMode val="edge"/>
          <c:yMode val="edge"/>
          <c:x val="0.203811581074489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9.0904515567231767E-2"/>
                  <c:y val="-2.69300023158869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C3-3847-B66D-E3ADE78711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RISULTATI!$C$386:$C$389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127.28845647907735</c:v>
                </c:pt>
                <c:pt idx="2">
                  <c:v>127.28845647907735</c:v>
                </c:pt>
                <c:pt idx="3">
                  <c:v>184.11131324445546</c:v>
                </c:pt>
              </c:numCache>
            </c:numRef>
          </c:xVal>
          <c:yVal>
            <c:numRef>
              <c:f>RISULTATI!$D$386:$D$389</c:f>
              <c:numCache>
                <c:formatCode>0</c:formatCode>
                <c:ptCount val="4"/>
                <c:pt idx="0" formatCode="General">
                  <c:v>0</c:v>
                </c:pt>
                <c:pt idx="1">
                  <c:v>-621357.30788012093</c:v>
                </c:pt>
                <c:pt idx="2">
                  <c:v>-1617135.356256396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C3-3847-B66D-E3ADE787115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595629200"/>
        <c:axId val="1598558512"/>
      </c:scatterChart>
      <c:valAx>
        <c:axId val="1595629200"/>
        <c:scaling>
          <c:orientation val="minMax"/>
          <c:max val="18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8558512"/>
        <c:crosses val="autoZero"/>
        <c:crossBetween val="midCat"/>
      </c:valAx>
      <c:valAx>
        <c:axId val="1598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9562920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18" Type="http://schemas.openxmlformats.org/officeDocument/2006/relationships/chart" Target="../charts/chart4.xml"/><Relationship Id="rId26" Type="http://schemas.openxmlformats.org/officeDocument/2006/relationships/image" Target="../media/image20.png"/><Relationship Id="rId39" Type="http://schemas.openxmlformats.org/officeDocument/2006/relationships/image" Target="../media/image33.emf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34" Type="http://schemas.openxmlformats.org/officeDocument/2006/relationships/image" Target="../media/image28.png"/><Relationship Id="rId42" Type="http://schemas.openxmlformats.org/officeDocument/2006/relationships/image" Target="../media/image36.emf"/><Relationship Id="rId7" Type="http://schemas.openxmlformats.org/officeDocument/2006/relationships/chart" Target="../charts/chart2.xml"/><Relationship Id="rId12" Type="http://schemas.openxmlformats.org/officeDocument/2006/relationships/image" Target="../media/image10.png"/><Relationship Id="rId17" Type="http://schemas.openxmlformats.org/officeDocument/2006/relationships/chart" Target="../charts/chart3.xml"/><Relationship Id="rId25" Type="http://schemas.openxmlformats.org/officeDocument/2006/relationships/image" Target="../media/image19.png"/><Relationship Id="rId33" Type="http://schemas.openxmlformats.org/officeDocument/2006/relationships/image" Target="../media/image27.png"/><Relationship Id="rId38" Type="http://schemas.openxmlformats.org/officeDocument/2006/relationships/image" Target="../media/image32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6.png"/><Relationship Id="rId29" Type="http://schemas.openxmlformats.org/officeDocument/2006/relationships/image" Target="../media/image23.png"/><Relationship Id="rId41" Type="http://schemas.openxmlformats.org/officeDocument/2006/relationships/image" Target="../media/image35.emf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image" Target="../media/image9.png"/><Relationship Id="rId24" Type="http://schemas.openxmlformats.org/officeDocument/2006/relationships/chart" Target="../charts/chart6.xml"/><Relationship Id="rId32" Type="http://schemas.openxmlformats.org/officeDocument/2006/relationships/image" Target="../media/image26.png"/><Relationship Id="rId37" Type="http://schemas.openxmlformats.org/officeDocument/2006/relationships/image" Target="../media/image31.png"/><Relationship Id="rId40" Type="http://schemas.openxmlformats.org/officeDocument/2006/relationships/image" Target="../media/image34.emf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chart" Target="../charts/chart5.xml"/><Relationship Id="rId28" Type="http://schemas.openxmlformats.org/officeDocument/2006/relationships/image" Target="../media/image22.png"/><Relationship Id="rId36" Type="http://schemas.openxmlformats.org/officeDocument/2006/relationships/image" Target="../media/image30.png"/><Relationship Id="rId10" Type="http://schemas.openxmlformats.org/officeDocument/2006/relationships/image" Target="../media/image8.png"/><Relationship Id="rId19" Type="http://schemas.openxmlformats.org/officeDocument/2006/relationships/image" Target="../media/image15.emf"/><Relationship Id="rId31" Type="http://schemas.openxmlformats.org/officeDocument/2006/relationships/image" Target="../media/image25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Relationship Id="rId22" Type="http://schemas.openxmlformats.org/officeDocument/2006/relationships/image" Target="../media/image18.png"/><Relationship Id="rId27" Type="http://schemas.openxmlformats.org/officeDocument/2006/relationships/image" Target="../media/image21.png"/><Relationship Id="rId30" Type="http://schemas.openxmlformats.org/officeDocument/2006/relationships/image" Target="../media/image24.png"/><Relationship Id="rId35" Type="http://schemas.openxmlformats.org/officeDocument/2006/relationships/image" Target="../media/image29.png"/><Relationship Id="rId43" Type="http://schemas.openxmlformats.org/officeDocument/2006/relationships/image" Target="../media/image3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40.jpeg"/><Relationship Id="rId7" Type="http://schemas.openxmlformats.org/officeDocument/2006/relationships/image" Target="../media/image1.png"/><Relationship Id="rId2" Type="http://schemas.openxmlformats.org/officeDocument/2006/relationships/image" Target="../media/image39.JPG"/><Relationship Id="rId1" Type="http://schemas.openxmlformats.org/officeDocument/2006/relationships/image" Target="../media/image18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33.emf"/><Relationship Id="rId9" Type="http://schemas.openxmlformats.org/officeDocument/2006/relationships/image" Target="../media/image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324555</xdr:colOff>
      <xdr:row>501</xdr:row>
      <xdr:rowOff>112889</xdr:rowOff>
    </xdr:from>
    <xdr:to>
      <xdr:col>16</xdr:col>
      <xdr:colOff>667455</xdr:colOff>
      <xdr:row>513</xdr:row>
      <xdr:rowOff>142967</xdr:rowOff>
    </xdr:to>
    <xdr:pic>
      <xdr:nvPicPr>
        <xdr:cNvPr id="27" name="Immagine 12">
          <a:extLst>
            <a:ext uri="{FF2B5EF4-FFF2-40B4-BE49-F238E27FC236}">
              <a16:creationId xmlns:a16="http://schemas.microsoft.com/office/drawing/2014/main" id="{F9FE284D-1485-DC40-8206-F0EFA03F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88111" y="103589667"/>
          <a:ext cx="2019300" cy="2857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119303</xdr:colOff>
      <xdr:row>501</xdr:row>
      <xdr:rowOff>85949</xdr:rowOff>
    </xdr:from>
    <xdr:to>
      <xdr:col>19</xdr:col>
      <xdr:colOff>589203</xdr:colOff>
      <xdr:row>513</xdr:row>
      <xdr:rowOff>204927</xdr:rowOff>
    </xdr:to>
    <xdr:pic>
      <xdr:nvPicPr>
        <xdr:cNvPr id="29" name="Immagine 22">
          <a:extLst>
            <a:ext uri="{FF2B5EF4-FFF2-40B4-BE49-F238E27FC236}">
              <a16:creationId xmlns:a16="http://schemas.microsoft.com/office/drawing/2014/main" id="{ACFAB550-B658-9B4C-9503-683B30A6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02333" y="108978828"/>
          <a:ext cx="2163234" cy="30438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276794</xdr:colOff>
      <xdr:row>458</xdr:row>
      <xdr:rowOff>146538</xdr:rowOff>
    </xdr:from>
    <xdr:to>
      <xdr:col>17</xdr:col>
      <xdr:colOff>132210</xdr:colOff>
      <xdr:row>476</xdr:row>
      <xdr:rowOff>189250</xdr:rowOff>
    </xdr:to>
    <xdr:pic>
      <xdr:nvPicPr>
        <xdr:cNvPr id="36" name="Immagine 3">
          <a:extLst>
            <a:ext uri="{FF2B5EF4-FFF2-40B4-BE49-F238E27FC236}">
              <a16:creationId xmlns:a16="http://schemas.microsoft.com/office/drawing/2014/main" id="{1A98D7F4-2C0C-F448-A934-8D948AEC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31666" y="92661153"/>
          <a:ext cx="2344616" cy="44143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407050</xdr:colOff>
      <xdr:row>458</xdr:row>
      <xdr:rowOff>179102</xdr:rowOff>
    </xdr:from>
    <xdr:to>
      <xdr:col>21</xdr:col>
      <xdr:colOff>637603</xdr:colOff>
      <xdr:row>476</xdr:row>
      <xdr:rowOff>136887</xdr:rowOff>
    </xdr:to>
    <xdr:pic>
      <xdr:nvPicPr>
        <xdr:cNvPr id="38" name="Immagine 12">
          <a:extLst>
            <a:ext uri="{FF2B5EF4-FFF2-40B4-BE49-F238E27FC236}">
              <a16:creationId xmlns:a16="http://schemas.microsoft.com/office/drawing/2014/main" id="{B9E2AAF6-ACCE-9B43-8459-3797B257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53076" y="92693717"/>
          <a:ext cx="3549487" cy="43294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1046821</xdr:colOff>
      <xdr:row>239</xdr:row>
      <xdr:rowOff>192338</xdr:rowOff>
    </xdr:from>
    <xdr:to>
      <xdr:col>6</xdr:col>
      <xdr:colOff>1672771</xdr:colOff>
      <xdr:row>251</xdr:row>
      <xdr:rowOff>41465</xdr:rowOff>
    </xdr:to>
    <xdr:pic>
      <xdr:nvPicPr>
        <xdr:cNvPr id="20" name="Immagine 21">
          <a:extLst>
            <a:ext uri="{FF2B5EF4-FFF2-40B4-BE49-F238E27FC236}">
              <a16:creationId xmlns:a16="http://schemas.microsoft.com/office/drawing/2014/main" id="{4ABCE4A5-62AD-3143-93EF-D5F8F5151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979" y="47897549"/>
          <a:ext cx="2915292" cy="22955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203200</xdr:colOff>
      <xdr:row>75</xdr:row>
      <xdr:rowOff>25400</xdr:rowOff>
    </xdr:from>
    <xdr:to>
      <xdr:col>10</xdr:col>
      <xdr:colOff>736600</xdr:colOff>
      <xdr:row>89</xdr:row>
      <xdr:rowOff>190500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511B643-75C0-8246-A510-3AF725583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215900</xdr:colOff>
      <xdr:row>91</xdr:row>
      <xdr:rowOff>12700</xdr:rowOff>
    </xdr:from>
    <xdr:to>
      <xdr:col>11</xdr:col>
      <xdr:colOff>0</xdr:colOff>
      <xdr:row>106</xdr:row>
      <xdr:rowOff>190500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A63FC7-ED7F-F64B-9587-621088DA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7</xdr:col>
      <xdr:colOff>70555</xdr:colOff>
      <xdr:row>108</xdr:row>
      <xdr:rowOff>167921</xdr:rowOff>
    </xdr:from>
    <xdr:to>
      <xdr:col>11</xdr:col>
      <xdr:colOff>625039</xdr:colOff>
      <xdr:row>128</xdr:row>
      <xdr:rowOff>96689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278300A-8A97-634B-9346-4DC0D0B08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091"/>
        <a:stretch/>
      </xdr:blipFill>
      <xdr:spPr>
        <a:xfrm>
          <a:off x="11796888" y="21701477"/>
          <a:ext cx="5902595" cy="3908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674511</xdr:colOff>
      <xdr:row>130</xdr:row>
      <xdr:rowOff>196145</xdr:rowOff>
    </xdr:from>
    <xdr:to>
      <xdr:col>11</xdr:col>
      <xdr:colOff>526306</xdr:colOff>
      <xdr:row>147</xdr:row>
      <xdr:rowOff>75052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5C73F18-2EB3-DD45-A868-044DBBAFC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00844" y="26104145"/>
          <a:ext cx="5199906" cy="33220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691776</xdr:colOff>
      <xdr:row>139</xdr:row>
      <xdr:rowOff>201109</xdr:rowOff>
    </xdr:from>
    <xdr:to>
      <xdr:col>1</xdr:col>
      <xdr:colOff>3274777</xdr:colOff>
      <xdr:row>142</xdr:row>
      <xdr:rowOff>56028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1B684DF-FD5B-C24A-9B43-0B61B38D2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5000" t="716" r="32941" b="84960"/>
        <a:stretch/>
      </xdr:blipFill>
      <xdr:spPr>
        <a:xfrm>
          <a:off x="1588247" y="27633109"/>
          <a:ext cx="2583001" cy="4600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915147</xdr:colOff>
      <xdr:row>142</xdr:row>
      <xdr:rowOff>198040</xdr:rowOff>
    </xdr:from>
    <xdr:to>
      <xdr:col>1</xdr:col>
      <xdr:colOff>2921747</xdr:colOff>
      <xdr:row>145</xdr:row>
      <xdr:rowOff>183424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473B478A-55FE-BA48-AF1E-380094C7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11618" y="28235158"/>
          <a:ext cx="2006600" cy="5904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245536</xdr:colOff>
      <xdr:row>17</xdr:row>
      <xdr:rowOff>94542</xdr:rowOff>
    </xdr:from>
    <xdr:to>
      <xdr:col>8</xdr:col>
      <xdr:colOff>1437</xdr:colOff>
      <xdr:row>29</xdr:row>
      <xdr:rowOff>147798</xdr:rowOff>
    </xdr:to>
    <xdr:pic>
      <xdr:nvPicPr>
        <xdr:cNvPr id="48" name="Immagine 6">
          <a:extLst>
            <a:ext uri="{FF2B5EF4-FFF2-40B4-BE49-F238E27FC236}">
              <a16:creationId xmlns:a16="http://schemas.microsoft.com/office/drawing/2014/main" id="{C1825934-F0F1-CB4E-BC50-68A0050A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0314" y="3509431"/>
          <a:ext cx="2661354" cy="24239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627527</xdr:colOff>
      <xdr:row>162</xdr:row>
      <xdr:rowOff>123267</xdr:rowOff>
    </xdr:from>
    <xdr:to>
      <xdr:col>1</xdr:col>
      <xdr:colOff>3417793</xdr:colOff>
      <xdr:row>166</xdr:row>
      <xdr:rowOff>78240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A2406AE1-7A82-4F47-9EA0-AAE166A1E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2427" t="29764" r="30086" b="42333"/>
        <a:stretch/>
      </xdr:blipFill>
      <xdr:spPr>
        <a:xfrm>
          <a:off x="1523998" y="32194502"/>
          <a:ext cx="2790266" cy="761796"/>
        </a:xfrm>
        <a:prstGeom prst="rect">
          <a:avLst/>
        </a:prstGeom>
        <a:ln>
          <a:solidFill>
            <a:schemeClr val="tx1"/>
          </a:solidFill>
        </a:ln>
        <a:effectLst>
          <a:softEdge rad="0"/>
        </a:effectLst>
      </xdr:spPr>
    </xdr:pic>
    <xdr:clientData/>
  </xdr:twoCellAnchor>
  <xdr:twoCellAnchor editAs="oneCell">
    <xdr:from>
      <xdr:col>1</xdr:col>
      <xdr:colOff>168088</xdr:colOff>
      <xdr:row>186</xdr:row>
      <xdr:rowOff>1</xdr:rowOff>
    </xdr:from>
    <xdr:to>
      <xdr:col>3</xdr:col>
      <xdr:colOff>624331</xdr:colOff>
      <xdr:row>191</xdr:row>
      <xdr:rowOff>78441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DF8A15F-A4BE-4EF9-A60F-AFC872C50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6558" t="36823" r="12305" b="33325"/>
        <a:stretch/>
      </xdr:blipFill>
      <xdr:spPr>
        <a:xfrm>
          <a:off x="1064559" y="36710472"/>
          <a:ext cx="5252360" cy="1086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302560</xdr:colOff>
      <xdr:row>191</xdr:row>
      <xdr:rowOff>179295</xdr:rowOff>
    </xdr:from>
    <xdr:to>
      <xdr:col>1</xdr:col>
      <xdr:colOff>3619500</xdr:colOff>
      <xdr:row>196</xdr:row>
      <xdr:rowOff>53073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D6A1CAD1-18C3-4928-8688-568CAC8BF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8017" t="40092" r="51342" b="45418"/>
        <a:stretch/>
      </xdr:blipFill>
      <xdr:spPr>
        <a:xfrm>
          <a:off x="1199031" y="37898295"/>
          <a:ext cx="3316940" cy="8823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291353</xdr:colOff>
      <xdr:row>211</xdr:row>
      <xdr:rowOff>22414</xdr:rowOff>
    </xdr:from>
    <xdr:to>
      <xdr:col>2</xdr:col>
      <xdr:colOff>369795</xdr:colOff>
      <xdr:row>215</xdr:row>
      <xdr:rowOff>14288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A2067939-10E3-414F-9659-8927F59AF2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1767" t="30832" r="44968" b="53044"/>
        <a:stretch/>
      </xdr:blipFill>
      <xdr:spPr>
        <a:xfrm>
          <a:off x="1187824" y="41977238"/>
          <a:ext cx="3810000" cy="7986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21165</xdr:colOff>
      <xdr:row>283</xdr:row>
      <xdr:rowOff>14110</xdr:rowOff>
    </xdr:from>
    <xdr:to>
      <xdr:col>10</xdr:col>
      <xdr:colOff>84667</xdr:colOff>
      <xdr:row>297</xdr:row>
      <xdr:rowOff>42332</xdr:rowOff>
    </xdr:to>
    <xdr:graphicFrame macro="">
      <xdr:nvGraphicFramePr>
        <xdr:cNvPr id="5" name="Grafico 12">
          <a:extLst>
            <a:ext uri="{FF2B5EF4-FFF2-40B4-BE49-F238E27FC236}">
              <a16:creationId xmlns:a16="http://schemas.microsoft.com/office/drawing/2014/main" id="{8CDA053D-2BBD-674E-B9D7-50BA0EA64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298</xdr:row>
      <xdr:rowOff>14112</xdr:rowOff>
    </xdr:from>
    <xdr:to>
      <xdr:col>10</xdr:col>
      <xdr:colOff>63502</xdr:colOff>
      <xdr:row>320</xdr:row>
      <xdr:rowOff>42334</xdr:rowOff>
    </xdr:to>
    <xdr:graphicFrame macro="">
      <xdr:nvGraphicFramePr>
        <xdr:cNvPr id="7" name="Grafico 18">
          <a:extLst>
            <a:ext uri="{FF2B5EF4-FFF2-40B4-BE49-F238E27FC236}">
              <a16:creationId xmlns:a16="http://schemas.microsoft.com/office/drawing/2014/main" id="{928CBC78-62AE-F846-8112-BCA06DC5A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4</xdr:col>
      <xdr:colOff>973666</xdr:colOff>
      <xdr:row>275</xdr:row>
      <xdr:rowOff>162323</xdr:rowOff>
    </xdr:from>
    <xdr:to>
      <xdr:col>7</xdr:col>
      <xdr:colOff>547511</xdr:colOff>
      <xdr:row>282</xdr:row>
      <xdr:rowOff>174980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EB61549B-0E5A-1041-B984-FD1B7023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30444" y="53897434"/>
          <a:ext cx="3598334" cy="1409657"/>
        </a:xfrm>
        <a:prstGeom prst="rect">
          <a:avLst/>
        </a:prstGeom>
      </xdr:spPr>
    </xdr:pic>
    <xdr:clientData/>
  </xdr:twoCellAnchor>
  <xdr:twoCellAnchor editAs="oneCell">
    <xdr:from>
      <xdr:col>8</xdr:col>
      <xdr:colOff>161635</xdr:colOff>
      <xdr:row>42</xdr:row>
      <xdr:rowOff>17960</xdr:rowOff>
    </xdr:from>
    <xdr:to>
      <xdr:col>11</xdr:col>
      <xdr:colOff>1121134</xdr:colOff>
      <xdr:row>52</xdr:row>
      <xdr:rowOff>196663</xdr:rowOff>
    </xdr:to>
    <xdr:pic>
      <xdr:nvPicPr>
        <xdr:cNvPr id="37" name="Immagine 24">
          <a:extLst>
            <a:ext uri="{FF2B5EF4-FFF2-40B4-BE49-F238E27FC236}">
              <a16:creationId xmlns:a16="http://schemas.microsoft.com/office/drawing/2014/main" id="{C1EABEA4-9193-4907-ADB9-EF6B991B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87413" y="8414071"/>
          <a:ext cx="5108165" cy="2182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114210</xdr:colOff>
      <xdr:row>54</xdr:row>
      <xdr:rowOff>70184</xdr:rowOff>
    </xdr:from>
    <xdr:to>
      <xdr:col>11</xdr:col>
      <xdr:colOff>1071038</xdr:colOff>
      <xdr:row>65</xdr:row>
      <xdr:rowOff>70184</xdr:rowOff>
    </xdr:to>
    <xdr:pic>
      <xdr:nvPicPr>
        <xdr:cNvPr id="41" name="Immagine 25">
          <a:extLst>
            <a:ext uri="{FF2B5EF4-FFF2-40B4-BE49-F238E27FC236}">
              <a16:creationId xmlns:a16="http://schemas.microsoft.com/office/drawing/2014/main" id="{BD83FFB6-CEF9-476B-8980-2D3D4189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48157" y="10998868"/>
          <a:ext cx="5117749" cy="220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599627</xdr:colOff>
      <xdr:row>27</xdr:row>
      <xdr:rowOff>146243</xdr:rowOff>
    </xdr:from>
    <xdr:to>
      <xdr:col>11</xdr:col>
      <xdr:colOff>447263</xdr:colOff>
      <xdr:row>40</xdr:row>
      <xdr:rowOff>156379</xdr:rowOff>
    </xdr:to>
    <xdr:pic>
      <xdr:nvPicPr>
        <xdr:cNvPr id="45" name="Immagine 23">
          <a:extLst>
            <a:ext uri="{FF2B5EF4-FFF2-40B4-BE49-F238E27FC236}">
              <a16:creationId xmlns:a16="http://schemas.microsoft.com/office/drawing/2014/main" id="{F261EBA8-4581-41B8-B31D-5BA8074C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25405" y="5536687"/>
          <a:ext cx="3996302" cy="26065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476250</xdr:colOff>
      <xdr:row>359</xdr:row>
      <xdr:rowOff>12700</xdr:rowOff>
    </xdr:from>
    <xdr:to>
      <xdr:col>9</xdr:col>
      <xdr:colOff>990600</xdr:colOff>
      <xdr:row>375</xdr:row>
      <xdr:rowOff>190500</xdr:rowOff>
    </xdr:to>
    <xdr:graphicFrame macro="">
      <xdr:nvGraphicFramePr>
        <xdr:cNvPr id="30" name="Grafico 3">
          <a:extLst>
            <a:ext uri="{FF2B5EF4-FFF2-40B4-BE49-F238E27FC236}">
              <a16:creationId xmlns:a16="http://schemas.microsoft.com/office/drawing/2014/main" id="{0F7A38CD-9587-444A-AC02-D9E811111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495300</xdr:colOff>
      <xdr:row>377</xdr:row>
      <xdr:rowOff>177800</xdr:rowOff>
    </xdr:from>
    <xdr:to>
      <xdr:col>10</xdr:col>
      <xdr:colOff>6350</xdr:colOff>
      <xdr:row>392</xdr:row>
      <xdr:rowOff>177800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1B4277D0-8D72-2B45-A1C4-8A9146ABB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5</xdr:col>
      <xdr:colOff>364524</xdr:colOff>
      <xdr:row>412</xdr:row>
      <xdr:rowOff>34423</xdr:rowOff>
    </xdr:from>
    <xdr:to>
      <xdr:col>6</xdr:col>
      <xdr:colOff>1717097</xdr:colOff>
      <xdr:row>416</xdr:row>
      <xdr:rowOff>64172</xdr:rowOff>
    </xdr:to>
    <xdr:pic>
      <xdr:nvPicPr>
        <xdr:cNvPr id="47" name="Immagine 24">
          <a:extLst>
            <a:ext uri="{FF2B5EF4-FFF2-40B4-BE49-F238E27FC236}">
              <a16:creationId xmlns:a16="http://schemas.microsoft.com/office/drawing/2014/main" id="{51C06337-17CD-454B-9E17-8CC0522D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65524" y="82406623"/>
          <a:ext cx="2279673" cy="1020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5</xdr:col>
      <xdr:colOff>301024</xdr:colOff>
      <xdr:row>433</xdr:row>
      <xdr:rowOff>97923</xdr:rowOff>
    </xdr:from>
    <xdr:ext cx="2278072" cy="1006162"/>
    <xdr:pic>
      <xdr:nvPicPr>
        <xdr:cNvPr id="26" name="Immagine 25">
          <a:extLst>
            <a:ext uri="{FF2B5EF4-FFF2-40B4-BE49-F238E27FC236}">
              <a16:creationId xmlns:a16="http://schemas.microsoft.com/office/drawing/2014/main" id="{9798B5ED-FAC2-E349-AF12-6604CB7AD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38524" y="99450023"/>
          <a:ext cx="2278072" cy="10061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301024</xdr:colOff>
      <xdr:row>433</xdr:row>
      <xdr:rowOff>97923</xdr:rowOff>
    </xdr:from>
    <xdr:ext cx="2278072" cy="1006162"/>
    <xdr:pic>
      <xdr:nvPicPr>
        <xdr:cNvPr id="28" name="Immagine 27">
          <a:extLst>
            <a:ext uri="{FF2B5EF4-FFF2-40B4-BE49-F238E27FC236}">
              <a16:creationId xmlns:a16="http://schemas.microsoft.com/office/drawing/2014/main" id="{F37B0C9C-9869-AE4C-87E6-4A717223E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38524" y="99450023"/>
          <a:ext cx="2278072" cy="10061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274287</xdr:colOff>
      <xdr:row>458</xdr:row>
      <xdr:rowOff>194844</xdr:rowOff>
    </xdr:from>
    <xdr:ext cx="2279673" cy="1020349"/>
    <xdr:pic>
      <xdr:nvPicPr>
        <xdr:cNvPr id="51" name="Immagine 24">
          <a:extLst>
            <a:ext uri="{FF2B5EF4-FFF2-40B4-BE49-F238E27FC236}">
              <a16:creationId xmlns:a16="http://schemas.microsoft.com/office/drawing/2014/main" id="{5B4715F6-DEFD-174E-A4F9-23954AB8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5287" y="91324028"/>
          <a:ext cx="2279673" cy="1020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364524</xdr:colOff>
      <xdr:row>483</xdr:row>
      <xdr:rowOff>34423</xdr:rowOff>
    </xdr:from>
    <xdr:ext cx="2279673" cy="1020349"/>
    <xdr:pic>
      <xdr:nvPicPr>
        <xdr:cNvPr id="50" name="Immagine 24">
          <a:extLst>
            <a:ext uri="{FF2B5EF4-FFF2-40B4-BE49-F238E27FC236}">
              <a16:creationId xmlns:a16="http://schemas.microsoft.com/office/drawing/2014/main" id="{236552D9-D0E0-304B-81C6-34F88CBFA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65524" y="92172923"/>
          <a:ext cx="2279673" cy="1020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274287</xdr:colOff>
      <xdr:row>507</xdr:row>
      <xdr:rowOff>194844</xdr:rowOff>
    </xdr:from>
    <xdr:ext cx="2279673" cy="1020349"/>
    <xdr:pic>
      <xdr:nvPicPr>
        <xdr:cNvPr id="49" name="Immagine 24">
          <a:extLst>
            <a:ext uri="{FF2B5EF4-FFF2-40B4-BE49-F238E27FC236}">
              <a16:creationId xmlns:a16="http://schemas.microsoft.com/office/drawing/2014/main" id="{419ABD4C-1EB7-AE48-9651-00AA548E3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92509" y="90520066"/>
          <a:ext cx="2279673" cy="1020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364524</xdr:colOff>
      <xdr:row>529</xdr:row>
      <xdr:rowOff>34423</xdr:rowOff>
    </xdr:from>
    <xdr:ext cx="2279673" cy="1020349"/>
    <xdr:pic>
      <xdr:nvPicPr>
        <xdr:cNvPr id="52" name="Immagine 24">
          <a:extLst>
            <a:ext uri="{FF2B5EF4-FFF2-40B4-BE49-F238E27FC236}">
              <a16:creationId xmlns:a16="http://schemas.microsoft.com/office/drawing/2014/main" id="{E221585C-3D4B-114B-B6E9-6361C4295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82746" y="94607090"/>
          <a:ext cx="2279673" cy="1020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 editAs="oneCell">
    <xdr:from>
      <xdr:col>4</xdr:col>
      <xdr:colOff>70184</xdr:colOff>
      <xdr:row>553</xdr:row>
      <xdr:rowOff>165305</xdr:rowOff>
    </xdr:from>
    <xdr:to>
      <xdr:col>5</xdr:col>
      <xdr:colOff>184212</xdr:colOff>
      <xdr:row>557</xdr:row>
      <xdr:rowOff>139576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B11FA9AB-DAFB-4CAF-9C3A-984F6EF42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96764" y="121018505"/>
          <a:ext cx="1462768" cy="766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94685</xdr:colOff>
      <xdr:row>561</xdr:row>
      <xdr:rowOff>111046</xdr:rowOff>
    </xdr:from>
    <xdr:to>
      <xdr:col>5</xdr:col>
      <xdr:colOff>291160</xdr:colOff>
      <xdr:row>566</xdr:row>
      <xdr:rowOff>89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D6EF655E-0903-4717-B0B7-6EEAC98E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99352" y="115982083"/>
          <a:ext cx="1541734" cy="874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400930</xdr:colOff>
      <xdr:row>561</xdr:row>
      <xdr:rowOff>68319</xdr:rowOff>
    </xdr:from>
    <xdr:to>
      <xdr:col>6</xdr:col>
      <xdr:colOff>1616870</xdr:colOff>
      <xdr:row>570</xdr:row>
      <xdr:rowOff>89139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24EB4F4E-1F37-4492-B361-026FC497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50856" y="115939356"/>
          <a:ext cx="2137866" cy="1808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38248</xdr:colOff>
      <xdr:row>561</xdr:row>
      <xdr:rowOff>40070</xdr:rowOff>
    </xdr:from>
    <xdr:to>
      <xdr:col>11</xdr:col>
      <xdr:colOff>744504</xdr:colOff>
      <xdr:row>575</xdr:row>
      <xdr:rowOff>101023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7CE87604-E235-4C65-9929-C7EB7D6B7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t="33400"/>
        <a:stretch/>
      </xdr:blipFill>
      <xdr:spPr>
        <a:xfrm>
          <a:off x="11731655" y="115911107"/>
          <a:ext cx="6030849" cy="2845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126025</xdr:colOff>
      <xdr:row>580</xdr:row>
      <xdr:rowOff>53975</xdr:rowOff>
    </xdr:from>
    <xdr:to>
      <xdr:col>6</xdr:col>
      <xdr:colOff>306804</xdr:colOff>
      <xdr:row>585</xdr:row>
      <xdr:rowOff>17583</xdr:rowOff>
    </xdr:to>
    <xdr:pic>
      <xdr:nvPicPr>
        <xdr:cNvPr id="96" name="Immagine 95">
          <a:extLst>
            <a:ext uri="{FF2B5EF4-FFF2-40B4-BE49-F238E27FC236}">
              <a16:creationId xmlns:a16="http://schemas.microsoft.com/office/drawing/2014/main" id="{52A48ED2-61BB-49A4-BEEE-9FBA69D9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33948" y="122105860"/>
          <a:ext cx="2452125" cy="9893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1090246</xdr:colOff>
      <xdr:row>580</xdr:row>
      <xdr:rowOff>77447</xdr:rowOff>
    </xdr:from>
    <xdr:to>
      <xdr:col>9</xdr:col>
      <xdr:colOff>126023</xdr:colOff>
      <xdr:row>585</xdr:row>
      <xdr:rowOff>144853</xdr:rowOff>
    </xdr:to>
    <xdr:pic>
      <xdr:nvPicPr>
        <xdr:cNvPr id="98" name="Immagine 97">
          <a:extLst>
            <a:ext uri="{FF2B5EF4-FFF2-40B4-BE49-F238E27FC236}">
              <a16:creationId xmlns:a16="http://schemas.microsoft.com/office/drawing/2014/main" id="{BF17DC93-9998-461D-97C7-3000DC68F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069515" y="122129332"/>
          <a:ext cx="4355123" cy="1093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1090246</xdr:colOff>
      <xdr:row>586</xdr:row>
      <xdr:rowOff>17165</xdr:rowOff>
    </xdr:from>
    <xdr:to>
      <xdr:col>8</xdr:col>
      <xdr:colOff>293265</xdr:colOff>
      <xdr:row>591</xdr:row>
      <xdr:rowOff>111368</xdr:rowOff>
    </xdr:to>
    <xdr:pic>
      <xdr:nvPicPr>
        <xdr:cNvPr id="101" name="Immagine 100">
          <a:extLst>
            <a:ext uri="{FF2B5EF4-FFF2-40B4-BE49-F238E27FC236}">
              <a16:creationId xmlns:a16="http://schemas.microsoft.com/office/drawing/2014/main" id="{10F4EC01-BF39-4D7E-A6D7-1BCDFAB1C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69515" y="123299973"/>
          <a:ext cx="2119135" cy="11199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4</xdr:col>
      <xdr:colOff>82063</xdr:colOff>
      <xdr:row>705</xdr:row>
      <xdr:rowOff>200514</xdr:rowOff>
    </xdr:from>
    <xdr:ext cx="2457010" cy="950301"/>
    <xdr:pic>
      <xdr:nvPicPr>
        <xdr:cNvPr id="53" name="Immagine 52">
          <a:extLst>
            <a:ext uri="{FF2B5EF4-FFF2-40B4-BE49-F238E27FC236}">
              <a16:creationId xmlns:a16="http://schemas.microsoft.com/office/drawing/2014/main" id="{69573D62-E5F7-44B4-B415-BA9316555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53217" y="121612514"/>
          <a:ext cx="2457010" cy="9503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5</xdr:col>
      <xdr:colOff>93785</xdr:colOff>
      <xdr:row>711</xdr:row>
      <xdr:rowOff>194678</xdr:rowOff>
    </xdr:from>
    <xdr:ext cx="4364892" cy="1063869"/>
    <xdr:pic>
      <xdr:nvPicPr>
        <xdr:cNvPr id="54" name="Immagine 53">
          <a:extLst>
            <a:ext uri="{FF2B5EF4-FFF2-40B4-BE49-F238E27FC236}">
              <a16:creationId xmlns:a16="http://schemas.microsoft.com/office/drawing/2014/main" id="{44EFA0DF-72DD-4713-9DFB-42902DA3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13093" y="122798524"/>
          <a:ext cx="4364892" cy="1063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 editAs="oneCell">
    <xdr:from>
      <xdr:col>14</xdr:col>
      <xdr:colOff>262468</xdr:colOff>
      <xdr:row>477</xdr:row>
      <xdr:rowOff>65137</xdr:rowOff>
    </xdr:from>
    <xdr:to>
      <xdr:col>18</xdr:col>
      <xdr:colOff>654242</xdr:colOff>
      <xdr:row>488</xdr:row>
      <xdr:rowOff>151295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34311CC-FC1A-254D-BBD2-F3339368A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05498" y="103108319"/>
          <a:ext cx="3778441" cy="27223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291812</xdr:colOff>
      <xdr:row>489</xdr:row>
      <xdr:rowOff>201385</xdr:rowOff>
    </xdr:from>
    <xdr:to>
      <xdr:col>19</xdr:col>
      <xdr:colOff>250152</xdr:colOff>
      <xdr:row>500</xdr:row>
      <xdr:rowOff>100860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82EACAF-3196-1447-B27C-4FA27D19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34842" y="106130930"/>
          <a:ext cx="4191674" cy="26511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182853</xdr:colOff>
      <xdr:row>594</xdr:row>
      <xdr:rowOff>72682</xdr:rowOff>
    </xdr:from>
    <xdr:to>
      <xdr:col>11</xdr:col>
      <xdr:colOff>464462</xdr:colOff>
      <xdr:row>619</xdr:row>
      <xdr:rowOff>3762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F1B83A35-B336-4456-AB6F-7FBDBE61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891276" y="124996720"/>
          <a:ext cx="5600955" cy="50599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167790</xdr:colOff>
      <xdr:row>619</xdr:row>
      <xdr:rowOff>150110</xdr:rowOff>
    </xdr:from>
    <xdr:to>
      <xdr:col>11</xdr:col>
      <xdr:colOff>661714</xdr:colOff>
      <xdr:row>644</xdr:row>
      <xdr:rowOff>106033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B61CE321-7F29-4144-AC97-B60737E4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6426" y="134481474"/>
          <a:ext cx="5824076" cy="52475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76200</xdr:colOff>
      <xdr:row>688</xdr:row>
      <xdr:rowOff>34210</xdr:rowOff>
    </xdr:from>
    <xdr:to>
      <xdr:col>10</xdr:col>
      <xdr:colOff>43198</xdr:colOff>
      <xdr:row>699</xdr:row>
      <xdr:rowOff>85725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150FDAEB-F68D-4FA4-8972-086A71FC8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96500" y="141737635"/>
          <a:ext cx="6329698" cy="2270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685799</xdr:colOff>
      <xdr:row>711</xdr:row>
      <xdr:rowOff>187635</xdr:rowOff>
    </xdr:from>
    <xdr:to>
      <xdr:col>10</xdr:col>
      <xdr:colOff>687017</xdr:colOff>
      <xdr:row>717</xdr:row>
      <xdr:rowOff>28572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DD2DB88B-A914-484C-9EFE-81CB0D832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639799" y="145929660"/>
          <a:ext cx="3430218" cy="10601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340506</xdr:colOff>
      <xdr:row>430</xdr:row>
      <xdr:rowOff>61587</xdr:rowOff>
    </xdr:from>
    <xdr:to>
      <xdr:col>17</xdr:col>
      <xdr:colOff>195922</xdr:colOff>
      <xdr:row>448</xdr:row>
      <xdr:rowOff>104299</xdr:rowOff>
    </xdr:to>
    <xdr:pic>
      <xdr:nvPicPr>
        <xdr:cNvPr id="39" name="Immagine 3">
          <a:extLst>
            <a:ext uri="{FF2B5EF4-FFF2-40B4-BE49-F238E27FC236}">
              <a16:creationId xmlns:a16="http://schemas.microsoft.com/office/drawing/2014/main" id="{6C1829F6-8E03-F54D-B811-EB014373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5289" y="89311297"/>
          <a:ext cx="2370016" cy="4462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470762</xdr:colOff>
      <xdr:row>430</xdr:row>
      <xdr:rowOff>94151</xdr:rowOff>
    </xdr:from>
    <xdr:to>
      <xdr:col>21</xdr:col>
      <xdr:colOff>701315</xdr:colOff>
      <xdr:row>448</xdr:row>
      <xdr:rowOff>51936</xdr:rowOff>
    </xdr:to>
    <xdr:pic>
      <xdr:nvPicPr>
        <xdr:cNvPr id="40" name="Immagine 12">
          <a:extLst>
            <a:ext uri="{FF2B5EF4-FFF2-40B4-BE49-F238E27FC236}">
              <a16:creationId xmlns:a16="http://schemas.microsoft.com/office/drawing/2014/main" id="{6FA4128E-715A-F24B-BDC9-4642690B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75545" y="89343861"/>
          <a:ext cx="3583353" cy="43773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349710</xdr:colOff>
      <xdr:row>407</xdr:row>
      <xdr:rowOff>18405</xdr:rowOff>
    </xdr:from>
    <xdr:to>
      <xdr:col>17</xdr:col>
      <xdr:colOff>205126</xdr:colOff>
      <xdr:row>425</xdr:row>
      <xdr:rowOff>51592</xdr:rowOff>
    </xdr:to>
    <xdr:pic>
      <xdr:nvPicPr>
        <xdr:cNvPr id="42" name="Immagine 3">
          <a:extLst>
            <a:ext uri="{FF2B5EF4-FFF2-40B4-BE49-F238E27FC236}">
              <a16:creationId xmlns:a16="http://schemas.microsoft.com/office/drawing/2014/main" id="{ABA0761B-A7A0-B44A-BECC-DA55D43B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4493" y="83746376"/>
          <a:ext cx="2370016" cy="4462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479966</xdr:colOff>
      <xdr:row>407</xdr:row>
      <xdr:rowOff>50969</xdr:rowOff>
    </xdr:from>
    <xdr:to>
      <xdr:col>21</xdr:col>
      <xdr:colOff>710519</xdr:colOff>
      <xdr:row>425</xdr:row>
      <xdr:rowOff>3462</xdr:rowOff>
    </xdr:to>
    <xdr:pic>
      <xdr:nvPicPr>
        <xdr:cNvPr id="43" name="Immagine 12">
          <a:extLst>
            <a:ext uri="{FF2B5EF4-FFF2-40B4-BE49-F238E27FC236}">
              <a16:creationId xmlns:a16="http://schemas.microsoft.com/office/drawing/2014/main" id="{365CE79D-EBD6-5840-A14C-82489B5A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84749" y="83778940"/>
          <a:ext cx="3583353" cy="43773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625797</xdr:colOff>
      <xdr:row>252</xdr:row>
      <xdr:rowOff>98728</xdr:rowOff>
    </xdr:from>
    <xdr:to>
      <xdr:col>7</xdr:col>
      <xdr:colOff>610474</xdr:colOff>
      <xdr:row>263</xdr:row>
      <xdr:rowOff>134271</xdr:rowOff>
    </xdr:to>
    <xdr:pic>
      <xdr:nvPicPr>
        <xdr:cNvPr id="64" name="Immagine 35">
          <a:extLst>
            <a:ext uri="{FF2B5EF4-FFF2-40B4-BE49-F238E27FC236}">
              <a16:creationId xmlns:a16="http://schemas.microsoft.com/office/drawing/2014/main" id="{9A45C72D-7EE4-EC4F-9867-F38E2EFDE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337826" y="51892641"/>
          <a:ext cx="3975652" cy="2264393"/>
        </a:xfrm>
        <a:prstGeom prst="rect">
          <a:avLst/>
        </a:prstGeom>
      </xdr:spPr>
    </xdr:pic>
    <xdr:clientData/>
  </xdr:twoCellAnchor>
  <xdr:twoCellAnchor editAs="oneCell">
    <xdr:from>
      <xdr:col>4</xdr:col>
      <xdr:colOff>465667</xdr:colOff>
      <xdr:row>341</xdr:row>
      <xdr:rowOff>1093</xdr:rowOff>
    </xdr:from>
    <xdr:to>
      <xdr:col>7</xdr:col>
      <xdr:colOff>297747</xdr:colOff>
      <xdr:row>352</xdr:row>
      <xdr:rowOff>142522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5C52E68B-1D59-E34C-B4C6-601E5817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198556" y="68185982"/>
          <a:ext cx="3825524" cy="2342762"/>
        </a:xfrm>
        <a:prstGeom prst="rect">
          <a:avLst/>
        </a:prstGeom>
      </xdr:spPr>
    </xdr:pic>
    <xdr:clientData/>
  </xdr:twoCellAnchor>
  <xdr:twoCellAnchor editAs="oneCell">
    <xdr:from>
      <xdr:col>7</xdr:col>
      <xdr:colOff>705555</xdr:colOff>
      <xdr:row>341</xdr:row>
      <xdr:rowOff>75684</xdr:rowOff>
    </xdr:from>
    <xdr:to>
      <xdr:col>9</xdr:col>
      <xdr:colOff>889000</xdr:colOff>
      <xdr:row>352</xdr:row>
      <xdr:rowOff>198966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DBCB15F6-1C1E-B94E-A8D7-B7CFC6F77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431888" y="68260573"/>
          <a:ext cx="3795890" cy="232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365932</xdr:colOff>
      <xdr:row>343</xdr:row>
      <xdr:rowOff>172202</xdr:rowOff>
    </xdr:from>
    <xdr:to>
      <xdr:col>13</xdr:col>
      <xdr:colOff>119897</xdr:colOff>
      <xdr:row>352</xdr:row>
      <xdr:rowOff>157754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968B8CE1-3BA8-9B42-8E4D-ED3A11B0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682203" y="67869660"/>
          <a:ext cx="2832101" cy="177216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264</xdr:row>
      <xdr:rowOff>114300</xdr:rowOff>
    </xdr:from>
    <xdr:to>
      <xdr:col>7</xdr:col>
      <xdr:colOff>904876</xdr:colOff>
      <xdr:row>275</xdr:row>
      <xdr:rowOff>95250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D973D658-45F1-466F-8008-924E4CD987A7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6" y="53359050"/>
          <a:ext cx="3524250" cy="21907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0</xdr:row>
      <xdr:rowOff>0</xdr:rowOff>
    </xdr:from>
    <xdr:to>
      <xdr:col>9</xdr:col>
      <xdr:colOff>215900</xdr:colOff>
      <xdr:row>16</xdr:row>
      <xdr:rowOff>237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30E9FF6-0B70-344A-B048-608C330A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900" y="0"/>
          <a:ext cx="3390900" cy="326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82021</xdr:colOff>
      <xdr:row>18</xdr:row>
      <xdr:rowOff>40216</xdr:rowOff>
    </xdr:from>
    <xdr:to>
      <xdr:col>8</xdr:col>
      <xdr:colOff>1210476</xdr:colOff>
      <xdr:row>27</xdr:row>
      <xdr:rowOff>66394</xdr:rowOff>
    </xdr:to>
    <xdr:pic>
      <xdr:nvPicPr>
        <xdr:cNvPr id="2" name="Immagine 23">
          <a:extLst>
            <a:ext uri="{FF2B5EF4-FFF2-40B4-BE49-F238E27FC236}">
              <a16:creationId xmlns:a16="http://schemas.microsoft.com/office/drawing/2014/main" id="{8859395D-12BA-4CDA-A820-6DF4AF6D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7286" y="3670922"/>
          <a:ext cx="3517643" cy="18311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127</xdr:row>
      <xdr:rowOff>79376</xdr:rowOff>
    </xdr:from>
    <xdr:to>
      <xdr:col>8</xdr:col>
      <xdr:colOff>1184897</xdr:colOff>
      <xdr:row>150</xdr:row>
      <xdr:rowOff>37033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55FF8C6-D6A5-4DB1-ADC1-D84C0E8BB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00932"/>
          <a:ext cx="7757583" cy="4501435"/>
        </a:xfrm>
        <a:prstGeom prst="rect">
          <a:avLst/>
        </a:prstGeom>
      </xdr:spPr>
    </xdr:pic>
    <xdr:clientData/>
  </xdr:twoCellAnchor>
  <xdr:twoCellAnchor editAs="oneCell">
    <xdr:from>
      <xdr:col>9</xdr:col>
      <xdr:colOff>18900</xdr:colOff>
      <xdr:row>127</xdr:row>
      <xdr:rowOff>187854</xdr:rowOff>
    </xdr:from>
    <xdr:to>
      <xdr:col>13</xdr:col>
      <xdr:colOff>14405</xdr:colOff>
      <xdr:row>147</xdr:row>
      <xdr:rowOff>73630</xdr:rowOff>
    </xdr:to>
    <xdr:pic>
      <xdr:nvPicPr>
        <xdr:cNvPr id="62" name="Immagine 6">
          <a:extLst>
            <a:ext uri="{FF2B5EF4-FFF2-40B4-BE49-F238E27FC236}">
              <a16:creationId xmlns:a16="http://schemas.microsoft.com/office/drawing/2014/main" id="{E528A7FC-8CF6-40A8-8ED2-638E3413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8990" y="27170818"/>
          <a:ext cx="5004950" cy="3848176"/>
        </a:xfrm>
        <a:prstGeom prst="rect">
          <a:avLst/>
        </a:prstGeom>
      </xdr:spPr>
    </xdr:pic>
    <xdr:clientData/>
  </xdr:twoCellAnchor>
  <xdr:twoCellAnchor editAs="oneCell">
    <xdr:from>
      <xdr:col>5</xdr:col>
      <xdr:colOff>80818</xdr:colOff>
      <xdr:row>4</xdr:row>
      <xdr:rowOff>127000</xdr:rowOff>
    </xdr:from>
    <xdr:to>
      <xdr:col>8</xdr:col>
      <xdr:colOff>1206549</xdr:colOff>
      <xdr:row>12</xdr:row>
      <xdr:rowOff>87126</xdr:rowOff>
    </xdr:to>
    <xdr:pic>
      <xdr:nvPicPr>
        <xdr:cNvPr id="6" name="Immagine 9">
          <a:extLst>
            <a:ext uri="{FF2B5EF4-FFF2-40B4-BE49-F238E27FC236}">
              <a16:creationId xmlns:a16="http://schemas.microsoft.com/office/drawing/2014/main" id="{0DED126C-482E-544B-ADC0-1660A19CB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6083" y="933824"/>
          <a:ext cx="3514919" cy="1565088"/>
        </a:xfrm>
        <a:prstGeom prst="rect">
          <a:avLst/>
        </a:prstGeom>
      </xdr:spPr>
    </xdr:pic>
    <xdr:clientData/>
  </xdr:twoCellAnchor>
  <xdr:twoCellAnchor editAs="oneCell">
    <xdr:from>
      <xdr:col>8</xdr:col>
      <xdr:colOff>617823</xdr:colOff>
      <xdr:row>61</xdr:row>
      <xdr:rowOff>162021</xdr:rowOff>
    </xdr:from>
    <xdr:to>
      <xdr:col>9</xdr:col>
      <xdr:colOff>1008009</xdr:colOff>
      <xdr:row>77</xdr:row>
      <xdr:rowOff>223133</xdr:rowOff>
    </xdr:to>
    <xdr:pic>
      <xdr:nvPicPr>
        <xdr:cNvPr id="59" name="Immagine 3">
          <a:extLst>
            <a:ext uri="{FF2B5EF4-FFF2-40B4-BE49-F238E27FC236}">
              <a16:creationId xmlns:a16="http://schemas.microsoft.com/office/drawing/2014/main" id="{226968E1-0657-4249-BB6D-D06A472F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5734" y="12109092"/>
          <a:ext cx="1838266" cy="39168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12442</xdr:colOff>
      <xdr:row>61</xdr:row>
      <xdr:rowOff>159526</xdr:rowOff>
    </xdr:from>
    <xdr:to>
      <xdr:col>13</xdr:col>
      <xdr:colOff>18938</xdr:colOff>
      <xdr:row>78</xdr:row>
      <xdr:rowOff>1904</xdr:rowOff>
    </xdr:to>
    <xdr:pic>
      <xdr:nvPicPr>
        <xdr:cNvPr id="61" name="Immagine 12">
          <a:extLst>
            <a:ext uri="{FF2B5EF4-FFF2-40B4-BE49-F238E27FC236}">
              <a16:creationId xmlns:a16="http://schemas.microsoft.com/office/drawing/2014/main" id="{AD56DBB2-B0F0-4B1F-B8F0-5910E77B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9996" y="12106597"/>
          <a:ext cx="2841137" cy="39362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23139</xdr:colOff>
      <xdr:row>83</xdr:row>
      <xdr:rowOff>20411</xdr:rowOff>
    </xdr:from>
    <xdr:to>
      <xdr:col>5</xdr:col>
      <xdr:colOff>680733</xdr:colOff>
      <xdr:row>93</xdr:row>
      <xdr:rowOff>191745</xdr:rowOff>
    </xdr:to>
    <xdr:pic>
      <xdr:nvPicPr>
        <xdr:cNvPr id="32" name="Immagine 3">
          <a:extLst>
            <a:ext uri="{FF2B5EF4-FFF2-40B4-BE49-F238E27FC236}">
              <a16:creationId xmlns:a16="http://schemas.microsoft.com/office/drawing/2014/main" id="{E5EEEC48-B2DD-4488-89F2-B12CCD242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44050" y="17151804"/>
          <a:ext cx="1203694" cy="25335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167002</xdr:colOff>
      <xdr:row>83</xdr:row>
      <xdr:rowOff>34017</xdr:rowOff>
    </xdr:from>
    <xdr:to>
      <xdr:col>8</xdr:col>
      <xdr:colOff>531946</xdr:colOff>
      <xdr:row>94</xdr:row>
      <xdr:rowOff>205934</xdr:rowOff>
    </xdr:to>
    <xdr:pic>
      <xdr:nvPicPr>
        <xdr:cNvPr id="34" name="Immagine 12">
          <a:extLst>
            <a:ext uri="{FF2B5EF4-FFF2-40B4-BE49-F238E27FC236}">
              <a16:creationId xmlns:a16="http://schemas.microsoft.com/office/drawing/2014/main" id="{F9024092-977A-4151-958F-7785136D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9681" y="17165410"/>
          <a:ext cx="2026104" cy="27779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34346</xdr:colOff>
      <xdr:row>83</xdr:row>
      <xdr:rowOff>34017</xdr:rowOff>
    </xdr:from>
    <xdr:to>
      <xdr:col>15</xdr:col>
      <xdr:colOff>468350</xdr:colOff>
      <xdr:row>93</xdr:row>
      <xdr:rowOff>141173</xdr:rowOff>
    </xdr:to>
    <xdr:pic>
      <xdr:nvPicPr>
        <xdr:cNvPr id="38" name="Immagine 3">
          <a:extLst>
            <a:ext uri="{FF2B5EF4-FFF2-40B4-BE49-F238E27FC236}">
              <a16:creationId xmlns:a16="http://schemas.microsoft.com/office/drawing/2014/main" id="{676F23EB-1239-4F3F-B5C9-DE59C615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00543" y="17165410"/>
          <a:ext cx="1348405" cy="24617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505801</xdr:colOff>
      <xdr:row>83</xdr:row>
      <xdr:rowOff>34017</xdr:rowOff>
    </xdr:from>
    <xdr:to>
      <xdr:col>18</xdr:col>
      <xdr:colOff>632396</xdr:colOff>
      <xdr:row>94</xdr:row>
      <xdr:rowOff>363</xdr:rowOff>
    </xdr:to>
    <xdr:pic>
      <xdr:nvPicPr>
        <xdr:cNvPr id="43" name="Immagine 12">
          <a:extLst>
            <a:ext uri="{FF2B5EF4-FFF2-40B4-BE49-F238E27FC236}">
              <a16:creationId xmlns:a16="http://schemas.microsoft.com/office/drawing/2014/main" id="{D617A969-1443-4343-9CC4-5C2FEEEDF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83677" y="17165410"/>
          <a:ext cx="2161133" cy="25590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310948</xdr:colOff>
      <xdr:row>105</xdr:row>
      <xdr:rowOff>140104</xdr:rowOff>
    </xdr:from>
    <xdr:to>
      <xdr:col>9</xdr:col>
      <xdr:colOff>341148</xdr:colOff>
      <xdr:row>120</xdr:row>
      <xdr:rowOff>106</xdr:rowOff>
    </xdr:to>
    <xdr:pic>
      <xdr:nvPicPr>
        <xdr:cNvPr id="46" name="Immagine 12">
          <a:extLst>
            <a:ext uri="{FF2B5EF4-FFF2-40B4-BE49-F238E27FC236}">
              <a16:creationId xmlns:a16="http://schemas.microsoft.com/office/drawing/2014/main" id="{36EF7E51-BB61-4779-8A37-4908559C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81788" y="22367373"/>
          <a:ext cx="2019300" cy="32100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1029607</xdr:colOff>
      <xdr:row>105</xdr:row>
      <xdr:rowOff>130275</xdr:rowOff>
    </xdr:from>
    <xdr:to>
      <xdr:col>12</xdr:col>
      <xdr:colOff>385925</xdr:colOff>
      <xdr:row>120</xdr:row>
      <xdr:rowOff>76442</xdr:rowOff>
    </xdr:to>
    <xdr:pic>
      <xdr:nvPicPr>
        <xdr:cNvPr id="48" name="Immagine 22">
          <a:extLst>
            <a:ext uri="{FF2B5EF4-FFF2-40B4-BE49-F238E27FC236}">
              <a16:creationId xmlns:a16="http://schemas.microsoft.com/office/drawing/2014/main" id="{40AB5AE3-E909-4C4C-84C5-1711731A6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19697" y="22357544"/>
          <a:ext cx="2148341" cy="32989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203199</xdr:colOff>
      <xdr:row>33</xdr:row>
      <xdr:rowOff>63500</xdr:rowOff>
    </xdr:from>
    <xdr:to>
      <xdr:col>8</xdr:col>
      <xdr:colOff>1384300</xdr:colOff>
      <xdr:row>41</xdr:row>
      <xdr:rowOff>168787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2755DF1D-5B1B-2343-A767-B0F9FA4D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3699" y="6680200"/>
          <a:ext cx="2844801" cy="1743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0C3A-B30D-C243-AF2B-91D82D1EB888}">
  <dimension ref="A1:AC788"/>
  <sheetViews>
    <sheetView tabSelected="1" zoomScale="60" zoomScaleNormal="60" workbookViewId="0">
      <selection activeCell="C383" sqref="C383"/>
    </sheetView>
  </sheetViews>
  <sheetFormatPr defaultColWidth="11" defaultRowHeight="15.6"/>
  <cols>
    <col min="1" max="1" width="11.69921875" bestFit="1" customWidth="1"/>
    <col min="2" max="2" width="49" bestFit="1" customWidth="1"/>
    <col min="3" max="3" width="14" bestFit="1" customWidth="1"/>
    <col min="4" max="4" width="26.69921875" bestFit="1" customWidth="1"/>
    <col min="5" max="5" width="17.69921875" bestFit="1" customWidth="1"/>
    <col min="6" max="6" width="12.19921875" bestFit="1" customWidth="1"/>
    <col min="7" max="7" width="22.69921875" customWidth="1"/>
    <col min="8" max="8" width="15.69921875" bestFit="1" customWidth="1"/>
    <col min="9" max="9" width="31.69921875" bestFit="1" customWidth="1"/>
    <col min="10" max="10" width="13.19921875" bestFit="1" customWidth="1"/>
    <col min="11" max="11" width="9.69921875" bestFit="1" customWidth="1"/>
    <col min="12" max="12" width="15.69921875" bestFit="1" customWidth="1"/>
    <col min="13" max="13" width="15.19921875" bestFit="1" customWidth="1"/>
  </cols>
  <sheetData>
    <row r="1" spans="1:11" ht="16.2" thickBot="1">
      <c r="A1" s="59" t="s">
        <v>2</v>
      </c>
      <c r="B1" s="19" t="s">
        <v>0</v>
      </c>
      <c r="C1" s="1"/>
      <c r="I1" s="314" t="s">
        <v>28</v>
      </c>
      <c r="J1" s="315"/>
    </row>
    <row r="2" spans="1:11">
      <c r="B2" s="1" t="s">
        <v>1</v>
      </c>
      <c r="C2" s="1">
        <v>1400</v>
      </c>
      <c r="D2" s="10">
        <f>C2*2*PI()/60</f>
        <v>146.60765716752366</v>
      </c>
      <c r="E2" s="1" t="s">
        <v>87</v>
      </c>
      <c r="I2" s="60" t="s">
        <v>19</v>
      </c>
      <c r="J2" s="61" t="s">
        <v>20</v>
      </c>
    </row>
    <row r="3" spans="1:11">
      <c r="B3" s="1" t="s">
        <v>6</v>
      </c>
      <c r="C3" s="1">
        <v>12.5</v>
      </c>
      <c r="I3" s="51" t="s">
        <v>112</v>
      </c>
      <c r="J3" s="62" t="s">
        <v>113</v>
      </c>
    </row>
    <row r="4" spans="1:11">
      <c r="B4" s="1" t="s">
        <v>3</v>
      </c>
      <c r="C4" s="1">
        <v>45.6</v>
      </c>
      <c r="I4" s="51" t="s">
        <v>213</v>
      </c>
      <c r="J4" s="63" t="s">
        <v>139</v>
      </c>
    </row>
    <row r="5" spans="1:11" ht="16.2" thickBot="1">
      <c r="B5" s="1" t="s">
        <v>5</v>
      </c>
      <c r="C5" s="1">
        <v>1600</v>
      </c>
      <c r="I5" s="45" t="s">
        <v>151</v>
      </c>
      <c r="J5" s="47" t="s">
        <v>140</v>
      </c>
    </row>
    <row r="6" spans="1:11">
      <c r="B6" s="1" t="s">
        <v>4</v>
      </c>
      <c r="C6" s="1">
        <v>160</v>
      </c>
      <c r="D6" t="s">
        <v>105</v>
      </c>
    </row>
    <row r="8" spans="1:11">
      <c r="F8" s="31"/>
    </row>
    <row r="9" spans="1:11">
      <c r="B9" s="28" t="s">
        <v>88</v>
      </c>
      <c r="C9" s="14">
        <f>0.7*C4</f>
        <v>31.919999999999998</v>
      </c>
    </row>
    <row r="10" spans="1:11">
      <c r="B10" s="1"/>
      <c r="C10" s="91" t="s">
        <v>124</v>
      </c>
      <c r="D10" s="91" t="s">
        <v>123</v>
      </c>
    </row>
    <row r="11" spans="1:11">
      <c r="B11" s="1" t="s">
        <v>365</v>
      </c>
      <c r="C11" s="3">
        <f>(C4/D2)*1000</f>
        <v>311.03423164244697</v>
      </c>
      <c r="D11" s="3">
        <f>C9/D2*1000</f>
        <v>217.72396214971283</v>
      </c>
    </row>
    <row r="12" spans="1:11">
      <c r="B12" s="1" t="s">
        <v>366</v>
      </c>
      <c r="C12" s="3">
        <f>C11*Geometria!D2</f>
        <v>1101.0611800142624</v>
      </c>
      <c r="D12" s="3">
        <f>D11*Geometria!D2</f>
        <v>770.74282600998345</v>
      </c>
    </row>
    <row r="13" spans="1:11">
      <c r="B13" s="1" t="s">
        <v>367</v>
      </c>
      <c r="C13" s="3">
        <f>C12*Geometria!E2</f>
        <v>3897.756577250489</v>
      </c>
      <c r="D13" s="3">
        <f>D12*Geometria!E2</f>
        <v>2728.4296040753416</v>
      </c>
    </row>
    <row r="14" spans="1:11" ht="16.2" thickBot="1">
      <c r="I14" s="57" t="s">
        <v>522</v>
      </c>
    </row>
    <row r="15" spans="1:11" ht="16.2" thickBot="1">
      <c r="B15" s="95" t="s">
        <v>357</v>
      </c>
    </row>
    <row r="16" spans="1:11">
      <c r="B16" s="2" t="s">
        <v>143</v>
      </c>
      <c r="C16" s="1" t="s">
        <v>144</v>
      </c>
      <c r="D16" s="1" t="s">
        <v>145</v>
      </c>
      <c r="E16" s="1" t="s">
        <v>435</v>
      </c>
      <c r="F16" s="11" t="s">
        <v>106</v>
      </c>
      <c r="G16" s="11" t="s">
        <v>107</v>
      </c>
      <c r="H16" s="11" t="s">
        <v>108</v>
      </c>
      <c r="I16" s="1" t="s">
        <v>109</v>
      </c>
      <c r="J16" s="1" t="s">
        <v>115</v>
      </c>
      <c r="K16" s="1" t="s">
        <v>111</v>
      </c>
    </row>
    <row r="17" spans="2:11">
      <c r="B17" s="1">
        <v>510</v>
      </c>
      <c r="C17" s="1">
        <v>367</v>
      </c>
      <c r="D17" s="1">
        <v>220</v>
      </c>
      <c r="E17" s="1">
        <v>301.5</v>
      </c>
      <c r="F17" s="1">
        <v>157</v>
      </c>
      <c r="G17" s="1">
        <v>41.9</v>
      </c>
      <c r="H17" s="1">
        <v>85.1</v>
      </c>
      <c r="I17" s="4">
        <v>7</v>
      </c>
      <c r="J17" s="4">
        <v>7</v>
      </c>
      <c r="K17" s="4">
        <v>17</v>
      </c>
    </row>
    <row r="19" spans="2:11">
      <c r="B19" s="1" t="s">
        <v>120</v>
      </c>
    </row>
    <row r="20" spans="2:11">
      <c r="B20" s="1"/>
      <c r="C20" s="1" t="s">
        <v>126</v>
      </c>
      <c r="D20" s="89" t="s">
        <v>124</v>
      </c>
      <c r="E20" s="90" t="s">
        <v>123</v>
      </c>
    </row>
    <row r="21" spans="2:11">
      <c r="B21" s="1" t="s">
        <v>121</v>
      </c>
      <c r="C21" s="1" t="s">
        <v>122</v>
      </c>
      <c r="D21" s="13">
        <f>C12/Geometria!$C$16*1000</f>
        <v>11496.211843258079</v>
      </c>
      <c r="E21" s="13">
        <f>D12/Geometria!$C$16*1000</f>
        <v>8047.3482902806527</v>
      </c>
    </row>
    <row r="22" spans="2:11">
      <c r="C22" s="1" t="s">
        <v>125</v>
      </c>
      <c r="D22" s="13">
        <f>D21/(COS(RADIANS(Geometria!$J$2))*COS(RADIANS(Geometria!$K$2)))</f>
        <v>13019.164821191967</v>
      </c>
      <c r="E22" s="13">
        <f>E21/(COS(RADIANS(Geometria!$J$2))*COS(RADIANS(Geometria!$K$2)))</f>
        <v>9113.4153748343742</v>
      </c>
    </row>
    <row r="23" spans="2:11">
      <c r="C23" s="1" t="s">
        <v>127</v>
      </c>
      <c r="D23" s="13">
        <f>D21*TAN(RADIANS(Geometria!$K$2))</f>
        <v>4184.2789177645327</v>
      </c>
      <c r="E23" s="13">
        <f>E21*TAN(RADIANS(Geometria!$K$2))</f>
        <v>2928.9952424351723</v>
      </c>
    </row>
    <row r="24" spans="2:11">
      <c r="C24" s="13" t="s">
        <v>128</v>
      </c>
      <c r="D24" s="13">
        <f>D22*SIN(RADIANS(Geometria!$J$2))</f>
        <v>4452.8166181245806</v>
      </c>
      <c r="E24" s="13">
        <f>E22*SIN(RADIANS(Geometria!$J$2))</f>
        <v>3116.9716326872053</v>
      </c>
    </row>
    <row r="25" spans="2:11">
      <c r="D25" s="16"/>
      <c r="E25" s="16"/>
    </row>
    <row r="26" spans="2:11">
      <c r="B26" s="1" t="s">
        <v>129</v>
      </c>
      <c r="C26" s="1" t="s">
        <v>130</v>
      </c>
      <c r="D26" s="13">
        <f>C12/Geometria!$D$16*1000</f>
        <v>25024.551296472775</v>
      </c>
      <c r="E26" s="13">
        <f>D12/Geometria!$D$16*1000</f>
        <v>17517.185907530937</v>
      </c>
    </row>
    <row r="27" spans="2:11">
      <c r="C27" s="1" t="s">
        <v>131</v>
      </c>
      <c r="D27" s="13">
        <f>D26/(COS(RADIANS(Geometria!$J$2))*COS(RADIANS(Geometria!$L$2)))</f>
        <v>27569.996091935929</v>
      </c>
      <c r="E27" s="13">
        <f>E26/(COS(RADIANS(Geometria!$J$2))*COS(RADIANS(Geometria!$L$2)))</f>
        <v>19298.997264355145</v>
      </c>
    </row>
    <row r="28" spans="2:11">
      <c r="C28" s="1" t="s">
        <v>132</v>
      </c>
      <c r="D28" s="13">
        <f>D26*TAN(RADIANS(Geometria!$L$2))</f>
        <v>6705.3083108410847</v>
      </c>
      <c r="E28" s="13">
        <f>E26*TAN(RADIANS(Geometria!$L$2))</f>
        <v>4693.715817588758</v>
      </c>
    </row>
    <row r="29" spans="2:11">
      <c r="C29" s="15" t="s">
        <v>133</v>
      </c>
      <c r="D29" s="15">
        <f>D27*SIN(RADIANS(Geometria!$J$2))</f>
        <v>9429.4940148520527</v>
      </c>
      <c r="E29" s="15">
        <f>E27*SIN(RADIANS(Geometria!$J$2))</f>
        <v>6600.6458103964351</v>
      </c>
    </row>
    <row r="30" spans="2:11">
      <c r="C30" s="17"/>
      <c r="D30" s="17"/>
      <c r="E30" s="17"/>
    </row>
    <row r="31" spans="2:11">
      <c r="B31" s="1" t="s">
        <v>146</v>
      </c>
      <c r="E31" s="16"/>
      <c r="G31" s="13" t="s">
        <v>135</v>
      </c>
    </row>
    <row r="32" spans="2:11">
      <c r="B32" s="13" t="s">
        <v>137</v>
      </c>
      <c r="C32" s="25">
        <f>2*Tabelle!K22</f>
        <v>1354</v>
      </c>
      <c r="D32" s="13"/>
      <c r="E32" s="13" t="s">
        <v>136</v>
      </c>
      <c r="F32" s="21">
        <f>0.418*((D21/COS(RADIANS(RISULTATI!C33))*Tabelle!C22*10^9*((Geometria!B16+Geometria!C16)*10^(-3))/(Geometria!B16*10^(-3)*Geometria!C16*10^(-3)*SIN(RADIANS(RISULTATI!C33))))/(Geometria!B21*10^(-3)/COS(RADIANS(Geometria!K2))))^(1/2)*10^(-6)</f>
        <v>982.06646471161832</v>
      </c>
      <c r="G32" s="23" t="b">
        <f>IF(F32&lt;C32,TRUE,FALSE)</f>
        <v>1</v>
      </c>
    </row>
    <row r="33" spans="2:8">
      <c r="B33" s="1" t="s">
        <v>134</v>
      </c>
      <c r="C33" s="26">
        <f>Geometria!K2/COS(RADIANS(Geometria!J2))</f>
        <v>21.283555449518243</v>
      </c>
      <c r="D33" s="16"/>
      <c r="E33" s="16"/>
    </row>
    <row r="34" spans="2:8">
      <c r="C34" s="24"/>
      <c r="D34" s="16"/>
      <c r="E34" s="16"/>
    </row>
    <row r="35" spans="2:8">
      <c r="B35" s="1" t="s">
        <v>358</v>
      </c>
      <c r="E35" s="16"/>
      <c r="G35" s="13" t="s">
        <v>135</v>
      </c>
    </row>
    <row r="36" spans="2:8">
      <c r="B36" s="13" t="s">
        <v>137</v>
      </c>
      <c r="C36" s="22">
        <f>2*Tabelle!K22</f>
        <v>1354</v>
      </c>
      <c r="D36" s="13"/>
      <c r="E36" s="13" t="s">
        <v>136</v>
      </c>
      <c r="F36" s="21">
        <f>0.418*((D26/COS(RADIANS(RISULTATI!C37))*Tabelle!C22*10^9*((Geometria!D16+Geometria!E16)*10^(-3))/(Geometria!D16*10^(-3)*Geometria!E16*10^(-3)*SIN(RADIANS(RISULTATI!C37))))/(Geometria!C21*10^(-3)/COS(RADIANS(Geometria!L2))))^(1/2)*10^(-6)</f>
        <v>1003.6764773472361</v>
      </c>
      <c r="G36" s="23" t="b">
        <f>IF(F36&lt;C36,TRUE,FALSE)</f>
        <v>1</v>
      </c>
    </row>
    <row r="37" spans="2:8">
      <c r="B37" s="1" t="s">
        <v>134</v>
      </c>
      <c r="C37" s="20">
        <f>Geometria!K2/COS(RADIANS(Geometria!L2))</f>
        <v>20.705523608201659</v>
      </c>
      <c r="D37" s="16"/>
      <c r="E37" s="16"/>
    </row>
    <row r="38" spans="2:8" ht="16.2" thickBot="1">
      <c r="C38" s="24"/>
      <c r="D38" s="16"/>
      <c r="E38" s="16"/>
    </row>
    <row r="39" spans="2:8" ht="16.2" thickBot="1">
      <c r="B39" s="164" t="s">
        <v>359</v>
      </c>
      <c r="C39" s="18" t="s">
        <v>192</v>
      </c>
      <c r="D39" s="32"/>
    </row>
    <row r="40" spans="2:8">
      <c r="B40" s="2" t="s">
        <v>259</v>
      </c>
      <c r="C40" s="34">
        <f>(((5*3^(1/2)*16*$C$12)/(Tabelle!$D$36*10^6*PI()))^(1/3))*10^3</f>
        <v>37.377456785817799</v>
      </c>
      <c r="D40" s="1" t="s">
        <v>597</v>
      </c>
      <c r="F40" s="57"/>
    </row>
    <row r="41" spans="2:8">
      <c r="B41" s="127" t="s">
        <v>428</v>
      </c>
      <c r="C41" s="195">
        <v>30</v>
      </c>
      <c r="D41" s="3">
        <f>C41/C40*5</f>
        <v>4.0131141307857732</v>
      </c>
    </row>
    <row r="42" spans="2:8" ht="16.2" thickBot="1"/>
    <row r="43" spans="2:8" ht="16.2" thickBot="1">
      <c r="B43" s="164" t="s">
        <v>362</v>
      </c>
    </row>
    <row r="44" spans="2:8">
      <c r="B44" s="2" t="s">
        <v>148</v>
      </c>
      <c r="C44" s="28" t="s">
        <v>150</v>
      </c>
      <c r="D44" s="28" t="s">
        <v>149</v>
      </c>
      <c r="F44" s="303" t="s">
        <v>160</v>
      </c>
      <c r="G44" s="303"/>
      <c r="H44" s="1"/>
    </row>
    <row r="45" spans="2:8">
      <c r="B45" s="1" t="s">
        <v>202</v>
      </c>
      <c r="C45" s="1">
        <f>M411</f>
        <v>28.75</v>
      </c>
      <c r="D45" s="1">
        <f>M434</f>
        <v>22.75</v>
      </c>
      <c r="F45" s="1"/>
      <c r="G45" s="89" t="s">
        <v>124</v>
      </c>
      <c r="H45" s="89" t="s">
        <v>123</v>
      </c>
    </row>
    <row r="46" spans="2:8">
      <c r="B46" s="1" t="s">
        <v>200</v>
      </c>
      <c r="C46" s="325">
        <v>10</v>
      </c>
      <c r="D46" s="326"/>
      <c r="F46" s="1" t="s">
        <v>163</v>
      </c>
      <c r="G46" s="13">
        <f>D23*Geometria!$C$16</f>
        <v>400753.49563121225</v>
      </c>
      <c r="H46" s="13">
        <f>E23*Geometria!$C$16</f>
        <v>280527.44694184855</v>
      </c>
    </row>
    <row r="47" spans="2:8">
      <c r="B47" s="1" t="s">
        <v>201</v>
      </c>
      <c r="C47" s="4">
        <v>10</v>
      </c>
      <c r="D47" s="4">
        <v>7</v>
      </c>
      <c r="F47" s="1" t="s">
        <v>164</v>
      </c>
      <c r="G47" s="13">
        <f>D28*Geometria!$D$16</f>
        <v>295028.4540020806</v>
      </c>
      <c r="H47" s="13">
        <f>E28*Geometria!$D$16</f>
        <v>206519.91780145638</v>
      </c>
    </row>
    <row r="48" spans="2:8">
      <c r="B48" s="1" t="s">
        <v>203</v>
      </c>
      <c r="C48" s="4">
        <v>5.46</v>
      </c>
      <c r="D48" s="4">
        <v>11.35</v>
      </c>
      <c r="F48" s="1" t="s">
        <v>161</v>
      </c>
      <c r="G48" s="13">
        <f>D29*COS(RADIANS($K$17))+D26*SIN(RADIANS($K$17))</f>
        <v>16333.940695199311</v>
      </c>
      <c r="H48" s="13">
        <f>E29*COS(RADIANS($K$17))+E26*SIN(RADIANS($K$17))</f>
        <v>11433.758486639515</v>
      </c>
    </row>
    <row r="49" spans="2:8">
      <c r="B49" s="1" t="s">
        <v>204</v>
      </c>
      <c r="C49" s="3">
        <f>Geometria!B21</f>
        <v>57.465599713699248</v>
      </c>
      <c r="D49" s="3">
        <f>Geometria!C21</f>
        <v>77.645713530756225</v>
      </c>
      <c r="F49" s="1" t="s">
        <v>162</v>
      </c>
      <c r="G49" s="13">
        <f>-D29*SIN(RADIANS($K$17))+D26*COS(RADIANS($K$17))</f>
        <v>21174.180180862721</v>
      </c>
      <c r="H49" s="13">
        <f>-E29*SIN(RADIANS($K$17))+E26*COS(RADIANS($K$17))</f>
        <v>14821.926126603899</v>
      </c>
    </row>
    <row r="50" spans="2:8">
      <c r="D50" s="28" t="s">
        <v>199</v>
      </c>
      <c r="F50" s="316" t="s">
        <v>252</v>
      </c>
      <c r="G50" s="316"/>
      <c r="H50" s="1"/>
    </row>
    <row r="51" spans="2:8">
      <c r="B51" s="1" t="s">
        <v>147</v>
      </c>
      <c r="C51" s="3">
        <f>C45+D45+C46+C47+D47+C48+D48+C49+D49</f>
        <v>230.42131324445546</v>
      </c>
      <c r="D51" s="23" t="b">
        <f>IF(AND(C51&lt;D17*1.1,C51&gt;D17*0.9),TRUE,FALSE)</f>
        <v>1</v>
      </c>
      <c r="F51" s="36" t="s">
        <v>253</v>
      </c>
      <c r="G51" s="13">
        <f>G47*COS(RADIANS($K$17))</f>
        <v>282137.11370661133</v>
      </c>
      <c r="H51" s="13">
        <f>H47*COS(RADIANS($K$17))</f>
        <v>197495.97959462789</v>
      </c>
    </row>
    <row r="52" spans="2:8" ht="16.2" thickBot="1">
      <c r="F52" s="36" t="s">
        <v>254</v>
      </c>
      <c r="G52" s="13">
        <f>G47*SIN(RADIANS($K$17))</f>
        <v>86257.972038301843</v>
      </c>
      <c r="H52" s="13">
        <f>H47*SIN(RADIANS($K$17))</f>
        <v>60380.580426811277</v>
      </c>
    </row>
    <row r="53" spans="2:8" ht="16.2" thickBot="1">
      <c r="B53" s="27" t="s">
        <v>158</v>
      </c>
      <c r="C53" s="19" t="s">
        <v>126</v>
      </c>
      <c r="D53" s="30" t="s">
        <v>179</v>
      </c>
    </row>
    <row r="54" spans="2:8">
      <c r="B54" s="87" t="s">
        <v>152</v>
      </c>
      <c r="C54" s="89" t="s">
        <v>124</v>
      </c>
      <c r="D54" s="90" t="s">
        <v>123</v>
      </c>
    </row>
    <row r="55" spans="2:8">
      <c r="B55" s="1" t="s">
        <v>159</v>
      </c>
      <c r="C55" s="13">
        <f>(G51+D21*($C$47+$C$49/2+C45/2)+(D29*COS(RADIANS($K$17))+D26*SIN(RADIANS($K$17)))*($C$46+$C$47+$C$49+$D$49/2+$C$45/2))/($C$47+$D$47+$C$46+$C$49+$D$49+$C$45/2+$D$45/2)</f>
        <v>16112.549881999978</v>
      </c>
      <c r="D55" s="13">
        <f>(H51+E21*($C$47+$C$49/2+D45/2)+(E29*COS(RADIANS($K$17))+E26*SIN(RADIANS($K$17)))*($C$46+$C$47+$C$49+$D$49/2+$C$45/2))/($C$47+$D$47+$C$46+$C$49+$D$49+$C$45/2+$D$45/2)</f>
        <v>11150.27498390757</v>
      </c>
    </row>
    <row r="56" spans="2:8">
      <c r="B56" s="1" t="s">
        <v>154</v>
      </c>
      <c r="C56" s="13">
        <f>D21+D29*COS(RADIANS($K$17))+D26*SIN(RADIANS($K$17))-C55</f>
        <v>11717.602656457413</v>
      </c>
      <c r="D56" s="13">
        <f>E21+E29*COS(RADIANS($K$17))+E26*SIN(RADIANS($K$17))-D55</f>
        <v>8330.8317930125995</v>
      </c>
    </row>
    <row r="57" spans="2:8">
      <c r="B57" s="85" t="s">
        <v>153</v>
      </c>
      <c r="C57" s="93"/>
    </row>
    <row r="58" spans="2:8">
      <c r="B58" s="1" t="s">
        <v>155</v>
      </c>
      <c r="C58" s="13">
        <f>-(D24+D29*SIN(RADIANS($K$17))-D26*COS(RADIANS($K$17))-C59)</f>
        <v>28515.791669985323</v>
      </c>
      <c r="D58" s="13">
        <f>-(E24+E29*SIN(RADIANS($K$17))-E26*COS(RADIANS($K$17))-D59)</f>
        <v>19961.054168989722</v>
      </c>
    </row>
    <row r="59" spans="2:8">
      <c r="B59" s="1" t="s">
        <v>156</v>
      </c>
      <c r="C59" s="13">
        <f>-((D24*($C$47+$C$49/2+$C$45/2)+G46+(RISULTATI!D29*SIN(RADIANS(RISULTATI!$K$17))-RISULTATI!D26*COS(RADIANS(RISULTATI!$K$17)))*(RISULTATI!$C$47+RISULTATI!$C$46+$C$49+$D$49/2+$C$45/2)-G52)/(RISULTATI!$C$47+RISULTATI!$C$46+RISULTATI!$D$47+$C$49+$D$49+$C$45/2+$D$45/2))</f>
        <v>11794.428107247186</v>
      </c>
      <c r="D59" s="13">
        <f>-((E24*($C$47+$C$49/2+$C$45/2)+H46+(RISULTATI!E29*SIN(RADIANS(RISULTATI!$K$17))-RISULTATI!E26*COS(RADIANS(RISULTATI!$K$17)))*(RISULTATI!$C$47+RISULTATI!$C$46+$C$49+$D$49/2+$C$45/2)-H52)/(RISULTATI!$C$47+RISULTATI!$C$46+RISULTATI!$D$47+$C$49+$D$49+$C$45/2+$D$45/2))</f>
        <v>8256.0996750730283</v>
      </c>
    </row>
    <row r="60" spans="2:8">
      <c r="B60" s="1" t="s">
        <v>157</v>
      </c>
      <c r="C60" s="13">
        <f>-D23+D28</f>
        <v>2521.029393076552</v>
      </c>
      <c r="D60" s="13">
        <f>-E23+E28</f>
        <v>1764.7205751535857</v>
      </c>
    </row>
    <row r="61" spans="2:8">
      <c r="B61" s="340" t="s">
        <v>183</v>
      </c>
      <c r="C61" s="341"/>
      <c r="D61" s="342"/>
    </row>
    <row r="62" spans="2:8">
      <c r="B62" s="36" t="s">
        <v>260</v>
      </c>
      <c r="C62" s="13">
        <f>(C56^2+C58^2)^(1/2)</f>
        <v>30829.411064446595</v>
      </c>
      <c r="D62" s="13">
        <f>(D56^2+D58^2)^(1/2)</f>
        <v>21629.758248783353</v>
      </c>
    </row>
    <row r="63" spans="2:8">
      <c r="B63" s="36" t="s">
        <v>261</v>
      </c>
      <c r="C63" s="13">
        <f>(C55^2+C59^2)^(1/2)</f>
        <v>19968.044422951385</v>
      </c>
      <c r="D63" s="13">
        <f>(D55^2+D59^2)^(1/2)</f>
        <v>13874.141921628736</v>
      </c>
    </row>
    <row r="65" spans="2:10">
      <c r="B65" s="1" t="s">
        <v>258</v>
      </c>
      <c r="C65" s="28" t="s">
        <v>166</v>
      </c>
      <c r="G65" s="1" t="s">
        <v>257</v>
      </c>
      <c r="H65" s="86" t="s">
        <v>166</v>
      </c>
    </row>
    <row r="66" spans="2:10">
      <c r="B66" s="92" t="s">
        <v>165</v>
      </c>
      <c r="C66" s="93"/>
      <c r="G66" s="321" t="s">
        <v>165</v>
      </c>
      <c r="H66" s="323"/>
    </row>
    <row r="67" spans="2:10">
      <c r="B67" s="1" t="s">
        <v>175</v>
      </c>
      <c r="C67" s="15">
        <f>C56*(C47+C49/2+C45/2)</f>
        <v>622296.09668122977</v>
      </c>
      <c r="G67" s="1" t="s">
        <v>175</v>
      </c>
      <c r="H67" s="15">
        <f>D56*(C47+C49/2)</f>
        <v>322676.44047983672</v>
      </c>
    </row>
    <row r="68" spans="2:10">
      <c r="B68" s="1"/>
      <c r="C68" s="88" t="s">
        <v>169</v>
      </c>
      <c r="D68" s="86" t="s">
        <v>168</v>
      </c>
      <c r="E68" s="86" t="s">
        <v>170</v>
      </c>
      <c r="G68" s="1"/>
      <c r="H68" s="88" t="s">
        <v>169</v>
      </c>
      <c r="I68" s="86" t="s">
        <v>168</v>
      </c>
      <c r="J68" s="86" t="s">
        <v>170</v>
      </c>
    </row>
    <row r="69" spans="2:10">
      <c r="B69" s="1" t="s">
        <v>176</v>
      </c>
      <c r="C69" s="13">
        <f>C55*(D47+D49/2+D45/2)</f>
        <v>921603.32027564477</v>
      </c>
      <c r="D69" s="13">
        <f>C69+G51</f>
        <v>1203740.4339822561</v>
      </c>
      <c r="E69" s="13">
        <f>MAX(ABS(C69),ABS(D69))</f>
        <v>1203740.4339822561</v>
      </c>
      <c r="G69" s="1" t="s">
        <v>176</v>
      </c>
      <c r="H69" s="13">
        <f>D55*(D47+D49/2)</f>
        <v>510937.4534821753</v>
      </c>
      <c r="I69" s="13">
        <f>H69+H51</f>
        <v>708433.43307680322</v>
      </c>
      <c r="J69" s="13">
        <f>MAX(ABS(H69),ABS(I69))</f>
        <v>708433.43307680322</v>
      </c>
    </row>
    <row r="70" spans="2:10">
      <c r="C70" s="16"/>
      <c r="H70" s="16"/>
    </row>
    <row r="71" spans="2:10">
      <c r="B71" s="303" t="s">
        <v>167</v>
      </c>
      <c r="C71" s="303"/>
      <c r="D71" s="303"/>
      <c r="E71" s="303"/>
      <c r="G71" s="303" t="s">
        <v>167</v>
      </c>
      <c r="H71" s="303"/>
      <c r="I71" s="303"/>
      <c r="J71" s="303"/>
    </row>
    <row r="72" spans="2:10">
      <c r="B72" s="28"/>
      <c r="C72" s="28" t="s">
        <v>168</v>
      </c>
      <c r="D72" s="28" t="s">
        <v>169</v>
      </c>
      <c r="E72" s="28" t="s">
        <v>170</v>
      </c>
      <c r="G72" s="86"/>
      <c r="H72" s="86" t="s">
        <v>168</v>
      </c>
      <c r="I72" s="86" t="s">
        <v>169</v>
      </c>
      <c r="J72" s="86" t="s">
        <v>170</v>
      </c>
    </row>
    <row r="73" spans="2:10">
      <c r="B73" s="1" t="s">
        <v>177</v>
      </c>
      <c r="C73" s="13">
        <f>-C58*(C47+C49/2+C45/2)</f>
        <v>-1514410.9567692003</v>
      </c>
      <c r="D73" s="13">
        <f>G46+C73</f>
        <v>-1113657.4611379881</v>
      </c>
      <c r="E73" s="13">
        <f>MAX(ABS(C73),ABS(D73))</f>
        <v>1514410.9567692003</v>
      </c>
      <c r="G73" s="1" t="s">
        <v>177</v>
      </c>
      <c r="H73" s="13">
        <f>-D56*(C47+C49/2)</f>
        <v>-322676.44047983672</v>
      </c>
      <c r="I73" s="13">
        <f>H46+H73</f>
        <v>-42148.993537988164</v>
      </c>
      <c r="J73" s="13">
        <f>MAX(ABS(H73),ABS(I73))</f>
        <v>322676.44047983672</v>
      </c>
    </row>
    <row r="74" spans="2:10">
      <c r="B74" s="1" t="s">
        <v>178</v>
      </c>
      <c r="C74" s="13">
        <f>G52+D74</f>
        <v>-588358.03746957239</v>
      </c>
      <c r="D74" s="13">
        <f>-C59*(D47+D49/2+D45/2)</f>
        <v>-674616.00950787426</v>
      </c>
      <c r="E74" s="13">
        <f>MAX(ABS(C74),ABS(D74))</f>
        <v>674616.00950787426</v>
      </c>
      <c r="G74" s="1" t="s">
        <v>178</v>
      </c>
      <c r="H74" s="13">
        <f>H52+I74</f>
        <v>-317937.49242474488</v>
      </c>
      <c r="I74" s="13">
        <f>-D59*(D47+D49/2)</f>
        <v>-378318.07285155618</v>
      </c>
      <c r="J74" s="13">
        <f>MAX(ABS(H74),ABS(I74))</f>
        <v>378318.07285155618</v>
      </c>
    </row>
    <row r="76" spans="2:10">
      <c r="B76" s="321" t="s">
        <v>173</v>
      </c>
      <c r="C76" s="322"/>
      <c r="D76" s="323"/>
    </row>
    <row r="77" spans="2:10">
      <c r="C77" s="28" t="s">
        <v>171</v>
      </c>
      <c r="D77" s="28" t="s">
        <v>172</v>
      </c>
    </row>
    <row r="78" spans="2:10">
      <c r="C78" s="1">
        <v>0</v>
      </c>
      <c r="D78" s="1">
        <v>0</v>
      </c>
    </row>
    <row r="79" spans="2:10">
      <c r="C79" s="13">
        <f>C47+C49/2+C45/2</f>
        <v>53.107799856849624</v>
      </c>
      <c r="D79" s="13">
        <f>-C67</f>
        <v>-622296.09668122977</v>
      </c>
    </row>
    <row r="80" spans="2:10">
      <c r="C80" s="13">
        <f>C47+C49+C46+D49/2+C45/2</f>
        <v>130.66345647907735</v>
      </c>
      <c r="D80" s="13">
        <f>-D69</f>
        <v>-1203740.4339822561</v>
      </c>
    </row>
    <row r="81" spans="2:4">
      <c r="C81" s="13">
        <f>C80</f>
        <v>130.66345647907735</v>
      </c>
      <c r="D81" s="13">
        <f>-C69</f>
        <v>-921603.32027564477</v>
      </c>
    </row>
    <row r="82" spans="2:4">
      <c r="C82" s="13">
        <f>C47+C49+C46+D49+D47+C45/2+D45/2</f>
        <v>187.86131324445546</v>
      </c>
      <c r="D82" s="1">
        <v>0</v>
      </c>
    </row>
    <row r="84" spans="2:4">
      <c r="B84" s="321" t="s">
        <v>174</v>
      </c>
      <c r="C84" s="322"/>
      <c r="D84" s="323"/>
    </row>
    <row r="85" spans="2:4">
      <c r="C85" s="28" t="s">
        <v>171</v>
      </c>
      <c r="D85" s="28" t="s">
        <v>172</v>
      </c>
    </row>
    <row r="86" spans="2:4">
      <c r="C86" s="13">
        <v>0</v>
      </c>
      <c r="D86" s="1">
        <v>0</v>
      </c>
    </row>
    <row r="87" spans="2:4">
      <c r="C87" s="13">
        <f>C47+C49/2+C45/2</f>
        <v>53.107799856849624</v>
      </c>
      <c r="D87" s="13">
        <f>-C73</f>
        <v>1514410.9567692003</v>
      </c>
    </row>
    <row r="88" spans="2:4">
      <c r="C88" s="13">
        <f>C87</f>
        <v>53.107799856849624</v>
      </c>
      <c r="D88" s="13">
        <f>-D73</f>
        <v>1113657.4611379881</v>
      </c>
    </row>
    <row r="89" spans="2:4">
      <c r="C89" s="13">
        <f>C47+C49+C46+D49/2+C45/2</f>
        <v>130.66345647907735</v>
      </c>
      <c r="D89" s="13">
        <f>-C74</f>
        <v>588358.03746957239</v>
      </c>
    </row>
    <row r="90" spans="2:4">
      <c r="C90" s="13">
        <f>C89</f>
        <v>130.66345647907735</v>
      </c>
      <c r="D90" s="13">
        <f>-D74</f>
        <v>674616.00950787426</v>
      </c>
    </row>
    <row r="91" spans="2:4">
      <c r="C91" s="13">
        <f>C47+C49+C46+D49+D47+C45/2+D45/2</f>
        <v>187.86131324445546</v>
      </c>
      <c r="D91" s="1">
        <v>0</v>
      </c>
    </row>
    <row r="93" spans="2:4">
      <c r="B93" s="1" t="s">
        <v>183</v>
      </c>
      <c r="C93" s="86" t="s">
        <v>166</v>
      </c>
    </row>
    <row r="94" spans="2:4">
      <c r="B94" s="1"/>
      <c r="C94" s="89" t="s">
        <v>124</v>
      </c>
      <c r="D94" s="90" t="s">
        <v>123</v>
      </c>
    </row>
    <row r="95" spans="2:4">
      <c r="B95" s="1" t="s">
        <v>180</v>
      </c>
      <c r="C95" s="13">
        <f>(C67^2+E73^2)^(1/2)</f>
        <v>1637282.1925151751</v>
      </c>
      <c r="D95" s="13">
        <f>(H67^2+J73^2)^(1/2)</f>
        <v>456333.39838485984</v>
      </c>
    </row>
    <row r="96" spans="2:4">
      <c r="B96" s="1" t="s">
        <v>181</v>
      </c>
      <c r="C96" s="13">
        <f>(E69^2+E74^2)^(1/2)</f>
        <v>1379890.5002528711</v>
      </c>
      <c r="D96" s="13">
        <f>(J69^2+J74^2)^(1/2)</f>
        <v>803120.47249905218</v>
      </c>
    </row>
    <row r="97" spans="2:5" ht="16.2" thickBot="1"/>
    <row r="98" spans="2:5" ht="16.2" thickBot="1">
      <c r="B98" s="327" t="s">
        <v>251</v>
      </c>
      <c r="C98" s="328"/>
    </row>
    <row r="99" spans="2:5">
      <c r="B99" s="261" t="s">
        <v>218</v>
      </c>
      <c r="C99" s="262">
        <v>5</v>
      </c>
    </row>
    <row r="100" spans="2:5">
      <c r="B100" s="29" t="s">
        <v>121</v>
      </c>
      <c r="C100" s="29" t="s">
        <v>187</v>
      </c>
    </row>
    <row r="101" spans="2:5">
      <c r="B101" s="2" t="s">
        <v>197</v>
      </c>
      <c r="C101" s="33">
        <f>(((32*RISULTATI!C95/(PI()))^2+3*(16*RISULTATI!$C$12*10^3/PI())^2)^(1/2)*(C99/Tabelle!$D$36))^(1/3)</f>
        <v>46.990530532341559</v>
      </c>
      <c r="D101" s="303" t="s">
        <v>255</v>
      </c>
      <c r="E101" s="303"/>
    </row>
    <row r="102" spans="2:5">
      <c r="B102" s="1" t="s">
        <v>198</v>
      </c>
      <c r="C102" s="12">
        <v>40</v>
      </c>
      <c r="D102" s="3">
        <f>Tabelle!$D$36/RISULTATI!C111</f>
        <v>3.0840324097683531</v>
      </c>
      <c r="E102" s="23" t="b">
        <f>IF(D102&gt;=5,TRUE,FALSE)</f>
        <v>0</v>
      </c>
    </row>
    <row r="103" spans="2:5">
      <c r="B103" s="28" t="s">
        <v>129</v>
      </c>
      <c r="C103" s="28" t="s">
        <v>187</v>
      </c>
      <c r="D103" s="31"/>
    </row>
    <row r="104" spans="2:5">
      <c r="B104" s="2" t="s">
        <v>197</v>
      </c>
      <c r="C104" s="33">
        <f>(((32*RISULTATI!C96/(PI()))^2+3*(16*RISULTATI!$C$12*10^3/PI())^2)^(1/2)*(C99/Tabelle!$D$36))^(1/3)</f>
        <v>45.119713906966865</v>
      </c>
      <c r="D104" s="31"/>
    </row>
    <row r="105" spans="2:5">
      <c r="B105" s="1" t="s">
        <v>198</v>
      </c>
      <c r="C105" s="12">
        <v>45</v>
      </c>
      <c r="D105" s="3">
        <f>Tabelle!$D$36/RISULTATI!C115</f>
        <v>4.9603067440303938</v>
      </c>
      <c r="E105" s="23" t="b">
        <f>IF(D105&gt;=5,TRUE,FALSE)</f>
        <v>0</v>
      </c>
    </row>
    <row r="106" spans="2:5" ht="16.2" thickBot="1"/>
    <row r="107" spans="2:5" ht="16.2" thickBot="1">
      <c r="B107" s="327" t="s">
        <v>182</v>
      </c>
      <c r="C107" s="328"/>
      <c r="D107" s="56"/>
    </row>
    <row r="108" spans="2:5">
      <c r="B108" s="29" t="s">
        <v>121</v>
      </c>
      <c r="C108" s="293" t="s">
        <v>124</v>
      </c>
      <c r="D108" s="89" t="s">
        <v>123</v>
      </c>
    </row>
    <row r="109" spans="2:5">
      <c r="B109" s="1" t="s">
        <v>184</v>
      </c>
      <c r="C109" s="13">
        <f>(32*C95)/(PI()*C102^3)</f>
        <v>260.58155417512631</v>
      </c>
      <c r="D109" s="13">
        <f>(32*D95)/(PI()*C102^3)</f>
        <v>72.627716050873573</v>
      </c>
    </row>
    <row r="110" spans="2:5">
      <c r="B110" s="1" t="s">
        <v>185</v>
      </c>
      <c r="C110" s="13">
        <f>(16*C12*10^3)/(PI()*C102^3)</f>
        <v>87.619664722932541</v>
      </c>
      <c r="D110" s="13">
        <f>(16*D12*10^3)/(PI()*C102^3)</f>
        <v>61.333765306052754</v>
      </c>
    </row>
    <row r="111" spans="2:5">
      <c r="B111" s="1" t="s">
        <v>190</v>
      </c>
      <c r="C111" s="13">
        <f>(C109^2+3*C110^2)^(1/2)</f>
        <v>301.55325120913818</v>
      </c>
      <c r="D111" s="13">
        <f>(D109^2+3*D110^2)^(1/2)</f>
        <v>128.68674150284559</v>
      </c>
      <c r="E111" s="31"/>
    </row>
    <row r="112" spans="2:5">
      <c r="B112" s="28" t="s">
        <v>129</v>
      </c>
      <c r="C112" s="303" t="s">
        <v>186</v>
      </c>
      <c r="D112" s="303"/>
    </row>
    <row r="113" spans="2:7">
      <c r="B113" s="1" t="s">
        <v>188</v>
      </c>
      <c r="C113" s="13">
        <f>(32*C96)/(PI()*C105^3)</f>
        <v>154.24361282426042</v>
      </c>
      <c r="D113" s="13">
        <f>(32*D96)/(PI()*C105^3)</f>
        <v>89.772487881234085</v>
      </c>
    </row>
    <row r="114" spans="2:7">
      <c r="B114" s="1" t="s">
        <v>189</v>
      </c>
      <c r="C114" s="13">
        <f>(16*C12*10^3)/(PI()*C105^3)</f>
        <v>61.538090998822298</v>
      </c>
      <c r="D114" s="13">
        <f>(16*D12*10^3)/(PI()*C105^3)</f>
        <v>43.07666369917559</v>
      </c>
    </row>
    <row r="115" spans="2:7">
      <c r="B115" s="1" t="s">
        <v>191</v>
      </c>
      <c r="C115" s="13">
        <f>(C113^2+3*C114^2)^(1/2)</f>
        <v>187.48840505060136</v>
      </c>
      <c r="D115" s="13">
        <f>(D113^2+3*D114^2)^(1/2)</f>
        <v>116.73001519207448</v>
      </c>
    </row>
    <row r="116" spans="2:7" ht="16.2" thickBot="1"/>
    <row r="117" spans="2:7" ht="16.2" thickBot="1">
      <c r="B117" s="338" t="s">
        <v>193</v>
      </c>
      <c r="C117" s="339"/>
      <c r="D117" s="269"/>
      <c r="E117" s="269"/>
    </row>
    <row r="118" spans="2:7">
      <c r="B118" s="29" t="s">
        <v>215</v>
      </c>
      <c r="C118" s="29" t="s">
        <v>187</v>
      </c>
      <c r="E118" s="35" t="s">
        <v>214</v>
      </c>
      <c r="F118" s="35" t="s">
        <v>187</v>
      </c>
    </row>
    <row r="119" spans="2:7">
      <c r="B119" s="35" t="s">
        <v>194</v>
      </c>
      <c r="C119" s="12">
        <v>55</v>
      </c>
      <c r="E119" s="35" t="s">
        <v>194</v>
      </c>
      <c r="F119" s="12">
        <v>60</v>
      </c>
    </row>
    <row r="120" spans="2:7">
      <c r="B120" s="35" t="s">
        <v>195</v>
      </c>
      <c r="C120" s="36">
        <f>C102</f>
        <v>40</v>
      </c>
      <c r="E120" s="35" t="s">
        <v>195</v>
      </c>
      <c r="F120" s="36">
        <f>C105</f>
        <v>45</v>
      </c>
    </row>
    <row r="121" spans="2:7">
      <c r="B121" s="35" t="s">
        <v>196</v>
      </c>
      <c r="C121" s="12">
        <v>3</v>
      </c>
      <c r="E121" s="35" t="s">
        <v>196</v>
      </c>
      <c r="F121" s="36">
        <f>C121</f>
        <v>3</v>
      </c>
    </row>
    <row r="122" spans="2:7">
      <c r="B122" s="35" t="s">
        <v>206</v>
      </c>
      <c r="C122" s="3">
        <f>C121/C120</f>
        <v>7.4999999999999997E-2</v>
      </c>
      <c r="E122" s="35" t="s">
        <v>206</v>
      </c>
      <c r="F122" s="3">
        <f>F121/F120</f>
        <v>6.6666666666666666E-2</v>
      </c>
    </row>
    <row r="123" spans="2:7">
      <c r="B123" s="35" t="s">
        <v>207</v>
      </c>
      <c r="C123" s="3">
        <f>C119/C120</f>
        <v>1.375</v>
      </c>
      <c r="D123" s="38"/>
      <c r="E123" s="35" t="s">
        <v>207</v>
      </c>
      <c r="F123" s="3">
        <f>F119/F120</f>
        <v>1.3333333333333333</v>
      </c>
      <c r="G123" s="38"/>
    </row>
    <row r="124" spans="2:7">
      <c r="B124" s="35" t="s">
        <v>208</v>
      </c>
      <c r="C124" s="12">
        <v>1.75</v>
      </c>
      <c r="D124" s="38" t="s">
        <v>205</v>
      </c>
      <c r="E124" s="35" t="s">
        <v>208</v>
      </c>
      <c r="F124" s="12">
        <v>1.85</v>
      </c>
      <c r="G124" s="38" t="s">
        <v>205</v>
      </c>
    </row>
    <row r="125" spans="2:7">
      <c r="B125" s="37" t="s">
        <v>210</v>
      </c>
      <c r="C125" s="21">
        <f>Tabelle!E36/6.89476</f>
        <v>147.9384344052585</v>
      </c>
      <c r="D125" s="38"/>
      <c r="E125" s="37" t="s">
        <v>210</v>
      </c>
      <c r="F125" s="21">
        <f>Tabelle!E36/6.89476</f>
        <v>147.9384344052585</v>
      </c>
      <c r="G125" s="38"/>
    </row>
    <row r="126" spans="2:7">
      <c r="B126" s="37" t="s">
        <v>209</v>
      </c>
      <c r="C126" s="12">
        <v>3.5000000000000003E-2</v>
      </c>
      <c r="D126" s="38" t="s">
        <v>256</v>
      </c>
      <c r="E126" s="37" t="s">
        <v>209</v>
      </c>
      <c r="F126" s="12">
        <v>3.5000000000000003E-2</v>
      </c>
      <c r="G126" s="38" t="s">
        <v>205</v>
      </c>
    </row>
    <row r="127" spans="2:7">
      <c r="B127" s="37" t="s">
        <v>211</v>
      </c>
      <c r="C127" s="39">
        <f>1/(1+(C126/(C121^(1/2))))</f>
        <v>0.98019298604766592</v>
      </c>
      <c r="D127" s="40"/>
      <c r="E127" s="37" t="s">
        <v>211</v>
      </c>
      <c r="F127" s="39">
        <f>1/(1+(F126/(F121^(1/2))))</f>
        <v>0.98019298604766592</v>
      </c>
      <c r="G127" s="40"/>
    </row>
    <row r="128" spans="2:7">
      <c r="B128" s="37" t="s">
        <v>212</v>
      </c>
      <c r="C128" s="39">
        <f>1+C127*(C124-1)</f>
        <v>1.7351447395357495</v>
      </c>
      <c r="D128" s="40"/>
      <c r="E128" s="37" t="s">
        <v>212</v>
      </c>
      <c r="F128" s="39">
        <f>1+F127*(F124-1)</f>
        <v>1.8331640381405161</v>
      </c>
      <c r="G128" s="40"/>
    </row>
    <row r="129" spans="1:7">
      <c r="D129" s="41"/>
    </row>
    <row r="130" spans="1:7" ht="16.2" customHeight="1">
      <c r="B130" s="335" t="s">
        <v>217</v>
      </c>
      <c r="C130" s="42"/>
      <c r="D130" s="41"/>
    </row>
    <row r="131" spans="1:7">
      <c r="B131" s="336"/>
      <c r="C131" s="42"/>
    </row>
    <row r="133" spans="1:7" ht="16.2" thickBot="1">
      <c r="B133" s="43" t="s">
        <v>216</v>
      </c>
      <c r="C133" s="44">
        <f>0.5*Tabelle!E36</f>
        <v>510</v>
      </c>
    </row>
    <row r="134" spans="1:7">
      <c r="B134" s="343" t="s">
        <v>215</v>
      </c>
      <c r="C134" s="344"/>
      <c r="D134" s="46" t="s">
        <v>114</v>
      </c>
      <c r="E134" s="319" t="s">
        <v>214</v>
      </c>
      <c r="F134" s="320"/>
      <c r="G134" s="46" t="s">
        <v>114</v>
      </c>
    </row>
    <row r="135" spans="1:7" ht="16.2" thickBot="1">
      <c r="A135" s="165" t="s">
        <v>363</v>
      </c>
      <c r="B135" s="45" t="s">
        <v>218</v>
      </c>
      <c r="C135" s="249">
        <f>((C128*D109/C133)+(D110*3^(1/2))/Tabelle!E36)^(-1)</f>
        <v>2.8469957763829483</v>
      </c>
      <c r="D135" s="47" t="b">
        <f>IF(C135&gt;2,TRUE,FALSE)</f>
        <v>1</v>
      </c>
      <c r="E135" s="48" t="s">
        <v>218</v>
      </c>
      <c r="F135" s="249">
        <f>((F128*D113/C133)+(D114*3^(1/2))/Tabelle!E36)^(-1)</f>
        <v>2.5263385472062549</v>
      </c>
      <c r="G135" s="47" t="b">
        <f>IF(F135&gt;=2,TRUE,FALSE)</f>
        <v>1</v>
      </c>
    </row>
    <row r="136" spans="1:7" ht="16.2" thickBot="1"/>
    <row r="137" spans="1:7" ht="16.2" thickBot="1">
      <c r="B137" s="333" t="s">
        <v>219</v>
      </c>
      <c r="C137" s="334"/>
    </row>
    <row r="138" spans="1:7" ht="16.2" thickBot="1">
      <c r="B138" s="94"/>
      <c r="C138" s="94"/>
    </row>
    <row r="139" spans="1:7" ht="16.2" thickBot="1">
      <c r="B139" s="95" t="s">
        <v>220</v>
      </c>
      <c r="C139" s="107" t="s">
        <v>286</v>
      </c>
    </row>
    <row r="140" spans="1:7">
      <c r="B140" s="41"/>
    </row>
    <row r="141" spans="1:7">
      <c r="B141" s="41"/>
    </row>
    <row r="142" spans="1:7">
      <c r="B142" s="41"/>
    </row>
    <row r="143" spans="1:7">
      <c r="B143" s="41"/>
    </row>
    <row r="144" spans="1:7">
      <c r="B144" s="41"/>
    </row>
    <row r="145" spans="2:11">
      <c r="B145" s="41"/>
    </row>
    <row r="146" spans="2:11">
      <c r="B146" s="41"/>
    </row>
    <row r="147" spans="2:11">
      <c r="B147" s="41"/>
      <c r="C147" s="1" t="s">
        <v>240</v>
      </c>
      <c r="D147" s="1" t="s">
        <v>121</v>
      </c>
      <c r="E147" s="1" t="s">
        <v>129</v>
      </c>
      <c r="F147" s="1" t="s">
        <v>241</v>
      </c>
    </row>
    <row r="148" spans="2:11">
      <c r="B148" s="55" t="s">
        <v>228</v>
      </c>
      <c r="C148" s="3">
        <f>Tabelle!E109</f>
        <v>3.0156190903021507</v>
      </c>
      <c r="D148" s="3">
        <f>Tabelle!F109</f>
        <v>2.437690759315446</v>
      </c>
      <c r="E148" s="3">
        <f>Tabelle!G109</f>
        <v>3.0982022207450388</v>
      </c>
      <c r="F148" s="3">
        <f>Tabelle!H109</f>
        <v>2.4502709801314775</v>
      </c>
    </row>
    <row r="149" spans="2:11">
      <c r="B149" s="55" t="s">
        <v>233</v>
      </c>
      <c r="C149" s="3">
        <f>1-((Geometria!B21*SIN(RADIANS(Geometria!K2)))/(PI()*Geometria!G11))*Geometria!K2/120</f>
        <v>0.65243402846931264</v>
      </c>
      <c r="D149" s="3">
        <f>1-((Geometria!B21*SIN(RADIANS(Geometria!K2)))/(PI()*Geometria!G11))*Geometria!K2/120</f>
        <v>0.65243402846931264</v>
      </c>
      <c r="E149" s="3">
        <f>1-((Geometria!C21*SIN(RADIANS(Geometria!L2)))/(PI()*Geometria!O11))*Geometria!L2/120</f>
        <v>0.84007960572664508</v>
      </c>
      <c r="F149" s="3">
        <f>1-((Geometria!C21*SIN(RADIANS(Geometria!L2)))/(PI()*Geometria!O11))*Geometria!L2/120</f>
        <v>0.84007960572664508</v>
      </c>
    </row>
    <row r="150" spans="2:11">
      <c r="B150" s="1" t="s">
        <v>245</v>
      </c>
      <c r="C150" s="270">
        <v>1</v>
      </c>
      <c r="D150" s="3">
        <f>IF(((2*Geometria!H21-RISULTATI!C120)/(2*Geometria!G11))&lt;=1.75, Evitare, (IF(((2*Geometria!H21-RISULTATI!C120)/(2*Geometria!G11))&gt;=3.5, 1, 1.15*LOG(8.324*Geometria!G11/(Geometria!H21-RISULTATI!C120/2),exp))))</f>
        <v>1</v>
      </c>
      <c r="E150" s="3">
        <f>IF(((2*Geometria!I21-RISULTATI!F120)/(2*Geometria!O11))&lt;=1.75, "Evitare", (IF(((2*Geometria!I21-RISULTATI!F120)/(2*Geometria!O11))&gt;=3.5, 1, 1.15*LN(8.324*Geometria!O11/(Geometria!I21-RISULTATI!F120/2)))))</f>
        <v>1.1546590044100362</v>
      </c>
      <c r="F150" s="211">
        <f>IF(((2*Geometria!J21-RISULTATI!C398)/(2*Geometria!O11))&lt;=1.75, "Evitare", (IF(((2*Geometria!J21-RISULTATI!C398)/(2*Geometria!O11))&gt;=3.5, 1, 1.15*LN(8.324*Geometria!O11/(Geometria!J21-RISULTATI!C398/2)))))</f>
        <v>1</v>
      </c>
    </row>
    <row r="151" spans="2:11">
      <c r="B151" s="36" t="s">
        <v>262</v>
      </c>
      <c r="C151" s="1">
        <v>1</v>
      </c>
      <c r="D151" s="1">
        <v>1</v>
      </c>
      <c r="E151" s="1">
        <v>1</v>
      </c>
      <c r="F151" s="1">
        <v>1</v>
      </c>
    </row>
    <row r="152" spans="2:11" ht="16.2" thickBot="1">
      <c r="B152" s="96" t="s">
        <v>263</v>
      </c>
      <c r="C152" s="43">
        <v>1.6</v>
      </c>
      <c r="D152" s="43">
        <v>1.6</v>
      </c>
      <c r="E152" s="43">
        <v>1.6</v>
      </c>
      <c r="F152" s="43">
        <v>1.6</v>
      </c>
    </row>
    <row r="153" spans="2:11">
      <c r="B153" s="49" t="s">
        <v>264</v>
      </c>
      <c r="C153" s="97">
        <f>IF(C157&lt;0.2,1+(23.9/(C158)+0.0087)*C157*2,1+(23.9/(C158)+0.0087)*C157*(-0.357*C157+2.071))</f>
        <v>1.1380607596697236</v>
      </c>
      <c r="D153" s="97">
        <f>IF(D157&lt;0.2,1+(23.9/(D158)+0.0087)*D157*2,1+(23.9/(D158)+0.0087)*D157*(-0.357*D157+2.071))</f>
        <v>1.1376998456684007</v>
      </c>
      <c r="E153" s="97">
        <f>IF(E157&lt;0.2,1+(23.9/(E158)+0.0087)*E157*2,1+(23.9/(E158)+0.0087)*E157*(-0.357*E157+2.071))</f>
        <v>1.0438723736023641</v>
      </c>
      <c r="F153" s="98">
        <f>IF(F157&lt;0.2,1+(23.9/(F158)+0.0087)*F157*2,1+(23.9/(F158)+0.0087)*F157*(-0.357*F157+2.071))</f>
        <v>1.0437482375416023</v>
      </c>
      <c r="G153" s="57"/>
      <c r="K153" s="1" t="s">
        <v>273</v>
      </c>
    </row>
    <row r="154" spans="2:11">
      <c r="B154" s="154" t="s">
        <v>265</v>
      </c>
      <c r="C154" s="3">
        <f>D2</f>
        <v>146.60765716752366</v>
      </c>
      <c r="D154" s="3">
        <f>C154/Geometria!D2</f>
        <v>41.414592420204421</v>
      </c>
      <c r="E154" s="3">
        <f>D154</f>
        <v>41.414592420204421</v>
      </c>
      <c r="F154" s="53">
        <f>E154/Geometria!E2</f>
        <v>11.699037406837407</v>
      </c>
      <c r="J154" s="1" t="s">
        <v>274</v>
      </c>
      <c r="K154" s="13">
        <f>E21</f>
        <v>8047.3482902806527</v>
      </c>
    </row>
    <row r="155" spans="2:11">
      <c r="B155" s="154" t="s">
        <v>266</v>
      </c>
      <c r="C155" s="3">
        <f>C154*Geometria!B16/1000</f>
        <v>3.9784235558274119</v>
      </c>
      <c r="D155" s="3">
        <f>D154*Geometria!C16/1000</f>
        <v>3.9665239838757844</v>
      </c>
      <c r="E155" s="3">
        <f>E154*Geometria!D16/1000</f>
        <v>1.8222104947962585</v>
      </c>
      <c r="F155" s="53">
        <f>F154*Geometria!E16/1000</f>
        <v>1.8167602141537971</v>
      </c>
      <c r="J155" s="1" t="s">
        <v>275</v>
      </c>
      <c r="K155" s="13">
        <f>E26</f>
        <v>17517.185907530937</v>
      </c>
    </row>
    <row r="156" spans="2:11">
      <c r="B156" s="154" t="s">
        <v>267</v>
      </c>
      <c r="C156" s="23" t="b">
        <f>IF((C155*Geometria!D6/100)*(Geometria!D2^2/(1+Geometria!D2^2))^(1/2)&lt;10,TRUE,NON VALIDA)</f>
        <v>1</v>
      </c>
      <c r="D156" s="23" t="b">
        <f>IF((D155*Geometria!J6/100)*(Geometria!D2^2/(1+Geometria!D2^2))^(1/2)&lt;10,TRUE,NON VALIDA)</f>
        <v>1</v>
      </c>
      <c r="E156" s="23" t="b">
        <f>IF((E155*Geometria!F6/100)*(Geometria!E2^2/(1+Geometria!E2^2))^(1/2)&lt;10,TRUE,NON VALIDA)</f>
        <v>1</v>
      </c>
      <c r="F156" s="99" t="b">
        <f>IF((F155*Geometria!L6/100)*(Geometria!E2^2/(1+Geometria!E2^2))^(1/2)&lt;10,TRUE,NON VALIDA)</f>
        <v>1</v>
      </c>
    </row>
    <row r="157" spans="2:11">
      <c r="B157" s="154" t="s">
        <v>268</v>
      </c>
      <c r="C157" s="100">
        <f>(C155*Geometria!D6/100)*(Geometria!D2^2/(1+Geometria!D2^2))^(1/2)</f>
        <v>0.65086156385535643</v>
      </c>
      <c r="D157" s="100">
        <f>(D155*Geometria!D6/100)*(Geometria!D2^2/(1+Geometria!D2^2))^(1/2)</f>
        <v>0.64891481939716478</v>
      </c>
      <c r="E157" s="100">
        <f>(E155*Geometria!F6/100)*(Geometria!E2^2/(1+Geometria!E2^2))^(1/2)</f>
        <v>0.29810973006620356</v>
      </c>
      <c r="F157" s="101">
        <f>(F155*Geometria!F6/100)*(Geometria!E2^2/(1+Geometria!E2^2))^(1/2)</f>
        <v>0.29721807583868748</v>
      </c>
    </row>
    <row r="158" spans="2:11" ht="16.2" thickBot="1">
      <c r="B158" s="67" t="s">
        <v>269</v>
      </c>
      <c r="C158" s="102">
        <f>IF((C152*K154/Geometria!B21)&lt;100,100,(C152*K154/Geometria!B21))</f>
        <v>224.06026089691338</v>
      </c>
      <c r="D158" s="102">
        <f>IF((E21*D152/Geometria!B21)&lt;100,100,(E21*D152/Geometria!B21))</f>
        <v>224.06026089691338</v>
      </c>
      <c r="E158" s="102">
        <f>IF((E26*E152/Geometria!C21)&lt;100,100,(E26*E152/Geometria!C21))</f>
        <v>360.96644846914228</v>
      </c>
      <c r="F158" s="54">
        <f>IF((F152*K155/Geometria!C21)&lt;100,100,(F152*K155/Geometria!C21))</f>
        <v>360.96644846914228</v>
      </c>
      <c r="G158" s="57" t="s">
        <v>270</v>
      </c>
    </row>
    <row r="159" spans="2:11">
      <c r="B159" s="103" t="s">
        <v>272</v>
      </c>
      <c r="C159" s="2">
        <v>1</v>
      </c>
      <c r="D159" s="2">
        <v>1</v>
      </c>
      <c r="E159" s="2">
        <v>1</v>
      </c>
      <c r="F159" s="2">
        <v>1</v>
      </c>
    </row>
    <row r="160" spans="2:11">
      <c r="B160" s="1" t="s">
        <v>271</v>
      </c>
      <c r="C160" s="1">
        <v>1</v>
      </c>
      <c r="D160" s="1">
        <v>1</v>
      </c>
      <c r="E160" s="1">
        <v>1</v>
      </c>
      <c r="F160" s="1">
        <v>1</v>
      </c>
    </row>
    <row r="161" spans="2:8">
      <c r="B161" s="104" t="s">
        <v>276</v>
      </c>
      <c r="C161" s="3">
        <f>K154/(Geometria!B21*Geometria!G11)*C148*C149*C150*C151</f>
        <v>91.841017795900527</v>
      </c>
      <c r="D161" s="3">
        <f>E21/(Geometria!B21*Geometria!G11)*D148*D149*D150*D151</f>
        <v>74.240145622887823</v>
      </c>
      <c r="E161" s="3">
        <f>E26/(Geometria!C21*Geometria!O11)*E148*E149*E150*E151</f>
        <v>135.60034631849132</v>
      </c>
      <c r="F161" s="3">
        <f>K155/(Geometria!C21*Geometria!O11)*F148*F149*F150*F151</f>
        <v>92.877690481913447</v>
      </c>
    </row>
    <row r="162" spans="2:8">
      <c r="B162" s="105" t="s">
        <v>277</v>
      </c>
      <c r="C162" s="106">
        <f>C161*C152*C153*C159*C160</f>
        <v>167.23305357062907</v>
      </c>
      <c r="D162" s="106">
        <f>D161*D152*D153*D159*D160</f>
        <v>135.14080354809451</v>
      </c>
      <c r="E162" s="106">
        <f>E161*E152*E153*E159*E160</f>
        <v>226.47912859645783</v>
      </c>
      <c r="F162" s="106">
        <f>F161*F152*F153*F159*F160</f>
        <v>155.10548119589058</v>
      </c>
    </row>
    <row r="167" spans="2:8">
      <c r="C167" s="1" t="s">
        <v>240</v>
      </c>
      <c r="D167" s="1" t="s">
        <v>121</v>
      </c>
      <c r="E167" s="1" t="s">
        <v>129</v>
      </c>
      <c r="F167" s="1" t="s">
        <v>241</v>
      </c>
    </row>
    <row r="168" spans="2:8">
      <c r="B168" s="106" t="s">
        <v>278</v>
      </c>
      <c r="C168" s="106">
        <f>0*Tabelle!$I$22+500</f>
        <v>500</v>
      </c>
      <c r="D168" s="106">
        <f>0*Tabelle!$I$22+500</f>
        <v>500</v>
      </c>
      <c r="E168" s="106">
        <f>0*Tabelle!$I$22+500</f>
        <v>500</v>
      </c>
      <c r="F168" s="106">
        <f>0*Tabelle!$I$22+500</f>
        <v>500</v>
      </c>
    </row>
    <row r="169" spans="2:8">
      <c r="B169" s="106" t="s">
        <v>279</v>
      </c>
      <c r="C169" s="106">
        <v>1</v>
      </c>
      <c r="D169" s="106">
        <v>1</v>
      </c>
      <c r="E169" s="106">
        <v>1</v>
      </c>
      <c r="F169" s="106">
        <v>1</v>
      </c>
    </row>
    <row r="170" spans="2:8">
      <c r="B170" s="106" t="s">
        <v>280</v>
      </c>
      <c r="C170" s="106">
        <v>2</v>
      </c>
      <c r="D170" s="106">
        <v>2</v>
      </c>
      <c r="E170" s="106">
        <v>2</v>
      </c>
      <c r="F170" s="106">
        <v>2</v>
      </c>
    </row>
    <row r="171" spans="2:8">
      <c r="B171" s="106" t="s">
        <v>281</v>
      </c>
      <c r="C171" s="106">
        <v>1</v>
      </c>
      <c r="D171" s="106">
        <v>1</v>
      </c>
      <c r="E171" s="106">
        <v>1</v>
      </c>
      <c r="F171" s="106">
        <v>1</v>
      </c>
    </row>
    <row r="172" spans="2:8">
      <c r="B172" s="106" t="s">
        <v>284</v>
      </c>
      <c r="C172" s="106">
        <f>1.674-0.529*(6*$H$172+1)^(0.1)</f>
        <v>1.0433353750062602</v>
      </c>
      <c r="D172" s="106">
        <f t="shared" ref="D172:F172" si="0">1.674-0.529*(6*$H$172+1)^(0.1)</f>
        <v>1.0433353750062602</v>
      </c>
      <c r="E172" s="106">
        <f t="shared" si="0"/>
        <v>1.0433353750062602</v>
      </c>
      <c r="F172" s="106">
        <f t="shared" si="0"/>
        <v>1.0433353750062602</v>
      </c>
      <c r="G172" s="1" t="s">
        <v>285</v>
      </c>
      <c r="H172" s="1">
        <v>0.8</v>
      </c>
    </row>
    <row r="173" spans="2:8">
      <c r="B173" s="106" t="s">
        <v>282</v>
      </c>
      <c r="C173" s="106">
        <f>IF(Geometria!G11&lt;=5,1,1.05-0.01*Geometria!G11)</f>
        <v>1</v>
      </c>
      <c r="D173" s="106">
        <f>IF(Geometria!O11&lt;=5,1,1.05-0.01*Geometria!O11)</f>
        <v>1</v>
      </c>
      <c r="E173" s="106">
        <f>IF(Geometria!G11&lt;=5,1,1.05-0.01*Geometria!G11)</f>
        <v>1</v>
      </c>
      <c r="F173" s="106">
        <f>IF(Geometria!O11&lt;=5,1,1.05-0.01*Geometria!O11)</f>
        <v>1</v>
      </c>
    </row>
    <row r="174" spans="2:8">
      <c r="B174" s="106" t="s">
        <v>283</v>
      </c>
      <c r="C174" s="106">
        <v>1.6</v>
      </c>
      <c r="D174" s="106">
        <v>1.6</v>
      </c>
      <c r="E174" s="106">
        <v>1.6</v>
      </c>
      <c r="F174" s="106">
        <v>1.6</v>
      </c>
    </row>
    <row r="175" spans="2:8">
      <c r="B175" s="108" t="s">
        <v>287</v>
      </c>
      <c r="C175" s="3">
        <f>C168*C169*C170*C171*C172*C173/C174</f>
        <v>652.08460937891255</v>
      </c>
      <c r="D175" s="3">
        <f>D168*D169*D170*D171*D172*D173/D174</f>
        <v>652.08460937891255</v>
      </c>
      <c r="E175" s="3">
        <f>E168*E169*E170*E171*E172*E173/E174</f>
        <v>652.08460937891255</v>
      </c>
      <c r="F175" s="3">
        <f>F168*F169*F170*F171*F172*F173/F174</f>
        <v>652.08460937891255</v>
      </c>
    </row>
    <row r="177" spans="2:14" ht="16.2" thickBot="1"/>
    <row r="178" spans="2:14">
      <c r="B178" s="49" t="s">
        <v>288</v>
      </c>
      <c r="C178" s="273" t="b">
        <f>IF(C162&lt;C175,TRUE,FALSE)</f>
        <v>1</v>
      </c>
      <c r="D178" s="273" t="b">
        <f>IF(D162&lt;D175,TRUE,FALSE)</f>
        <v>1</v>
      </c>
      <c r="E178" s="273" t="b">
        <f>IF(E162&lt;E175,TRUE,FALSE)</f>
        <v>1</v>
      </c>
      <c r="F178" s="274" t="b">
        <f>IF(F162&lt;F175,TRUE,FALSE)</f>
        <v>1</v>
      </c>
    </row>
    <row r="179" spans="2:14" ht="16.2" thickBot="1">
      <c r="B179" s="45" t="s">
        <v>524</v>
      </c>
      <c r="C179" s="267">
        <f>C175/C162*C174</f>
        <v>6.2388107657534269</v>
      </c>
      <c r="D179" s="267">
        <f>D175/D162*D174</f>
        <v>7.7203579349367519</v>
      </c>
      <c r="E179" s="267">
        <f>E175/E162*E174</f>
        <v>4.6067616979632708</v>
      </c>
      <c r="F179" s="268">
        <f>F175/F162*F174</f>
        <v>6.7266183436069484</v>
      </c>
    </row>
    <row r="180" spans="2:14" ht="16.2" thickBot="1"/>
    <row r="181" spans="2:14" ht="16.2" thickBot="1">
      <c r="B181" s="95" t="s">
        <v>289</v>
      </c>
    </row>
    <row r="183" spans="2:14">
      <c r="C183" s="43" t="s">
        <v>291</v>
      </c>
      <c r="D183" s="43" t="s">
        <v>121</v>
      </c>
      <c r="E183" s="43" t="s">
        <v>292</v>
      </c>
      <c r="F183" s="43" t="s">
        <v>241</v>
      </c>
    </row>
    <row r="184" spans="2:14">
      <c r="B184" s="1" t="s">
        <v>290</v>
      </c>
      <c r="C184" s="331">
        <f>Geometria!B21*SIN(RADIANS(Geometria!K2))/(PI()*Geometria!G11)</f>
        <v>2.0853958291841246</v>
      </c>
      <c r="D184" s="332"/>
      <c r="E184" s="331">
        <f>Geometria!C21*SIN(RADIANS(Geometria!L2))/(PI()*Geometria!O11)</f>
        <v>1.2793631541868393</v>
      </c>
      <c r="F184" s="332"/>
      <c r="G184" s="317" t="s">
        <v>328</v>
      </c>
      <c r="H184" s="318"/>
      <c r="I184" s="318"/>
      <c r="J184" s="318"/>
      <c r="K184" s="258"/>
      <c r="L184" s="258"/>
      <c r="M184" s="258"/>
      <c r="N184" s="258"/>
    </row>
    <row r="185" spans="2:14">
      <c r="B185" s="1" t="s">
        <v>298</v>
      </c>
      <c r="C185" s="331">
        <f>((Geometria!G16^2-Geometria!G26^2)^(1/2)+(Geometria!H16^2-Geometria!H26^2)^(1/2)-(Geometria!B16+Geometria!C16)*SIN(RADIANS(RISULTATI!C199)))/(PI()*Geometria!G11*COS(RADIANS(RISULTATI!C199)))</f>
        <v>1.6074335890182705</v>
      </c>
      <c r="D185" s="332"/>
      <c r="E185" s="331">
        <f>((Geometria!I16^2-Geometria!I26^2)^(1/2)+(Geometria!J16^2-Geometria!J26^2)^(1/2)-(Geometria!D16+Geometria!E16)*SIN(RADIANS(RISULTATI!E199)))/(PI()*Geometria!O11*COS(RADIANS(RISULTATI!E199)))</f>
        <v>1.6262794914770089</v>
      </c>
      <c r="F185" s="332"/>
      <c r="G185" s="317"/>
      <c r="H185" s="318"/>
      <c r="I185" s="318"/>
      <c r="J185" s="318"/>
    </row>
    <row r="186" spans="2:14">
      <c r="E186" s="109"/>
    </row>
    <row r="197" spans="2:6" ht="16.2" thickBot="1">
      <c r="C197" s="43" t="s">
        <v>291</v>
      </c>
      <c r="D197" s="43" t="s">
        <v>121</v>
      </c>
      <c r="E197" s="43" t="s">
        <v>292</v>
      </c>
      <c r="F197" s="43" t="s">
        <v>241</v>
      </c>
    </row>
    <row r="198" spans="2:6">
      <c r="B198" s="49" t="s">
        <v>293</v>
      </c>
      <c r="C198" s="97">
        <f>(2*COS(RADIANS(Geometria!K2))*COS(RADIANS(C200))/((COS(RADIANS(C199)))^2*SIN(RADIANS(C200))))^(1/2)</f>
        <v>2.3572410045728676</v>
      </c>
      <c r="D198" s="97">
        <f>(2*COS(RADIANS(Geometria!K2))*COS(RADIANS(D200))/((COS(RADIANS(D199)))^2*SIN(RADIANS(D200))))^(1/2)</f>
        <v>2.3572410045728676</v>
      </c>
      <c r="E198" s="97">
        <f>(2*COS(RADIANS(Geometria!L2))*COS(RADIANS(E200))/((COS(RADIANS(E199)))^2*SIN(RADIANS(E200))))^(1/2)</f>
        <v>2.4168586214317558</v>
      </c>
      <c r="F198" s="98">
        <f>(2*COS(RADIANS(Geometria!L2))*COS(RADIANS(F200))/((COS(RADIANS(F199)))^2*SIN(RADIANS(F200))))^(1/2)</f>
        <v>2.4168586214317558</v>
      </c>
    </row>
    <row r="199" spans="2:6">
      <c r="B199" s="155" t="s">
        <v>294</v>
      </c>
      <c r="C199" s="3">
        <f>ATAN(TAN(RADIANS(Geometria!J2)/COS(RADIANS(Geometria!K2))))*180/PI()</f>
        <v>21.283555449518243</v>
      </c>
      <c r="D199" s="3">
        <f>ATAN(TAN(RADIANS(Geometria!J2)/COS(RADIANS(Geometria!K2))))*180/PI()</f>
        <v>21.283555449518243</v>
      </c>
      <c r="E199" s="3">
        <f>ATAN(TAN(RADIANS(Geometria!J2)/COS(RADIANS(Geometria!L2))))*180/PI()</f>
        <v>20.705523608201659</v>
      </c>
      <c r="F199" s="53">
        <f>ATAN(TAN(RADIANS(Geometria!J2)/COS(RADIANS(Geometria!L2))))*180/PI()</f>
        <v>20.705523608201659</v>
      </c>
    </row>
    <row r="200" spans="2:6" ht="16.2" thickBot="1">
      <c r="B200" s="156" t="s">
        <v>295</v>
      </c>
      <c r="C200" s="102">
        <f>C199</f>
        <v>21.283555449518243</v>
      </c>
      <c r="D200" s="102">
        <f t="shared" ref="D200:F200" si="1">D199</f>
        <v>21.283555449518243</v>
      </c>
      <c r="E200" s="102">
        <f t="shared" si="1"/>
        <v>20.705523608201659</v>
      </c>
      <c r="F200" s="54">
        <f t="shared" si="1"/>
        <v>20.705523608201659</v>
      </c>
    </row>
    <row r="201" spans="2:6">
      <c r="B201" s="33" t="s">
        <v>296</v>
      </c>
      <c r="C201" s="33">
        <f>(1/(PI()*2*((1-0.3^2)/(Tabelle!$C$22*1000))))^(1/2)</f>
        <v>191.64567250641844</v>
      </c>
      <c r="D201" s="33">
        <f>(1/(PI()*2*((1-0.3^2)/(Tabelle!$C$22*1000))))^(1/2)</f>
        <v>191.64567250641844</v>
      </c>
      <c r="E201" s="33">
        <f>(1/(PI()*2*((1-0.3^2)/(Tabelle!$C$22*1000))))^(1/2)</f>
        <v>191.64567250641844</v>
      </c>
      <c r="F201" s="33">
        <f>(1/(PI()*2*((1-0.3^2)/(Tabelle!$C$22*1000))))^(1/2)</f>
        <v>191.64567250641844</v>
      </c>
    </row>
    <row r="202" spans="2:6">
      <c r="B202" s="33" t="s">
        <v>297</v>
      </c>
      <c r="C202" s="33">
        <f>1/(COS(RADIANS(Geometria!K2)))^(1/2)</f>
        <v>1.0315899245707627</v>
      </c>
      <c r="D202" s="33">
        <f>1/(COS(RADIANS(Geometria!K2)))^(1/2)</f>
        <v>1.0315899245707627</v>
      </c>
      <c r="E202" s="33">
        <f>1/(COS(RADIANS(Geometria!L2)))^(1/2)</f>
        <v>1.0174852236814464</v>
      </c>
      <c r="F202" s="33">
        <f>1/(COS(RADIANS(Geometria!L2)))^(1/2)</f>
        <v>1.0174852236814464</v>
      </c>
    </row>
    <row r="203" spans="2:6">
      <c r="B203" s="33" t="s">
        <v>306</v>
      </c>
      <c r="C203" s="33">
        <f>IF(C184&gt;=1,(1/C185)^(1/2),((4-C185)*(1-C184)/3+C184/C185)^(1/2))</f>
        <v>0.78873929956871658</v>
      </c>
      <c r="D203" s="33">
        <f>IF(C184&gt;=1,(1/C185)^(1/2),((4-D185)*(1-D184)/3+D184/D185)^(1/2))</f>
        <v>0.78873929956871658</v>
      </c>
      <c r="E203" s="33">
        <f>IF(E184&gt;=1,(1/E185)^(1/2),((4-E185)*(1-E184)/3+E184/E185)^(1/2))</f>
        <v>0.78415588721318819</v>
      </c>
      <c r="F203" s="33">
        <f>IF(E184&gt;=1,(1/E185)^(1/2),((4-F185)*(1-F184)/3+F184/F185)^(1/2))</f>
        <v>0.78415588721318819</v>
      </c>
    </row>
    <row r="204" spans="2:6">
      <c r="B204" s="33" t="s">
        <v>307</v>
      </c>
      <c r="C204" s="110">
        <v>1</v>
      </c>
      <c r="D204" s="110">
        <v>1</v>
      </c>
      <c r="E204" s="110">
        <v>1</v>
      </c>
      <c r="F204" s="110">
        <v>1</v>
      </c>
    </row>
    <row r="205" spans="2:6">
      <c r="B205" s="112" t="s">
        <v>310</v>
      </c>
      <c r="C205" s="110">
        <v>1</v>
      </c>
      <c r="D205" s="110">
        <v>1</v>
      </c>
      <c r="E205" s="110">
        <v>1</v>
      </c>
      <c r="F205" s="110">
        <v>1</v>
      </c>
    </row>
    <row r="206" spans="2:6">
      <c r="B206" s="1" t="s">
        <v>311</v>
      </c>
      <c r="C206" s="110">
        <v>1</v>
      </c>
      <c r="D206" s="110">
        <v>1</v>
      </c>
      <c r="E206" s="110">
        <v>1</v>
      </c>
      <c r="F206" s="110">
        <v>1</v>
      </c>
    </row>
    <row r="207" spans="2:6">
      <c r="B207" s="96" t="s">
        <v>263</v>
      </c>
      <c r="C207" s="43">
        <v>1.6</v>
      </c>
      <c r="D207" s="43">
        <v>1.6</v>
      </c>
      <c r="E207" s="43">
        <v>1.6</v>
      </c>
      <c r="F207" s="43">
        <v>1.6</v>
      </c>
    </row>
    <row r="208" spans="2:6">
      <c r="B208" s="1" t="s">
        <v>264</v>
      </c>
      <c r="C208" s="113">
        <f>C153</f>
        <v>1.1380607596697236</v>
      </c>
      <c r="D208" s="113">
        <f t="shared" ref="D208:F208" si="2">D153</f>
        <v>1.1376998456684007</v>
      </c>
      <c r="E208" s="113">
        <f t="shared" si="2"/>
        <v>1.0438723736023641</v>
      </c>
      <c r="F208" s="113">
        <f t="shared" si="2"/>
        <v>1.0437482375416023</v>
      </c>
    </row>
    <row r="209" spans="2:6">
      <c r="B209" s="108" t="s">
        <v>309</v>
      </c>
      <c r="C209" s="113">
        <f>C198*C201*C203*C202*(K154/(2*Geometria!B16*Geometria!B21)*(Geometria!D2+1)/Geometria!D2)^(1/2)</f>
        <v>668.65195583937873</v>
      </c>
      <c r="D209" s="113">
        <f>D198*D201*D203*D202*(E21/(2*Geometria!B16*Geometria!B21)*(Geometria!D2+1)/Geometria!D2)^(1/2)</f>
        <v>668.65195583937873</v>
      </c>
      <c r="E209" s="113">
        <f>E198*E201*E203*E202*(E26/(2*Geometria!C16*Geometria!C21)*(Geometria!E2+1)/Geometria!E2)^(1/2)</f>
        <v>454.18957288843853</v>
      </c>
      <c r="F209" s="113">
        <f>E198*E201*E203*E202*(K155/(2*Geometria!C16*Geometria!C21)*(Geometria!E2+1)/Geometria!E2)^(1/2)</f>
        <v>454.18957288843853</v>
      </c>
    </row>
    <row r="210" spans="2:6">
      <c r="B210" s="108" t="s">
        <v>308</v>
      </c>
      <c r="C210" s="110">
        <f>C209*C204*(C207*C208*C206*C205)^(1/2)</f>
        <v>902.28312529456286</v>
      </c>
      <c r="D210" s="110">
        <f t="shared" ref="D210:F210" si="3">D209*D204*(D207*D208*D206*D205)^(1/2)</f>
        <v>902.14004311176279</v>
      </c>
      <c r="E210" s="110">
        <f t="shared" si="3"/>
        <v>586.97668737641118</v>
      </c>
      <c r="F210" s="110">
        <f t="shared" si="3"/>
        <v>586.94178505407979</v>
      </c>
    </row>
    <row r="211" spans="2:6">
      <c r="C211" s="111"/>
      <c r="D211" s="111"/>
      <c r="E211" s="111"/>
      <c r="F211" s="111"/>
    </row>
    <row r="212" spans="2:6">
      <c r="C212" s="111"/>
      <c r="D212" s="111"/>
      <c r="E212" s="111"/>
      <c r="F212" s="111"/>
    </row>
    <row r="217" spans="2:6">
      <c r="C217" s="43" t="s">
        <v>291</v>
      </c>
      <c r="D217" s="43" t="s">
        <v>121</v>
      </c>
      <c r="E217" s="43" t="s">
        <v>292</v>
      </c>
      <c r="F217" s="43" t="s">
        <v>241</v>
      </c>
    </row>
    <row r="218" spans="2:6">
      <c r="B218" s="106" t="s">
        <v>312</v>
      </c>
      <c r="C218" s="106">
        <f>0*Tabelle!$I$22+1500</f>
        <v>1500</v>
      </c>
      <c r="D218" s="106">
        <f>0*Tabelle!$I$22+1500</f>
        <v>1500</v>
      </c>
      <c r="E218" s="106">
        <f>0*Tabelle!$I$22+1500</f>
        <v>1500</v>
      </c>
      <c r="F218" s="106">
        <f>0*Tabelle!$I$22+1500</f>
        <v>1500</v>
      </c>
    </row>
    <row r="219" spans="2:6" ht="16.2" thickBot="1">
      <c r="B219" s="43" t="s">
        <v>313</v>
      </c>
      <c r="C219" s="114">
        <v>1</v>
      </c>
      <c r="D219" s="115">
        <v>1</v>
      </c>
      <c r="E219" s="115">
        <v>1</v>
      </c>
      <c r="F219" s="115">
        <v>1</v>
      </c>
    </row>
    <row r="220" spans="2:6">
      <c r="B220" s="49" t="s">
        <v>314</v>
      </c>
      <c r="C220" s="116">
        <f>C222+4*(1-C222)/(1.2+134/C221)^2</f>
        <v>1.0199972222923663</v>
      </c>
      <c r="D220" s="116">
        <f>D222+4*(1-D222)/(1.2+134/D221)^2</f>
        <v>1.0199972222923663</v>
      </c>
      <c r="E220" s="116">
        <f>E222+4*(1-E222)/(1.2+134/E221)^2</f>
        <v>1.0199972222923663</v>
      </c>
      <c r="F220" s="117">
        <f>F222+4*(1-F222)/(1.2+134/F221)^2</f>
        <v>1.0199972222923663</v>
      </c>
    </row>
    <row r="221" spans="2:6">
      <c r="B221" s="154" t="s">
        <v>315</v>
      </c>
      <c r="C221" s="272">
        <f>D415</f>
        <v>220</v>
      </c>
      <c r="D221" s="272">
        <f>D415</f>
        <v>220</v>
      </c>
      <c r="E221" s="272">
        <f>D415</f>
        <v>220</v>
      </c>
      <c r="F221" s="272">
        <f>D415</f>
        <v>220</v>
      </c>
    </row>
    <row r="222" spans="2:6" ht="16.2" thickBot="1">
      <c r="B222" s="67" t="s">
        <v>316</v>
      </c>
      <c r="C222" s="119">
        <f>IF(C218&lt;850,0.83,IF(C218&lt;=1200,C218/4375+0.6357,0.91))</f>
        <v>0.91</v>
      </c>
      <c r="D222" s="119">
        <f t="shared" ref="D222:F222" si="4">IF(D218&lt;850,0.83,IF(D218&lt;=1200,D218/4375+0.6357,0.91))</f>
        <v>0.91</v>
      </c>
      <c r="E222" s="119">
        <f t="shared" si="4"/>
        <v>0.91</v>
      </c>
      <c r="F222" s="120">
        <f t="shared" si="4"/>
        <v>0.91</v>
      </c>
    </row>
    <row r="223" spans="2:6">
      <c r="B223" s="121" t="s">
        <v>317</v>
      </c>
      <c r="C223" s="116">
        <f>C224+2*(1-C224)/(0.8+32/C155)^(1/2)</f>
        <v>0.97707807779026234</v>
      </c>
      <c r="D223" s="116">
        <f t="shared" ref="D223:F223" si="5">D224+2*(1-D224)/(0.8+32/D155)^(1/2)</f>
        <v>0.97701398005883833</v>
      </c>
      <c r="E223" s="116">
        <f>E224+2*(1-E224)/(0.8+32/E155)^(1/2)</f>
        <v>0.9626722333490827</v>
      </c>
      <c r="F223" s="117">
        <f t="shared" si="5"/>
        <v>0.96262546094116408</v>
      </c>
    </row>
    <row r="224" spans="2:6" ht="16.2" thickBot="1">
      <c r="B224" s="157" t="s">
        <v>318</v>
      </c>
      <c r="C224" s="119">
        <f>C222+0.02</f>
        <v>0.93</v>
      </c>
      <c r="D224" s="119">
        <f t="shared" ref="D224:F224" si="6">D222+0.02</f>
        <v>0.93</v>
      </c>
      <c r="E224" s="119">
        <f t="shared" si="6"/>
        <v>0.93</v>
      </c>
      <c r="F224" s="120">
        <f t="shared" si="6"/>
        <v>0.93</v>
      </c>
    </row>
    <row r="225" spans="2:8">
      <c r="B225" s="121" t="s">
        <v>319</v>
      </c>
      <c r="C225" s="123">
        <f>(3/C229)^(C226)</f>
        <v>0.95632709060732879</v>
      </c>
      <c r="D225" s="123">
        <f>(3/D229)^(D226)</f>
        <v>0.95632709060732879</v>
      </c>
      <c r="E225" s="123">
        <f>(3/E229)^(E226)</f>
        <v>0.9680528487908866</v>
      </c>
      <c r="F225" s="97">
        <f>(3/F229)^(F226)</f>
        <v>0.9680528487908866</v>
      </c>
    </row>
    <row r="226" spans="2:8">
      <c r="B226" s="158" t="s">
        <v>320</v>
      </c>
      <c r="C226" s="110">
        <f>IF(C218&lt;850,0.15,IF(C218&lt;=1200,0.32-0.0002*C218,0.08))</f>
        <v>0.08</v>
      </c>
      <c r="D226" s="110">
        <f t="shared" ref="D226:F226" si="7">IF(D218&lt;850,0.15,IF(D218&lt;=1200,0.32-0.0002*D218,0.08))</f>
        <v>0.08</v>
      </c>
      <c r="E226" s="110">
        <f t="shared" si="7"/>
        <v>0.08</v>
      </c>
      <c r="F226" s="118">
        <f t="shared" si="7"/>
        <v>0.08</v>
      </c>
    </row>
    <row r="227" spans="2:8">
      <c r="B227" s="158" t="s">
        <v>321</v>
      </c>
      <c r="C227" s="110">
        <f>0.5*2*Geometria!G26*TAN(RADIANS(C200))</f>
        <v>9.8501221934050367</v>
      </c>
      <c r="D227" s="110">
        <f>0.5*2*Geometria!H26*TAN(RADIANS(D200))</f>
        <v>34.765137153194253</v>
      </c>
      <c r="E227" s="110">
        <f>0.5*2*Geometria!I26*TAN(RADIANS(E200))</f>
        <v>15.556591511234307</v>
      </c>
      <c r="F227" s="118">
        <f>0.5*2*Geometria!J26*TAN(RADIANS(F200))</f>
        <v>54.905617098474032</v>
      </c>
    </row>
    <row r="228" spans="2:8">
      <c r="B228" s="158" t="s">
        <v>322</v>
      </c>
      <c r="C228" s="364">
        <f>(C227*D227)/(C227+D227)</f>
        <v>7.6754198909649647</v>
      </c>
      <c r="D228" s="365"/>
      <c r="E228" s="364">
        <f>(E227*F227)/(E227+F227)</f>
        <v>12.122019359403357</v>
      </c>
      <c r="F228" s="366"/>
    </row>
    <row r="229" spans="2:8" ht="16.2" thickBot="1">
      <c r="B229" s="159" t="s">
        <v>323</v>
      </c>
      <c r="C229" s="130">
        <f>6*H229*(10/C228)^(1/3)</f>
        <v>5.242525154373026</v>
      </c>
      <c r="D229" s="130">
        <f>6*H229*(10/C228)^(1/3)</f>
        <v>5.242525154373026</v>
      </c>
      <c r="E229" s="130">
        <f>6*H229*(10/E228)^(1/3)</f>
        <v>4.5017659601701432</v>
      </c>
      <c r="F229" s="132">
        <f>6*H229*(10/E228)^(1/3)</f>
        <v>4.5017659601701432</v>
      </c>
      <c r="G229" s="122" t="s">
        <v>285</v>
      </c>
      <c r="H229" s="1">
        <v>0.8</v>
      </c>
    </row>
    <row r="230" spans="2:8">
      <c r="B230" s="131" t="s">
        <v>324</v>
      </c>
      <c r="C230" s="97">
        <f>(3/C231)^(0.15)</f>
        <v>0.89559912261445418</v>
      </c>
      <c r="D230" s="97">
        <f>(3/D231)^(0.15)</f>
        <v>0.89546633508631424</v>
      </c>
      <c r="E230" s="97">
        <f>(3/E231)^(0.15)</f>
        <v>0.88135728189512896</v>
      </c>
      <c r="F230" s="97">
        <f>(3/F231)^(0.15)</f>
        <v>0.8812266059577416</v>
      </c>
      <c r="G230" s="124" t="s">
        <v>326</v>
      </c>
    </row>
    <row r="231" spans="2:8" ht="16.2" thickBot="1">
      <c r="B231" s="157" t="s">
        <v>325</v>
      </c>
      <c r="C231" s="119">
        <f>(6*$H$229*(10/$C$228)^(0.33))/(C221*C155/1500)^(0.33)</f>
        <v>6.2569621105629132</v>
      </c>
      <c r="D231" s="119">
        <f>(6*$H$229*(10/$C$228)^(0.33))/(D221*D155/1500)^(0.33)</f>
        <v>6.2631502880635042</v>
      </c>
      <c r="E231" s="119">
        <f>(6*$H$229*(10/$E$228)^(0.33))/(E221*E155/1500)^(0.33)</f>
        <v>6.9626506913272923</v>
      </c>
      <c r="F231" s="130">
        <f>(6*$H$229*(10/$E$228)^(0.33))/(F221*F155/1500)^(0.33)</f>
        <v>6.9695367995681927</v>
      </c>
      <c r="G231" s="152" t="s">
        <v>326</v>
      </c>
    </row>
    <row r="232" spans="2:8">
      <c r="B232" s="110" t="s">
        <v>327</v>
      </c>
      <c r="C232" s="110">
        <v>1</v>
      </c>
      <c r="D232" s="110">
        <v>1</v>
      </c>
      <c r="E232" s="110">
        <v>1</v>
      </c>
      <c r="F232" s="110">
        <v>1</v>
      </c>
    </row>
    <row r="233" spans="2:8">
      <c r="B233" s="33" t="s">
        <v>337</v>
      </c>
      <c r="C233" s="33">
        <v>1.3</v>
      </c>
      <c r="D233" s="33">
        <v>1.3</v>
      </c>
      <c r="E233" s="33">
        <v>1.3</v>
      </c>
      <c r="F233" s="33">
        <v>1.3</v>
      </c>
    </row>
    <row r="234" spans="2:8">
      <c r="B234" s="108" t="s">
        <v>338</v>
      </c>
      <c r="C234" s="33">
        <f>C218*C219*C220*C223*C225*C230*C232/C233</f>
        <v>984.90940173951049</v>
      </c>
      <c r="D234" s="33">
        <f>D218*D219*D220*D223*D225*D230*D232/D233</f>
        <v>984.69877057299641</v>
      </c>
      <c r="E234" s="33">
        <f>E218*E219*E220*E223*E225*E230*E232/E233</f>
        <v>966.66591556181311</v>
      </c>
      <c r="F234" s="33">
        <f>F218*F219*F220*F223*F225*F230*F232/F233</f>
        <v>966.47563171320382</v>
      </c>
      <c r="H234" s="292"/>
    </row>
    <row r="236" spans="2:8" ht="16.2" thickBot="1"/>
    <row r="237" spans="2:8">
      <c r="B237" s="263" t="s">
        <v>339</v>
      </c>
      <c r="C237" s="264" t="b">
        <f>IF(C210&lt;C234,TRUE,FALSE)</f>
        <v>1</v>
      </c>
      <c r="D237" s="264" t="b">
        <f>IF(D210&lt;D234,TRUE,FALSE)</f>
        <v>1</v>
      </c>
      <c r="E237" s="264" t="b">
        <f>IF(E210&lt;E234,TRUE,FALSE)</f>
        <v>1</v>
      </c>
      <c r="F237" s="265" t="b">
        <f>IF(F210&lt;F234,TRUE,FALSE)</f>
        <v>1</v>
      </c>
    </row>
    <row r="238" spans="2:8" ht="16.2" thickBot="1">
      <c r="B238" s="266" t="s">
        <v>523</v>
      </c>
      <c r="C238" s="267">
        <f>C234/C210*C233</f>
        <v>1.4190470666769535</v>
      </c>
      <c r="D238" s="267">
        <f t="shared" ref="D238:F238" si="8">D234/D210*D233</f>
        <v>1.4189686086091486</v>
      </c>
      <c r="E238" s="267">
        <f t="shared" si="8"/>
        <v>2.1409124369951233</v>
      </c>
      <c r="F238" s="268">
        <f t="shared" si="8"/>
        <v>2.140618291661414</v>
      </c>
    </row>
    <row r="239" spans="2:8">
      <c r="B239" s="38"/>
      <c r="C239" s="41"/>
      <c r="D239" s="41"/>
      <c r="E239" s="41"/>
      <c r="F239" s="41"/>
    </row>
    <row r="240" spans="2:8" ht="16.2" thickBot="1"/>
    <row r="241" spans="2:11" ht="16.2" thickBot="1">
      <c r="B241" s="345" t="s">
        <v>329</v>
      </c>
      <c r="C241" s="346"/>
      <c r="D241" s="347"/>
      <c r="I241" s="1" t="s">
        <v>614</v>
      </c>
      <c r="J241" s="3">
        <f>C267*SIN(RADIANS(C247))</f>
        <v>1522.7848638805747</v>
      </c>
      <c r="K241" s="1" t="s">
        <v>457</v>
      </c>
    </row>
    <row r="242" spans="2:11">
      <c r="B242" s="199"/>
      <c r="C242" s="193"/>
      <c r="D242" s="193"/>
    </row>
    <row r="243" spans="2:11">
      <c r="B243" s="127" t="s">
        <v>330</v>
      </c>
      <c r="C243" s="3">
        <f>(Geometria!$D$16+Geometria!$E$16)*TAN(RADIANS(RISULTATI!$K$17))</f>
        <v>60.92927073592854</v>
      </c>
      <c r="D243" s="128" t="s">
        <v>331</v>
      </c>
    </row>
    <row r="244" spans="2:11">
      <c r="B244" s="127" t="s">
        <v>332</v>
      </c>
      <c r="C244" s="3">
        <f>(Geometria!$B$16+Geometria!$C$16-RISULTATI!$C$243)</f>
        <v>61.983261985039306</v>
      </c>
      <c r="D244" s="128" t="s">
        <v>331</v>
      </c>
    </row>
    <row r="245" spans="2:11">
      <c r="B245" s="127" t="s">
        <v>333</v>
      </c>
      <c r="C245" s="3">
        <f>(Geometria!D16+RISULTATI!F17)*COS(RADIANS(RISULTATI!K17))</f>
        <v>192.21652692630641</v>
      </c>
      <c r="D245" s="128" t="s">
        <v>331</v>
      </c>
    </row>
    <row r="246" spans="2:11">
      <c r="B246" s="127" t="s">
        <v>334</v>
      </c>
      <c r="C246" s="3">
        <f>DEGREES(ATAN(C244/C245))</f>
        <v>17.87273801724362</v>
      </c>
      <c r="D246" s="128" t="s">
        <v>335</v>
      </c>
    </row>
    <row r="247" spans="2:11">
      <c r="B247" s="127" t="s">
        <v>336</v>
      </c>
      <c r="C247" s="3">
        <f>90-C246</f>
        <v>72.12726198275638</v>
      </c>
      <c r="D247" s="128" t="s">
        <v>335</v>
      </c>
    </row>
    <row r="248" spans="2:11" ht="16.2" thickBot="1">
      <c r="B248" s="126"/>
      <c r="C248" s="31"/>
    </row>
    <row r="249" spans="2:11" ht="16.2" thickBot="1">
      <c r="B249" s="134" t="s">
        <v>342</v>
      </c>
      <c r="C249" s="31" t="s">
        <v>192</v>
      </c>
    </row>
    <row r="250" spans="2:11">
      <c r="B250" s="133" t="s">
        <v>343</v>
      </c>
      <c r="C250" s="3">
        <f>(5/(Tabelle!$D$22*10^6)*3^(1/2)*16*RISULTATI!C11/PI())^(1/3)*10^3</f>
        <v>26.771187120213565</v>
      </c>
      <c r="D250" s="288" t="s">
        <v>598</v>
      </c>
    </row>
    <row r="251" spans="2:11">
      <c r="B251" s="127" t="s">
        <v>428</v>
      </c>
      <c r="C251" s="195">
        <v>25</v>
      </c>
      <c r="D251" s="3">
        <f>C251/C250*5</f>
        <v>4.6691989951248312</v>
      </c>
    </row>
    <row r="252" spans="2:11" ht="16.2" thickBot="1">
      <c r="B252" s="126"/>
      <c r="C252" s="31"/>
    </row>
    <row r="253" spans="2:11" ht="16.2" thickBot="1">
      <c r="B253" s="134" t="s">
        <v>148</v>
      </c>
      <c r="C253" s="332" t="s">
        <v>187</v>
      </c>
      <c r="D253" s="363"/>
    </row>
    <row r="254" spans="2:11" ht="16.05" customHeight="1">
      <c r="B254" s="2" t="s">
        <v>202</v>
      </c>
      <c r="C254" s="211">
        <f>M462</f>
        <v>25.25</v>
      </c>
      <c r="D254" s="211">
        <f>M484</f>
        <v>25.25</v>
      </c>
      <c r="I254" s="324" t="s">
        <v>439</v>
      </c>
      <c r="J254" s="324"/>
    </row>
    <row r="255" spans="2:11">
      <c r="B255" s="1" t="s">
        <v>201</v>
      </c>
      <c r="C255" s="211">
        <f>C46+D49+D47</f>
        <v>94.645713530756225</v>
      </c>
      <c r="D255" s="211">
        <f>C47</f>
        <v>10</v>
      </c>
      <c r="I255" s="324"/>
      <c r="J255" s="324"/>
    </row>
    <row r="256" spans="2:11">
      <c r="B256" s="1" t="s">
        <v>203</v>
      </c>
      <c r="C256" s="250">
        <v>5</v>
      </c>
      <c r="D256" s="250">
        <v>15</v>
      </c>
      <c r="I256" s="213"/>
      <c r="J256" s="213"/>
    </row>
    <row r="257" spans="2:10">
      <c r="B257" s="1" t="s">
        <v>340</v>
      </c>
      <c r="C257" s="363">
        <f>Geometria!B21</f>
        <v>57.465599713699248</v>
      </c>
      <c r="D257" s="363"/>
      <c r="I257" s="213"/>
      <c r="J257" s="213"/>
    </row>
    <row r="258" spans="2:10">
      <c r="B258" s="96" t="s">
        <v>341</v>
      </c>
      <c r="C258" s="337">
        <v>80</v>
      </c>
      <c r="D258" s="337"/>
      <c r="I258" s="213"/>
      <c r="J258" s="213"/>
    </row>
    <row r="259" spans="2:10">
      <c r="B259" s="137"/>
      <c r="C259" s="138"/>
      <c r="D259" s="138" t="s">
        <v>199</v>
      </c>
    </row>
    <row r="260" spans="2:10">
      <c r="B260" s="135" t="s">
        <v>344</v>
      </c>
      <c r="C260" s="33">
        <f>C256+C254+C255+C257+D255+D254+D256+C258</f>
        <v>312.61131324445546</v>
      </c>
      <c r="D260" s="136" t="b">
        <f>IF(AND(C260&gt;=E17*0.9,C260&lt;E17*1.1),TRUE, FALSE)</f>
        <v>1</v>
      </c>
    </row>
    <row r="261" spans="2:10" ht="16.2" thickBot="1">
      <c r="C261" s="31"/>
    </row>
    <row r="262" spans="2:10" ht="16.2" thickBot="1">
      <c r="B262" s="145" t="s">
        <v>346</v>
      </c>
      <c r="C262" s="91" t="s">
        <v>379</v>
      </c>
      <c r="D262" s="91" t="s">
        <v>432</v>
      </c>
    </row>
    <row r="263" spans="2:10">
      <c r="B263" s="29" t="s">
        <v>347</v>
      </c>
      <c r="C263" s="13">
        <f>D21</f>
        <v>11496.211843258079</v>
      </c>
      <c r="D263" s="143">
        <f>E21</f>
        <v>8047.3482902806527</v>
      </c>
      <c r="E263" s="200"/>
    </row>
    <row r="264" spans="2:10">
      <c r="B264" s="125" t="s">
        <v>348</v>
      </c>
      <c r="C264" s="13">
        <f>D24</f>
        <v>4452.8166181245806</v>
      </c>
      <c r="D264" s="143">
        <f>E24</f>
        <v>3116.9716326872053</v>
      </c>
      <c r="E264" s="200"/>
    </row>
    <row r="265" spans="2:10">
      <c r="B265" s="125" t="s">
        <v>349</v>
      </c>
      <c r="C265" s="13">
        <f>D23</f>
        <v>4184.2789177645327</v>
      </c>
      <c r="D265" s="143">
        <f>E23</f>
        <v>2928.9952424351723</v>
      </c>
      <c r="E265" s="200"/>
    </row>
    <row r="266" spans="2:10">
      <c r="B266" s="125" t="s">
        <v>351</v>
      </c>
      <c r="C266" s="13">
        <f>C265*Geometria!$B$16</f>
        <v>113546.82376217681</v>
      </c>
      <c r="D266" s="13">
        <f>D265*Geometria!$B$16</f>
        <v>79482.776633523739</v>
      </c>
      <c r="E266" s="94"/>
    </row>
    <row r="267" spans="2:10">
      <c r="B267" s="125" t="s">
        <v>350</v>
      </c>
      <c r="C267" s="13">
        <v>1600</v>
      </c>
      <c r="D267" s="13">
        <v>1600</v>
      </c>
      <c r="E267" s="94"/>
      <c r="I267">
        <f>C267*COS(RADIANS(C247))-C278+C263-C277</f>
        <v>0</v>
      </c>
    </row>
    <row r="268" spans="2:10">
      <c r="C268" s="31"/>
    </row>
    <row r="269" spans="2:10" ht="16.2" thickBot="1">
      <c r="C269" s="31"/>
    </row>
    <row r="270" spans="2:10">
      <c r="B270" s="204" t="s">
        <v>345</v>
      </c>
      <c r="C270" s="31"/>
      <c r="D270" s="139" t="s">
        <v>179</v>
      </c>
    </row>
    <row r="271" spans="2:10">
      <c r="B271" s="202" t="s">
        <v>167</v>
      </c>
      <c r="C271" s="205" t="s">
        <v>126</v>
      </c>
      <c r="D271" s="205" t="s">
        <v>126</v>
      </c>
      <c r="I271">
        <f>C267*SIN(RADIANS(C247))-C273+C264-C272</f>
        <v>0</v>
      </c>
    </row>
    <row r="272" spans="2:10">
      <c r="B272" s="125" t="s">
        <v>155</v>
      </c>
      <c r="C272" s="3">
        <f>(-C273+C267*SIN(RADIANS($C$247))+C264)</f>
        <v>64.910489151663569</v>
      </c>
      <c r="D272" s="3">
        <f>(-D273+D267*SIN(RADIANS($C$247))+D264)</f>
        <v>-119.44994083821393</v>
      </c>
    </row>
    <row r="273" spans="2:4">
      <c r="B273" s="125" t="s">
        <v>156</v>
      </c>
      <c r="C273" s="3">
        <f>(C266+C264*($C$254/2+$C$255+$C$257/2)+C267*SIN(RADIANS($C$247))*($C$254/2+$C$255+$C$257+$D$255+$D$254+$D$256+$C$258/2))/($C$254/2+$C$255+$C$257+$D$255+$D$254/2)</f>
        <v>5910.6909928534915</v>
      </c>
      <c r="D273" s="3">
        <f>(D266+D264*($C$254/2+$C$255+$C$257/2)+D267*SIN(RADIANS($C$247))*($C$254/2+$C$255+$C$257+$D$255+$D$254+$D$256+$C$258/2))/($C$254/2+$C$255+$C$257+$D$255+$D$254/2)</f>
        <v>4759.2064374059937</v>
      </c>
    </row>
    <row r="274" spans="2:4">
      <c r="B274" s="125" t="s">
        <v>352</v>
      </c>
      <c r="C274" s="3">
        <f>C265</f>
        <v>4184.2789177645327</v>
      </c>
      <c r="D274" s="3">
        <f>D265</f>
        <v>2928.9952424351723</v>
      </c>
    </row>
    <row r="275" spans="2:4">
      <c r="C275" s="31"/>
    </row>
    <row r="276" spans="2:4">
      <c r="B276" s="330" t="s">
        <v>165</v>
      </c>
      <c r="C276" s="330"/>
      <c r="D276" s="330"/>
    </row>
    <row r="277" spans="2:4">
      <c r="B277" s="125" t="s">
        <v>154</v>
      </c>
      <c r="C277" s="3">
        <f>C263-C278+C267*COS(RADIANS($C$247))</f>
        <v>2974.0032547793726</v>
      </c>
      <c r="D277" s="3">
        <f>D263-D278+D267*COS(RADIANS($C$247))</f>
        <v>2028.6317636204865</v>
      </c>
    </row>
    <row r="278" spans="2:4">
      <c r="B278" s="125" t="s">
        <v>383</v>
      </c>
      <c r="C278" s="3">
        <f>(C263*($C$254/2+$C$255+$C$257/2)+C267*COS(RADIANS($C$247))*($C$254/2+$C$255+$C$257+$D$255+$D$254+$D$256+$C$258/2))/($C$254/2+$C$255+$C$257+$D$255+$D$254/2)</f>
        <v>9013.2546742346367</v>
      </c>
      <c r="D278" s="3">
        <f>(D263*($C$254/2+$C$255+$C$257/2)+D267*COS(RADIANS($C$247))*($C$254/2+$C$255+$C$257+$D$255+$D$254+$D$256+$C$258/2))/($C$254/2+$C$255+$C$257+$D$255+$D$254/2)</f>
        <v>6509.7626124160961</v>
      </c>
    </row>
    <row r="279" spans="2:4">
      <c r="B279" s="303" t="s">
        <v>353</v>
      </c>
      <c r="C279" s="303"/>
      <c r="D279" s="303"/>
    </row>
    <row r="280" spans="2:4">
      <c r="B280" s="125" t="s">
        <v>260</v>
      </c>
      <c r="C280" s="3">
        <f>(C272^2+C277^2)^(1/2)</f>
        <v>2974.7115374503474</v>
      </c>
      <c r="D280" s="3">
        <f>(D272^2+D277^2)^(1/2)</f>
        <v>2032.1454477315885</v>
      </c>
    </row>
    <row r="281" spans="2:4">
      <c r="B281" s="125" t="s">
        <v>261</v>
      </c>
      <c r="C281" s="3">
        <f>(C273^2+C278^2)^(1/2)</f>
        <v>10778.452014812327</v>
      </c>
      <c r="D281" s="3">
        <f>(D273^2+D278^2)^(1/2)</f>
        <v>8063.9354650106843</v>
      </c>
    </row>
    <row r="282" spans="2:4" ht="16.2" thickBot="1">
      <c r="C282" s="31"/>
    </row>
    <row r="283" spans="2:4" ht="16.2" thickBot="1">
      <c r="B283" s="134" t="s">
        <v>354</v>
      </c>
      <c r="C283" s="129" t="s">
        <v>166</v>
      </c>
    </row>
    <row r="284" spans="2:4">
      <c r="B284" s="329" t="s">
        <v>165</v>
      </c>
      <c r="C284" s="330"/>
    </row>
    <row r="285" spans="2:4">
      <c r="B285" s="1" t="s">
        <v>175</v>
      </c>
      <c r="C285" s="3">
        <f>-C277*(C254/2+C255+C257/2)</f>
        <v>-404474.89147616975</v>
      </c>
    </row>
    <row r="286" spans="2:4">
      <c r="B286" s="1" t="s">
        <v>176</v>
      </c>
      <c r="C286" s="3">
        <f>C267*COS(RADIANS(C247))*(C258/2+D256+D254/2)</f>
        <v>33206.991549244762</v>
      </c>
    </row>
    <row r="287" spans="2:4">
      <c r="C287" s="31"/>
    </row>
    <row r="288" spans="2:4">
      <c r="B288" s="330" t="s">
        <v>167</v>
      </c>
      <c r="C288" s="330"/>
      <c r="D288" s="129" t="s">
        <v>166</v>
      </c>
    </row>
    <row r="289" spans="2:5">
      <c r="B289" s="140"/>
      <c r="C289" s="140" t="s">
        <v>168</v>
      </c>
      <c r="D289" s="140" t="s">
        <v>169</v>
      </c>
      <c r="E289" s="140" t="s">
        <v>170</v>
      </c>
    </row>
    <row r="290" spans="2:5">
      <c r="B290" s="1" t="s">
        <v>177</v>
      </c>
      <c r="C290" s="13">
        <f>-C272*(C254/2+C255+C257/2)</f>
        <v>-8828.0545803343193</v>
      </c>
      <c r="D290" s="13">
        <f>C290-C266</f>
        <v>-122374.87834251113</v>
      </c>
      <c r="E290" s="141">
        <f>MAX(ABS(C290),ABS(D290))</f>
        <v>122374.87834251113</v>
      </c>
    </row>
    <row r="291" spans="2:5">
      <c r="B291" s="1" t="s">
        <v>178</v>
      </c>
      <c r="C291" s="355">
        <f>C267*SIN(RADIANS(C247))*(C258/2+D256+D254/2)</f>
        <v>102978.32641992386</v>
      </c>
      <c r="D291" s="355"/>
    </row>
    <row r="292" spans="2:5">
      <c r="C292" s="31"/>
    </row>
    <row r="293" spans="2:5">
      <c r="B293" s="321" t="s">
        <v>173</v>
      </c>
      <c r="C293" s="322"/>
      <c r="D293" s="323"/>
    </row>
    <row r="294" spans="2:5">
      <c r="C294" s="129" t="s">
        <v>171</v>
      </c>
      <c r="D294" s="129" t="s">
        <v>172</v>
      </c>
    </row>
    <row r="295" spans="2:5">
      <c r="C295" s="1">
        <v>0</v>
      </c>
      <c r="D295" s="1">
        <v>0</v>
      </c>
    </row>
    <row r="296" spans="2:5">
      <c r="C296" s="13">
        <f>C254/2+C255+C257/2</f>
        <v>136.00351338760584</v>
      </c>
      <c r="D296" s="13">
        <f>-C285</f>
        <v>404474.89147616975</v>
      </c>
    </row>
    <row r="297" spans="2:5">
      <c r="C297" s="13">
        <f>C296+C257/2+D255+D254/2</f>
        <v>187.36131324445546</v>
      </c>
      <c r="D297" s="13">
        <f>-C286</f>
        <v>-33206.991549244762</v>
      </c>
    </row>
    <row r="298" spans="2:5">
      <c r="C298" s="13">
        <f>C297+D254/2+D256+C258/2</f>
        <v>254.98631324445546</v>
      </c>
      <c r="D298" s="13">
        <v>0</v>
      </c>
    </row>
    <row r="300" spans="2:5">
      <c r="B300" s="321" t="s">
        <v>174</v>
      </c>
      <c r="C300" s="322"/>
      <c r="D300" s="323"/>
    </row>
    <row r="301" spans="2:5">
      <c r="C301" s="129" t="s">
        <v>171</v>
      </c>
      <c r="D301" s="129" t="s">
        <v>172</v>
      </c>
    </row>
    <row r="302" spans="2:5">
      <c r="C302" s="1">
        <v>0</v>
      </c>
      <c r="D302" s="1">
        <v>0</v>
      </c>
    </row>
    <row r="303" spans="2:5">
      <c r="C303" s="13">
        <f>C296</f>
        <v>136.00351338760584</v>
      </c>
      <c r="D303" s="13">
        <f>-C290</f>
        <v>8828.0545803343193</v>
      </c>
    </row>
    <row r="304" spans="2:5">
      <c r="C304" s="13">
        <f>C303</f>
        <v>136.00351338760584</v>
      </c>
      <c r="D304" s="13">
        <f>-D290</f>
        <v>122374.87834251113</v>
      </c>
    </row>
    <row r="305" spans="2:5">
      <c r="C305" s="13">
        <f>C297</f>
        <v>187.36131324445546</v>
      </c>
      <c r="D305" s="13">
        <f>-C291</f>
        <v>-102978.32641992386</v>
      </c>
    </row>
    <row r="306" spans="2:5">
      <c r="C306" s="13">
        <f>C298</f>
        <v>254.98631324445546</v>
      </c>
      <c r="D306" s="13">
        <f>-D291</f>
        <v>0</v>
      </c>
    </row>
    <row r="308" spans="2:5">
      <c r="B308" s="150" t="s">
        <v>183</v>
      </c>
      <c r="D308" s="41"/>
    </row>
    <row r="309" spans="2:5">
      <c r="B309" s="1"/>
      <c r="C309" s="129" t="s">
        <v>166</v>
      </c>
      <c r="D309" s="144"/>
    </row>
    <row r="310" spans="2:5">
      <c r="B310" s="1" t="s">
        <v>180</v>
      </c>
      <c r="C310" s="13">
        <f>(C285^2+E290^2)^(1/2)</f>
        <v>422582.00231908087</v>
      </c>
    </row>
    <row r="311" spans="2:5">
      <c r="B311" s="1" t="s">
        <v>181</v>
      </c>
      <c r="C311" s="13">
        <f>(C286^2+C291^2)^(1/2)</f>
        <v>108200.00000000001</v>
      </c>
    </row>
    <row r="312" spans="2:5" ht="16.2" thickBot="1">
      <c r="C312" s="31"/>
    </row>
    <row r="313" spans="2:5" ht="16.2" thickBot="1">
      <c r="B313" s="352" t="s">
        <v>251</v>
      </c>
      <c r="C313" s="353"/>
    </row>
    <row r="314" spans="2:5">
      <c r="B314" s="261" t="s">
        <v>218</v>
      </c>
      <c r="C314" s="262">
        <v>5</v>
      </c>
    </row>
    <row r="315" spans="2:5">
      <c r="B315" s="29" t="s">
        <v>438</v>
      </c>
      <c r="C315" s="29" t="s">
        <v>187</v>
      </c>
    </row>
    <row r="316" spans="2:5">
      <c r="B316" s="2" t="s">
        <v>197</v>
      </c>
      <c r="C316" s="33">
        <f>(((32*RISULTATI!C310/PI())^2+3*(16*RISULTATI!$C$11*10^3/PI())^2)^(1/2)*(C314/Tabelle!$D$22))^(1/3)</f>
        <v>32.925959731173286</v>
      </c>
      <c r="D316" s="303" t="s">
        <v>255</v>
      </c>
      <c r="E316" s="303"/>
    </row>
    <row r="317" spans="2:5">
      <c r="B317" s="1" t="s">
        <v>198</v>
      </c>
      <c r="C317" s="12">
        <v>35</v>
      </c>
      <c r="D317" s="3">
        <f>Tabelle!$D$22/RISULTATI!C326</f>
        <v>6.0056332770040104</v>
      </c>
      <c r="E317" s="23" t="b">
        <f>IF(D317&gt;=3,TRUE,FALSE)</f>
        <v>1</v>
      </c>
    </row>
    <row r="318" spans="2:5">
      <c r="B318" s="129" t="s">
        <v>437</v>
      </c>
      <c r="C318" s="129" t="s">
        <v>187</v>
      </c>
      <c r="D318" s="31"/>
    </row>
    <row r="319" spans="2:5">
      <c r="B319" s="2" t="s">
        <v>197</v>
      </c>
      <c r="C319" s="33">
        <f>(((32*RISULTATI!C311/(PI()))^2+3*(16*RISULTATI!$C$11*10^3/PI())^2)^(1/2)*(C314/Tabelle!$D$22))^(1/3)</f>
        <v>27.447007448468941</v>
      </c>
      <c r="D319" s="31"/>
    </row>
    <row r="320" spans="2:5">
      <c r="B320" s="1" t="s">
        <v>198</v>
      </c>
      <c r="C320" s="12">
        <v>25</v>
      </c>
      <c r="D320" s="3">
        <f>Tabelle!$D$22/C330</f>
        <v>3.7783747460644319</v>
      </c>
      <c r="E320" s="23" t="b">
        <f>IF(D320&gt;=3,TRUE,FALSE)</f>
        <v>1</v>
      </c>
    </row>
    <row r="321" spans="2:9" ht="16.2" thickBot="1"/>
    <row r="322" spans="2:9" ht="16.2" thickBot="1">
      <c r="B322" s="352" t="s">
        <v>182</v>
      </c>
      <c r="C322" s="353"/>
      <c r="D322" s="146"/>
    </row>
    <row r="323" spans="2:9">
      <c r="B323" s="29" t="s">
        <v>355</v>
      </c>
      <c r="C323" s="142" t="s">
        <v>124</v>
      </c>
      <c r="D323" s="147"/>
    </row>
    <row r="324" spans="2:9">
      <c r="B324" s="1" t="s">
        <v>184</v>
      </c>
      <c r="C324" s="143">
        <f>(32*C310)/(PI()*C317^3)</f>
        <v>100.39381760858683</v>
      </c>
      <c r="D324" s="148"/>
    </row>
    <row r="325" spans="2:9">
      <c r="B325" s="1" t="s">
        <v>185</v>
      </c>
      <c r="C325" s="143">
        <f>(16*C11*10^3)/(PI()*C317^3)</f>
        <v>36.946573387146856</v>
      </c>
      <c r="D325" s="148"/>
    </row>
    <row r="326" spans="2:9">
      <c r="B326" s="1" t="s">
        <v>190</v>
      </c>
      <c r="C326" s="143">
        <f>(C324^2+3*C325^2)^(1/2)</f>
        <v>119.05488847242555</v>
      </c>
      <c r="D326" s="148"/>
    </row>
    <row r="327" spans="2:9">
      <c r="B327" s="129" t="s">
        <v>356</v>
      </c>
      <c r="C327" s="151" t="s">
        <v>186</v>
      </c>
      <c r="D327" s="149"/>
    </row>
    <row r="328" spans="2:9">
      <c r="B328" s="1" t="s">
        <v>188</v>
      </c>
      <c r="C328" s="143">
        <f>(32*C311)/(PI()*C320^3)</f>
        <v>70.535433595056446</v>
      </c>
      <c r="D328" s="148"/>
    </row>
    <row r="329" spans="2:9">
      <c r="B329" s="1" t="s">
        <v>189</v>
      </c>
      <c r="C329" s="143">
        <f>(16*C11*10^3)/(PI()*C320^3)</f>
        <v>101.38139737433096</v>
      </c>
      <c r="D329" s="148"/>
    </row>
    <row r="330" spans="2:9">
      <c r="B330" s="1" t="s">
        <v>191</v>
      </c>
      <c r="C330" s="143">
        <f>(C328^2+3*C329^2)^(1/2)</f>
        <v>189.23480280635118</v>
      </c>
      <c r="D330" s="148"/>
    </row>
    <row r="331" spans="2:9" ht="16.2" thickBot="1"/>
    <row r="332" spans="2:9" ht="16.2" thickBot="1">
      <c r="B332" s="345" t="s">
        <v>364</v>
      </c>
      <c r="C332" s="346"/>
      <c r="D332" s="347"/>
    </row>
    <row r="333" spans="2:9" ht="16.2" thickBot="1">
      <c r="B333" s="198"/>
      <c r="C333" s="193"/>
      <c r="D333" s="193"/>
    </row>
    <row r="334" spans="2:9" ht="16.2" thickBot="1">
      <c r="B334" s="134" t="s">
        <v>342</v>
      </c>
      <c r="C334" s="31" t="s">
        <v>192</v>
      </c>
      <c r="E334" s="1" t="s">
        <v>371</v>
      </c>
      <c r="F334" s="3">
        <f>3^(1/2)*C13*10^3*5/(Tabelle!D36)</f>
        <v>36296.303372761351</v>
      </c>
      <c r="G334" s="191" t="s">
        <v>392</v>
      </c>
      <c r="H334" s="3" t="s">
        <v>393</v>
      </c>
    </row>
    <row r="335" spans="2:9">
      <c r="B335" s="133" t="s">
        <v>368</v>
      </c>
      <c r="C335" s="3">
        <v>59.611939178228411</v>
      </c>
      <c r="E335" s="1" t="s">
        <v>372</v>
      </c>
      <c r="F335" s="3">
        <f>(PI()*(C335^4-(C335-2*F336)^4))/(16*C335)</f>
        <v>36296.299968407118</v>
      </c>
      <c r="G335" s="66" t="str">
        <f>IF(TRUNC(F335,0)=TRUNC(F334,0),"OK", "RIFAI CONVERGENZA")</f>
        <v>OK</v>
      </c>
      <c r="H335" s="3">
        <f>(Tabelle!D36*(PI()*(C336^4-C337^4)))/(3^(1/2)*16*C13*10^3*C336)</f>
        <v>5.0852245113815684</v>
      </c>
      <c r="I335" t="s">
        <v>568</v>
      </c>
    </row>
    <row r="336" spans="2:9">
      <c r="B336" s="133" t="s">
        <v>434</v>
      </c>
      <c r="C336" s="206">
        <v>60</v>
      </c>
      <c r="E336" s="1" t="s">
        <v>373</v>
      </c>
      <c r="F336" s="250">
        <v>12</v>
      </c>
      <c r="G336" s="1"/>
      <c r="H336" s="1"/>
    </row>
    <row r="337" spans="2:11">
      <c r="B337" s="133" t="s">
        <v>374</v>
      </c>
      <c r="C337" s="3">
        <f>C336-2*F336</f>
        <v>36</v>
      </c>
      <c r="D337" t="s">
        <v>567</v>
      </c>
    </row>
    <row r="338" spans="2:11" ht="16.2" thickBot="1">
      <c r="B338" s="167"/>
      <c r="C338" s="109"/>
      <c r="F338" s="31"/>
      <c r="I338" s="41"/>
      <c r="J338" s="279"/>
    </row>
    <row r="339" spans="2:11" ht="16.2" thickBot="1">
      <c r="B339" s="134" t="s">
        <v>148</v>
      </c>
      <c r="C339" s="332" t="s">
        <v>187</v>
      </c>
      <c r="D339" s="363"/>
      <c r="I339" s="303" t="s">
        <v>566</v>
      </c>
      <c r="J339" s="303"/>
      <c r="K339" s="1">
        <f>(1.6/(Tabelle!$D$62*10^6)*3^(1/2)*16*RISULTATI!C13/PI())^(1/3)*10^3</f>
        <v>33.22446971182756</v>
      </c>
    </row>
    <row r="340" spans="2:11">
      <c r="B340" s="2" t="s">
        <v>202</v>
      </c>
      <c r="C340" s="211">
        <f>M506</f>
        <v>22</v>
      </c>
      <c r="D340" s="211">
        <f>M506</f>
        <v>22</v>
      </c>
      <c r="I340" s="41"/>
      <c r="J340" s="279"/>
    </row>
    <row r="341" spans="2:11">
      <c r="B341" s="1" t="s">
        <v>201</v>
      </c>
      <c r="C341" s="211">
        <f>C47+C49+C46</f>
        <v>77.465599713699248</v>
      </c>
      <c r="D341" s="211">
        <f>D47</f>
        <v>7</v>
      </c>
    </row>
    <row r="342" spans="2:11">
      <c r="B342" s="1" t="s">
        <v>203</v>
      </c>
      <c r="C342" s="250">
        <v>5</v>
      </c>
      <c r="D342" s="250">
        <v>5</v>
      </c>
    </row>
    <row r="343" spans="2:11">
      <c r="B343" s="1" t="s">
        <v>370</v>
      </c>
      <c r="C343" s="363">
        <f>Geometria!C21</f>
        <v>77.645713530756225</v>
      </c>
      <c r="D343" s="363"/>
    </row>
    <row r="344" spans="2:11">
      <c r="B344" s="135" t="s">
        <v>369</v>
      </c>
      <c r="C344" s="33">
        <f>C342+C340+C341+C343+D341+D340+D342</f>
        <v>216.11131324445546</v>
      </c>
      <c r="D344" s="136" t="b">
        <f>IF(AND(C344&lt;=D17*1.1,C344&gt;=D17*0.9),TRUE,FALSE)</f>
        <v>1</v>
      </c>
    </row>
    <row r="345" spans="2:11" ht="16.2" thickBot="1">
      <c r="C345" s="31"/>
    </row>
    <row r="346" spans="2:11" ht="16.2" thickBot="1">
      <c r="B346" s="162" t="s">
        <v>346</v>
      </c>
      <c r="C346" s="175" t="s">
        <v>379</v>
      </c>
      <c r="D346" s="207" t="s">
        <v>432</v>
      </c>
    </row>
    <row r="347" spans="2:11">
      <c r="B347" s="29" t="s">
        <v>375</v>
      </c>
      <c r="C347" s="168">
        <f>D26</f>
        <v>25024.551296472775</v>
      </c>
      <c r="D347" s="13">
        <f>E26</f>
        <v>17517.185907530937</v>
      </c>
    </row>
    <row r="348" spans="2:11">
      <c r="B348" s="160" t="s">
        <v>376</v>
      </c>
      <c r="C348" s="143">
        <f>D29</f>
        <v>9429.4940148520527</v>
      </c>
      <c r="D348" s="13">
        <f>E29</f>
        <v>6600.6458103964351</v>
      </c>
    </row>
    <row r="349" spans="2:11">
      <c r="B349" s="160" t="s">
        <v>377</v>
      </c>
      <c r="C349" s="143">
        <f>D28</f>
        <v>6705.3083108410847</v>
      </c>
      <c r="D349" s="13">
        <f>E28</f>
        <v>4693.715817588758</v>
      </c>
    </row>
    <row r="350" spans="2:11">
      <c r="B350" s="160" t="s">
        <v>378</v>
      </c>
      <c r="C350" s="143">
        <f>C349*Geometria!$E$16</f>
        <v>1041276.8964779315</v>
      </c>
      <c r="D350" s="13">
        <f>D349*Geometria!$E$16</f>
        <v>728893.82753455185</v>
      </c>
      <c r="E350" s="94"/>
    </row>
    <row r="351" spans="2:11">
      <c r="B351" s="161" t="s">
        <v>381</v>
      </c>
      <c r="C351" s="13">
        <f>C350*COS(RADIANS($K$17))</f>
        <v>995778.04837627523</v>
      </c>
      <c r="D351" s="13">
        <f>D350*COS(RADIANS($K$17))</f>
        <v>697044.6338633924</v>
      </c>
    </row>
    <row r="352" spans="2:11">
      <c r="B352" s="161" t="s">
        <v>382</v>
      </c>
      <c r="C352" s="13">
        <f>C350*SIN(RADIANS($K$17))</f>
        <v>304439.90131165355</v>
      </c>
      <c r="D352" s="13">
        <f>D350*SIN(RADIANS($K$17))</f>
        <v>213107.93091815742</v>
      </c>
    </row>
    <row r="353" spans="1:5" ht="16.2" thickBot="1">
      <c r="C353" s="16"/>
    </row>
    <row r="354" spans="1:5" ht="16.2" thickBot="1">
      <c r="B354" s="134" t="s">
        <v>345</v>
      </c>
      <c r="C354" s="31"/>
      <c r="E354" s="139" t="s">
        <v>179</v>
      </c>
    </row>
    <row r="355" spans="1:5">
      <c r="B355" s="201" t="s">
        <v>167</v>
      </c>
      <c r="C355" s="203" t="s">
        <v>126</v>
      </c>
      <c r="D355" s="203" t="s">
        <v>126</v>
      </c>
    </row>
    <row r="356" spans="1:5">
      <c r="B356" s="163" t="s">
        <v>155</v>
      </c>
      <c r="C356" s="143">
        <f>C347*COS(RADIANS($K$17))-C348*SIN(RADIANS($K$17))-C357</f>
        <v>4881.4898465066599</v>
      </c>
      <c r="D356" s="13">
        <f>D347*COS(RADIANS($K$17))-D348*SIN(RADIANS($K$17))-D357</f>
        <v>2920.9735919559025</v>
      </c>
    </row>
    <row r="357" spans="1:5">
      <c r="B357" s="163" t="s">
        <v>156</v>
      </c>
      <c r="C357" s="143">
        <f>((C347*COS(RADIANS($K$17))-C348*SIN(RADIANS($K$17)))*($C$340/2+$C$341+$C$343/2)+$C$352)/($C$340/2+$C$343+$C$341+$D$341+$D$340/2)</f>
        <v>16292.690334356061</v>
      </c>
      <c r="D357" s="13">
        <f>((D347*COS(RADIANS($K$17))-D348*SIN(RADIANS($K$17)))*($C$340/2+$C$341+$C$343/2)+$C$352)/($C$340/2+$C$343+$C$341+$D$341+$D$340/2)</f>
        <v>11900.952534647997</v>
      </c>
    </row>
    <row r="358" spans="1:5">
      <c r="B358" s="16"/>
      <c r="C358" s="16"/>
      <c r="D358" s="153"/>
    </row>
    <row r="359" spans="1:5">
      <c r="B359" s="354" t="s">
        <v>165</v>
      </c>
      <c r="C359" s="354"/>
      <c r="D359" s="354"/>
    </row>
    <row r="360" spans="1:5">
      <c r="B360" s="163" t="s">
        <v>154</v>
      </c>
      <c r="C360" s="143">
        <f>C348*COS(RADIANS($K$17))+C347*SIN(RADIANS($K$17))-C361</f>
        <v>10449.761000614151</v>
      </c>
      <c r="D360" s="13">
        <f>D348*COS(RADIANS($K$17))+D347*SIN(RADIANS($K$17))-D361</f>
        <v>8937.4022712429523</v>
      </c>
    </row>
    <row r="361" spans="1:5">
      <c r="B361" s="163" t="s">
        <v>383</v>
      </c>
      <c r="C361" s="143">
        <f>(((C348*COS(RADIANS($K$17))+C347*SIN(RADIANS($K$17)))*($C$340/2+$C$341+$C$343/2)-$C$351)/($C$340/2+$C$343+$C$341+$D$341+$D$340/2))</f>
        <v>5884.1796945851611</v>
      </c>
      <c r="D361" s="13">
        <f>(((D348*COS(RADIANS($K$17))+D347*SIN(RADIANS($K$17)))*($C$340/2+$C$341+$C$343/2)-$C$351)/($C$340/2+$C$343+$C$341+$D$341+$D$340/2))</f>
        <v>2496.3562153965636</v>
      </c>
    </row>
    <row r="362" spans="1:5">
      <c r="B362" s="163" t="s">
        <v>380</v>
      </c>
      <c r="C362" s="143">
        <f>C349</f>
        <v>6705.3083108410847</v>
      </c>
      <c r="D362" s="13">
        <f>D349</f>
        <v>4693.715817588758</v>
      </c>
    </row>
    <row r="363" spans="1:5">
      <c r="A363" s="41"/>
      <c r="B363" s="170"/>
      <c r="C363" s="153"/>
      <c r="D363" s="170"/>
      <c r="E363" s="41"/>
    </row>
    <row r="364" spans="1:5">
      <c r="B364" s="355" t="s">
        <v>353</v>
      </c>
      <c r="C364" s="355"/>
      <c r="D364" s="355"/>
    </row>
    <row r="365" spans="1:5">
      <c r="B365" s="172" t="s">
        <v>260</v>
      </c>
      <c r="C365" s="168">
        <f>(C356^2+C360^2)^(1/2)</f>
        <v>11533.70920786128</v>
      </c>
      <c r="D365" s="13">
        <f>(D356^2+D360^2)^(1/2)</f>
        <v>9402.6191076169016</v>
      </c>
    </row>
    <row r="366" spans="1:5">
      <c r="B366" s="163" t="s">
        <v>261</v>
      </c>
      <c r="C366" s="143">
        <f>(C357^2+C361^2)^(1/2)</f>
        <v>17322.682500392013</v>
      </c>
      <c r="D366" s="13">
        <f>(D357^2+D361^2)^(1/2)</f>
        <v>12159.953354601885</v>
      </c>
    </row>
    <row r="367" spans="1:5" ht="16.2" thickBot="1">
      <c r="B367" s="16"/>
      <c r="C367" s="16"/>
      <c r="D367" s="16"/>
    </row>
    <row r="368" spans="1:5" ht="16.2" thickBot="1">
      <c r="B368" s="171" t="s">
        <v>354</v>
      </c>
      <c r="C368" s="163"/>
      <c r="D368" s="16"/>
    </row>
    <row r="369" spans="2:5">
      <c r="B369" s="357" t="s">
        <v>165</v>
      </c>
      <c r="C369" s="358"/>
      <c r="D369" s="169" t="s">
        <v>166</v>
      </c>
    </row>
    <row r="370" spans="2:5">
      <c r="B370" s="166"/>
      <c r="C370" s="166" t="s">
        <v>168</v>
      </c>
      <c r="D370" s="166" t="s">
        <v>169</v>
      </c>
      <c r="E370" s="166" t="s">
        <v>170</v>
      </c>
    </row>
    <row r="371" spans="2:5">
      <c r="B371" s="1" t="s">
        <v>384</v>
      </c>
      <c r="C371" s="13">
        <f>-(-D371-C351)</f>
        <v>-334355.89996715891</v>
      </c>
      <c r="D371" s="13">
        <f>-(C360*(C340/2+C341+C343/2))</f>
        <v>-1330133.9483434341</v>
      </c>
      <c r="E371" s="141">
        <f>MAX(ABS(C371),ABS(D371))</f>
        <v>1330133.9483434341</v>
      </c>
    </row>
    <row r="372" spans="2:5">
      <c r="C372" s="31"/>
    </row>
    <row r="373" spans="2:5">
      <c r="B373" s="357" t="s">
        <v>167</v>
      </c>
      <c r="C373" s="358"/>
      <c r="D373" s="169" t="s">
        <v>166</v>
      </c>
    </row>
    <row r="374" spans="2:5">
      <c r="B374" s="166"/>
      <c r="C374" s="166" t="s">
        <v>168</v>
      </c>
      <c r="D374" s="166" t="s">
        <v>169</v>
      </c>
      <c r="E374" s="166" t="s">
        <v>170</v>
      </c>
    </row>
    <row r="375" spans="2:5">
      <c r="B375" s="1" t="s">
        <v>385</v>
      </c>
      <c r="C375" s="13">
        <f>-(C356*(C340/2+C341+C343/2))</f>
        <v>-621357.30788012093</v>
      </c>
      <c r="D375" s="13">
        <f>C375-C351</f>
        <v>-1617135.356256396</v>
      </c>
      <c r="E375" s="141">
        <f>MAX(ABS(C375),ABS(D375))</f>
        <v>1617135.356256396</v>
      </c>
    </row>
    <row r="376" spans="2:5">
      <c r="C376" s="31"/>
    </row>
    <row r="377" spans="2:5">
      <c r="B377" s="321" t="s">
        <v>173</v>
      </c>
      <c r="C377" s="322"/>
      <c r="D377" s="323"/>
    </row>
    <row r="378" spans="2:5">
      <c r="C378" s="160" t="s">
        <v>171</v>
      </c>
      <c r="D378" s="160" t="s">
        <v>172</v>
      </c>
    </row>
    <row r="379" spans="2:5">
      <c r="C379" s="1">
        <v>0</v>
      </c>
      <c r="D379" s="1">
        <v>0</v>
      </c>
    </row>
    <row r="380" spans="2:5">
      <c r="C380" s="13">
        <f>C340/2+C341+C343/2</f>
        <v>127.28845647907735</v>
      </c>
      <c r="D380" s="13">
        <f>C371</f>
        <v>-334355.89996715891</v>
      </c>
    </row>
    <row r="381" spans="2:5">
      <c r="C381" s="13">
        <f>C340/2+C341+C343/2</f>
        <v>127.28845647907735</v>
      </c>
      <c r="D381" s="13">
        <f>D371</f>
        <v>-1330133.9483434341</v>
      </c>
    </row>
    <row r="382" spans="2:5">
      <c r="C382" s="13">
        <f>C340/2+C341+C343+D341+D340/2</f>
        <v>184.11131324445546</v>
      </c>
      <c r="D382" s="13">
        <v>0</v>
      </c>
    </row>
    <row r="384" spans="2:5">
      <c r="B384" s="321" t="s">
        <v>174</v>
      </c>
      <c r="C384" s="322"/>
      <c r="D384" s="323"/>
    </row>
    <row r="385" spans="2:9">
      <c r="C385" s="160" t="s">
        <v>171</v>
      </c>
      <c r="D385" s="160" t="s">
        <v>172</v>
      </c>
    </row>
    <row r="386" spans="2:9">
      <c r="C386" s="1">
        <v>0</v>
      </c>
      <c r="D386" s="1">
        <v>0</v>
      </c>
    </row>
    <row r="387" spans="2:9">
      <c r="C387" s="13">
        <f>C380</f>
        <v>127.28845647907735</v>
      </c>
      <c r="D387" s="13">
        <f>C375</f>
        <v>-621357.30788012093</v>
      </c>
    </row>
    <row r="388" spans="2:9">
      <c r="C388" s="13">
        <f>C387</f>
        <v>127.28845647907735</v>
      </c>
      <c r="D388" s="13">
        <f>D375</f>
        <v>-1617135.356256396</v>
      </c>
    </row>
    <row r="389" spans="2:9">
      <c r="C389" s="13">
        <f>C382</f>
        <v>184.11131324445546</v>
      </c>
      <c r="D389" s="13">
        <v>0</v>
      </c>
    </row>
    <row r="391" spans="2:9">
      <c r="B391" s="150" t="s">
        <v>183</v>
      </c>
      <c r="C391" s="160" t="s">
        <v>166</v>
      </c>
      <c r="D391" s="144"/>
    </row>
    <row r="392" spans="2:9">
      <c r="B392" s="1" t="s">
        <v>386</v>
      </c>
      <c r="C392" s="13">
        <f>(E371^2+E375^2)^(1/2)</f>
        <v>2093891.8503566976</v>
      </c>
    </row>
    <row r="393" spans="2:9" ht="16.2" thickBot="1">
      <c r="C393" s="31"/>
      <c r="D393" s="41"/>
    </row>
    <row r="394" spans="2:9" ht="16.2" thickBot="1">
      <c r="B394" s="352" t="s">
        <v>251</v>
      </c>
      <c r="C394" s="353"/>
    </row>
    <row r="395" spans="2:9">
      <c r="B395" s="261" t="s">
        <v>218</v>
      </c>
      <c r="C395" s="262">
        <v>5</v>
      </c>
    </row>
    <row r="396" spans="2:9">
      <c r="B396" s="29" t="s">
        <v>433</v>
      </c>
      <c r="C396" s="29" t="s">
        <v>187</v>
      </c>
    </row>
    <row r="397" spans="2:9">
      <c r="B397" s="2" t="s">
        <v>389</v>
      </c>
      <c r="C397" s="33">
        <v>62.601387481965361</v>
      </c>
      <c r="D397" s="303" t="s">
        <v>255</v>
      </c>
      <c r="E397" s="303"/>
      <c r="G397" s="1" t="s">
        <v>387</v>
      </c>
      <c r="H397" s="1">
        <f>Tabelle!D36/C395</f>
        <v>186</v>
      </c>
      <c r="I397" s="1"/>
    </row>
    <row r="398" spans="2:9">
      <c r="B398" s="1" t="s">
        <v>198</v>
      </c>
      <c r="C398" s="12">
        <v>62</v>
      </c>
      <c r="D398" s="3">
        <f>Tabelle!$D$36/C401</f>
        <v>4.8553128852208811</v>
      </c>
      <c r="E398" s="23" t="b">
        <f>IF(D398&gt;=3,TRUE,FALSE)</f>
        <v>1</v>
      </c>
      <c r="G398" s="1" t="s">
        <v>388</v>
      </c>
      <c r="H398" s="1">
        <f>(((32*C397*C392)/(PI()*(C397^4-C399^4)))^2+3*((16*C13*C397*10^3)/(PI()*(C397^4-C399^4)))^2)^(1/2)</f>
        <v>185.17588573692686</v>
      </c>
      <c r="I398" s="194" t="str">
        <f>IF(ROUND(H398,0)=H397,"OK","RIFAI CONVERGENZA")</f>
        <v>RIFAI CONVERGENZA</v>
      </c>
    </row>
    <row r="399" spans="2:9">
      <c r="B399" s="36" t="s">
        <v>394</v>
      </c>
      <c r="C399" s="210">
        <f>C337</f>
        <v>36</v>
      </c>
      <c r="D399" s="109"/>
      <c r="E399" s="38"/>
    </row>
    <row r="400" spans="2:9">
      <c r="B400" s="348" t="s">
        <v>391</v>
      </c>
      <c r="C400" s="349"/>
      <c r="D400" s="31"/>
    </row>
    <row r="401" spans="2:14">
      <c r="B401" s="1" t="s">
        <v>390</v>
      </c>
      <c r="C401" s="1">
        <f>(((32*C398*C392)/(PI()*(C398^4-C399^4)))^2+3*((16*C13*C398*10^3)/(PI()*(C398^4-C399^4)))^2)^(1/2)</f>
        <v>191.54275367728269</v>
      </c>
      <c r="D401" s="146"/>
    </row>
    <row r="402" spans="2:14" ht="16.2" thickBot="1">
      <c r="B402" s="41"/>
      <c r="C402" s="153"/>
      <c r="D402" s="144"/>
    </row>
    <row r="403" spans="2:14" ht="16.2" thickBot="1">
      <c r="B403" s="41"/>
      <c r="C403" s="153"/>
      <c r="D403" s="350" t="s">
        <v>396</v>
      </c>
      <c r="E403" s="359" t="s">
        <v>397</v>
      </c>
      <c r="F403" s="360"/>
    </row>
    <row r="404" spans="2:14" ht="16.2" thickBot="1">
      <c r="B404" s="333" t="s">
        <v>395</v>
      </c>
      <c r="C404" s="356"/>
      <c r="D404" s="351"/>
      <c r="E404" s="361"/>
      <c r="F404" s="362"/>
    </row>
    <row r="405" spans="2:14" ht="16.2" thickBot="1">
      <c r="B405" s="176"/>
    </row>
    <row r="406" spans="2:14" ht="16.2" thickBot="1">
      <c r="B406" s="345" t="s">
        <v>424</v>
      </c>
      <c r="C406" s="346"/>
      <c r="D406" s="346"/>
      <c r="E406" s="347"/>
    </row>
    <row r="407" spans="2:14" ht="16.2" thickBot="1">
      <c r="B407" s="188"/>
    </row>
    <row r="408" spans="2:14" ht="16.2" thickBot="1">
      <c r="B408" s="187" t="s">
        <v>399</v>
      </c>
      <c r="C408" s="312">
        <v>32306</v>
      </c>
      <c r="D408" s="313"/>
      <c r="E408" s="248" t="str">
        <f>IF(C409=M409,"CUSCINETTO OK","CAMBIA CUSCINETTO")</f>
        <v>CUSCINETTO OK</v>
      </c>
      <c r="K408" s="306" t="s">
        <v>599</v>
      </c>
      <c r="L408" s="306"/>
      <c r="M408" s="306"/>
      <c r="N408" s="306"/>
    </row>
    <row r="409" spans="2:14" ht="19.2" thickBot="1">
      <c r="B409" s="2" t="s">
        <v>427</v>
      </c>
      <c r="C409" s="71">
        <f>C41</f>
        <v>30</v>
      </c>
      <c r="D409" s="229" t="s">
        <v>331</v>
      </c>
      <c r="F409" s="197" t="s">
        <v>429</v>
      </c>
      <c r="K409" s="289" t="s">
        <v>195</v>
      </c>
      <c r="L409" s="289"/>
      <c r="M409" s="289">
        <v>30</v>
      </c>
      <c r="N409" s="289" t="s">
        <v>331</v>
      </c>
    </row>
    <row r="410" spans="2:14" ht="18.600000000000001">
      <c r="B410" s="2" t="s">
        <v>400</v>
      </c>
      <c r="C410" s="1">
        <v>25000</v>
      </c>
      <c r="D410" s="1" t="s">
        <v>401</v>
      </c>
      <c r="F410" s="1" t="s">
        <v>402</v>
      </c>
      <c r="G410" s="3">
        <f>D60/1000</f>
        <v>1.7647205751535857</v>
      </c>
      <c r="H410" s="255" t="s">
        <v>416</v>
      </c>
      <c r="I410" s="192" t="s">
        <v>430</v>
      </c>
      <c r="K410" s="289" t="s">
        <v>194</v>
      </c>
      <c r="L410" s="289"/>
      <c r="M410" s="289">
        <v>72</v>
      </c>
      <c r="N410" s="289" t="s">
        <v>331</v>
      </c>
    </row>
    <row r="411" spans="2:14" ht="18.600000000000001">
      <c r="B411" s="2" t="s">
        <v>403</v>
      </c>
      <c r="C411" s="3">
        <f>$E$154*60/(2*PI())</f>
        <v>395.48022598870051</v>
      </c>
      <c r="D411" s="1" t="s">
        <v>404</v>
      </c>
      <c r="F411" s="1" t="s">
        <v>405</v>
      </c>
      <c r="G411" s="3">
        <f>D62/1000</f>
        <v>21.629758248783354</v>
      </c>
      <c r="H411" s="255" t="s">
        <v>416</v>
      </c>
      <c r="I411" s="23" t="str">
        <f>IF(G410/G411&lt;0.5,"OK","NON VERIFICATO-CAMBIARE")</f>
        <v>OK</v>
      </c>
      <c r="K411" s="289" t="s">
        <v>528</v>
      </c>
      <c r="L411" s="289"/>
      <c r="M411" s="289">
        <v>28.75</v>
      </c>
      <c r="N411" s="289" t="s">
        <v>331</v>
      </c>
    </row>
    <row r="412" spans="2:14" ht="19.2">
      <c r="B412" s="1" t="s">
        <v>406</v>
      </c>
      <c r="C412" s="13">
        <f>C410*C411*60*10^(-6)</f>
        <v>593.22033898305085</v>
      </c>
      <c r="D412" s="1" t="s">
        <v>407</v>
      </c>
      <c r="K412" s="289" t="s">
        <v>465</v>
      </c>
      <c r="L412" s="289" t="s">
        <v>466</v>
      </c>
      <c r="M412" s="289">
        <v>48.7</v>
      </c>
      <c r="N412" s="289" t="s">
        <v>331</v>
      </c>
    </row>
    <row r="413" spans="2:14" ht="19.2" thickBot="1">
      <c r="B413" s="73" t="s">
        <v>408</v>
      </c>
      <c r="C413" s="1">
        <v>1</v>
      </c>
      <c r="K413" s="289" t="s">
        <v>458</v>
      </c>
      <c r="L413" s="289"/>
      <c r="M413" s="289">
        <v>27</v>
      </c>
      <c r="N413" s="289" t="s">
        <v>331</v>
      </c>
    </row>
    <row r="414" spans="2:14" ht="19.2" thickBot="1">
      <c r="B414" s="73" t="s">
        <v>409</v>
      </c>
      <c r="C414" s="177">
        <v>5</v>
      </c>
      <c r="K414" s="289" t="s">
        <v>529</v>
      </c>
      <c r="L414" s="289"/>
      <c r="M414" s="289">
        <v>23</v>
      </c>
      <c r="N414" s="289" t="s">
        <v>331</v>
      </c>
    </row>
    <row r="415" spans="2:14" ht="19.2">
      <c r="C415" s="178" t="s">
        <v>410</v>
      </c>
      <c r="D415" s="177">
        <v>220</v>
      </c>
      <c r="E415" s="122" t="s">
        <v>411</v>
      </c>
      <c r="K415" s="289" t="s">
        <v>467</v>
      </c>
      <c r="L415" s="289" t="s">
        <v>468</v>
      </c>
      <c r="M415" s="289">
        <v>1.5</v>
      </c>
      <c r="N415" s="289" t="s">
        <v>331</v>
      </c>
    </row>
    <row r="416" spans="2:14" ht="19.2">
      <c r="C416" s="154" t="s">
        <v>412</v>
      </c>
      <c r="D416" s="179">
        <v>55</v>
      </c>
      <c r="K416" s="289" t="s">
        <v>469</v>
      </c>
      <c r="L416" s="289" t="s">
        <v>468</v>
      </c>
      <c r="M416" s="289">
        <v>1.5</v>
      </c>
      <c r="N416" s="289" t="s">
        <v>331</v>
      </c>
    </row>
    <row r="417" spans="2:14" ht="19.8" thickBot="1">
      <c r="C417" s="45" t="s">
        <v>413</v>
      </c>
      <c r="D417" s="54">
        <f>D415/D416</f>
        <v>4</v>
      </c>
      <c r="K417" s="307" t="s">
        <v>475</v>
      </c>
      <c r="L417" s="308"/>
      <c r="M417" s="308"/>
      <c r="N417" s="309"/>
    </row>
    <row r="418" spans="2:14" ht="19.2">
      <c r="C418" s="2" t="s">
        <v>414</v>
      </c>
      <c r="D418" s="2">
        <v>0.8</v>
      </c>
      <c r="K418" s="289" t="s">
        <v>471</v>
      </c>
      <c r="L418" s="289" t="s">
        <v>470</v>
      </c>
      <c r="M418" s="289">
        <v>39</v>
      </c>
      <c r="N418" s="289" t="s">
        <v>331</v>
      </c>
    </row>
    <row r="419" spans="2:14" ht="19.8" thickBot="1">
      <c r="C419" s="43" t="s">
        <v>415</v>
      </c>
      <c r="D419" s="180">
        <v>9.65</v>
      </c>
      <c r="E419" s="1" t="s">
        <v>416</v>
      </c>
      <c r="K419" s="289" t="s">
        <v>472</v>
      </c>
      <c r="L419" s="289" t="s">
        <v>468</v>
      </c>
      <c r="M419" s="289">
        <v>38</v>
      </c>
      <c r="N419" s="289" t="s">
        <v>331</v>
      </c>
    </row>
    <row r="420" spans="2:14" ht="19.2">
      <c r="C420" s="181" t="s">
        <v>417</v>
      </c>
      <c r="D420" s="177">
        <v>0.31</v>
      </c>
      <c r="G420" s="258"/>
      <c r="H420" s="258"/>
      <c r="I420" s="258"/>
      <c r="K420" s="289" t="s">
        <v>473</v>
      </c>
      <c r="L420" s="289" t="s">
        <v>468</v>
      </c>
      <c r="M420" s="289">
        <v>59</v>
      </c>
      <c r="N420" s="289" t="s">
        <v>331</v>
      </c>
    </row>
    <row r="421" spans="2:14" ht="19.2">
      <c r="C421" s="182" t="s">
        <v>418</v>
      </c>
      <c r="D421" s="179">
        <v>0.4</v>
      </c>
      <c r="G421" s="258"/>
      <c r="H421" s="258"/>
      <c r="I421" s="258"/>
      <c r="K421" s="289" t="s">
        <v>473</v>
      </c>
      <c r="L421" s="289" t="s">
        <v>470</v>
      </c>
      <c r="M421" s="289">
        <v>65</v>
      </c>
      <c r="N421" s="289" t="s">
        <v>331</v>
      </c>
    </row>
    <row r="422" spans="2:14" ht="19.2">
      <c r="C422" s="182" t="s">
        <v>25</v>
      </c>
      <c r="D422" s="179">
        <v>1.9</v>
      </c>
      <c r="G422" s="258"/>
      <c r="H422" s="258"/>
      <c r="I422" s="258"/>
      <c r="K422" s="289" t="s">
        <v>476</v>
      </c>
      <c r="L422" s="289" t="s">
        <v>468</v>
      </c>
      <c r="M422" s="289">
        <v>66</v>
      </c>
      <c r="N422" s="289" t="s">
        <v>331</v>
      </c>
    </row>
    <row r="423" spans="2:14" ht="19.8" thickBot="1">
      <c r="C423" s="234" t="s">
        <v>419</v>
      </c>
      <c r="D423" s="54">
        <f>IF(G410/G411&lt;=D420,G411,D421*G411+D422*G410)</f>
        <v>21.629758248783354</v>
      </c>
      <c r="E423" s="122" t="s">
        <v>416</v>
      </c>
      <c r="G423" s="258"/>
      <c r="H423" s="258"/>
      <c r="I423" s="258"/>
      <c r="K423" s="289" t="s">
        <v>526</v>
      </c>
      <c r="L423" s="289" t="s">
        <v>468</v>
      </c>
      <c r="M423" s="289">
        <v>4</v>
      </c>
      <c r="N423" s="289" t="s">
        <v>331</v>
      </c>
    </row>
    <row r="424" spans="2:14" ht="19.2">
      <c r="C424" s="232" t="s">
        <v>420</v>
      </c>
      <c r="D424" s="233">
        <f>D418*D419/D423</f>
        <v>0.35691568584379535</v>
      </c>
      <c r="G424" s="258"/>
      <c r="H424" s="258"/>
      <c r="I424" s="258"/>
      <c r="K424" s="289" t="s">
        <v>527</v>
      </c>
      <c r="L424" s="289" t="s">
        <v>468</v>
      </c>
      <c r="M424" s="289">
        <v>5.5</v>
      </c>
      <c r="N424" s="289" t="s">
        <v>331</v>
      </c>
    </row>
    <row r="425" spans="2:14" ht="19.2">
      <c r="B425" s="1" t="s">
        <v>421</v>
      </c>
      <c r="C425" s="183">
        <v>95</v>
      </c>
      <c r="D425" s="1" t="s">
        <v>416</v>
      </c>
      <c r="K425" s="289" t="s">
        <v>474</v>
      </c>
      <c r="L425" s="289" t="s">
        <v>470</v>
      </c>
      <c r="M425" s="289">
        <v>1.5</v>
      </c>
      <c r="N425" s="289" t="s">
        <v>331</v>
      </c>
    </row>
    <row r="426" spans="2:14" ht="19.2">
      <c r="B426" s="1" t="s">
        <v>422</v>
      </c>
      <c r="C426" s="184">
        <v>3</v>
      </c>
      <c r="D426" s="6">
        <f>10/3</f>
        <v>3.3333333333333335</v>
      </c>
      <c r="K426" s="289" t="s">
        <v>477</v>
      </c>
      <c r="L426" s="289" t="s">
        <v>470</v>
      </c>
      <c r="M426" s="289">
        <v>1.5</v>
      </c>
      <c r="N426" s="289" t="s">
        <v>331</v>
      </c>
    </row>
    <row r="427" spans="2:14" ht="16.2" thickBot="1">
      <c r="B427" s="1" t="s">
        <v>521</v>
      </c>
      <c r="C427" s="6">
        <f>C413*C414*(C425/D423)^D426</f>
        <v>693.76087478502359</v>
      </c>
      <c r="D427" s="253" t="s">
        <v>407</v>
      </c>
      <c r="E427" s="186" t="b">
        <f>IF(C427&gt;C412,TRUE,FALSE)</f>
        <v>1</v>
      </c>
      <c r="F427" s="367"/>
      <c r="G427" s="368"/>
    </row>
    <row r="428" spans="2:14" ht="16.2" thickBot="1">
      <c r="B428" s="1" t="s">
        <v>517</v>
      </c>
      <c r="C428" s="13">
        <f>C427*10^6/(C411*60)</f>
        <v>29237.065437368852</v>
      </c>
      <c r="D428" s="253" t="s">
        <v>401</v>
      </c>
      <c r="E428" s="260">
        <f>C428/C410</f>
        <v>1.1694826174947541</v>
      </c>
      <c r="F428" s="304" t="s">
        <v>518</v>
      </c>
      <c r="G428" s="304"/>
      <c r="H428" s="305"/>
    </row>
    <row r="429" spans="2:14" ht="16.2" thickBot="1">
      <c r="G429" s="185"/>
    </row>
    <row r="430" spans="2:14" ht="16.2" thickBot="1">
      <c r="B430" s="187" t="s">
        <v>423</v>
      </c>
      <c r="C430" s="312">
        <v>30307</v>
      </c>
      <c r="D430" s="313"/>
      <c r="E430" s="248" t="str">
        <f>IF(C431=M432,"CUSCINETTO OK","CAMBIA CUSCINETTO")</f>
        <v>CUSCINETTO OK</v>
      </c>
      <c r="G430" s="107" t="s">
        <v>326</v>
      </c>
    </row>
    <row r="431" spans="2:14" ht="16.2" thickBot="1">
      <c r="B431" s="2" t="s">
        <v>427</v>
      </c>
      <c r="C431" s="71">
        <f>C41+5</f>
        <v>35</v>
      </c>
      <c r="D431" s="229" t="s">
        <v>331</v>
      </c>
      <c r="F431" s="197" t="s">
        <v>429</v>
      </c>
      <c r="K431" s="306" t="s">
        <v>600</v>
      </c>
      <c r="L431" s="306"/>
      <c r="M431" s="306"/>
      <c r="N431" s="306"/>
    </row>
    <row r="432" spans="2:14" ht="18.600000000000001">
      <c r="B432" s="2" t="s">
        <v>400</v>
      </c>
      <c r="C432" s="1">
        <v>25000</v>
      </c>
      <c r="D432" s="1" t="s">
        <v>401</v>
      </c>
      <c r="F432" s="1" t="s">
        <v>402</v>
      </c>
      <c r="G432" s="3">
        <f>D60*10^-3</f>
        <v>1.7647205751535857</v>
      </c>
      <c r="H432" s="255" t="s">
        <v>416</v>
      </c>
      <c r="I432" s="192" t="s">
        <v>430</v>
      </c>
      <c r="K432" s="289" t="s">
        <v>195</v>
      </c>
      <c r="L432" s="289"/>
      <c r="M432" s="289">
        <v>35</v>
      </c>
      <c r="N432" s="289" t="s">
        <v>331</v>
      </c>
    </row>
    <row r="433" spans="2:14" ht="18.600000000000001">
      <c r="B433" s="2" t="s">
        <v>403</v>
      </c>
      <c r="C433" s="3">
        <f>$D$154*60/(2*PI())</f>
        <v>395.48022598870051</v>
      </c>
      <c r="D433" s="1" t="s">
        <v>404</v>
      </c>
      <c r="F433" s="1" t="s">
        <v>405</v>
      </c>
      <c r="G433" s="3">
        <f>D63/1000</f>
        <v>13.874141921628736</v>
      </c>
      <c r="H433" s="255" t="s">
        <v>416</v>
      </c>
      <c r="I433" s="23" t="str">
        <f>IF(G432/G433&lt;0.5,"OK","NON VERIFICATO-CAMBIARE")</f>
        <v>OK</v>
      </c>
      <c r="K433" s="289" t="s">
        <v>194</v>
      </c>
      <c r="L433" s="289"/>
      <c r="M433" s="289">
        <v>80</v>
      </c>
      <c r="N433" s="289" t="s">
        <v>331</v>
      </c>
    </row>
    <row r="434" spans="2:14" ht="18.600000000000001">
      <c r="B434" s="1" t="s">
        <v>406</v>
      </c>
      <c r="C434" s="13">
        <f>C432*C433*60*10^(-6)</f>
        <v>593.22033898305085</v>
      </c>
      <c r="D434" s="1" t="s">
        <v>407</v>
      </c>
      <c r="K434" s="289" t="s">
        <v>528</v>
      </c>
      <c r="L434" s="289"/>
      <c r="M434" s="289">
        <v>22.75</v>
      </c>
      <c r="N434" s="289" t="s">
        <v>331</v>
      </c>
    </row>
    <row r="435" spans="2:14" ht="19.8" thickBot="1">
      <c r="B435" s="73" t="s">
        <v>408</v>
      </c>
      <c r="C435" s="1">
        <v>1</v>
      </c>
      <c r="K435" s="289" t="s">
        <v>465</v>
      </c>
      <c r="L435" s="289" t="s">
        <v>466</v>
      </c>
      <c r="M435" s="289">
        <v>54.55</v>
      </c>
      <c r="N435" s="289" t="s">
        <v>331</v>
      </c>
    </row>
    <row r="436" spans="2:14" ht="19.2" thickBot="1">
      <c r="B436" s="73" t="s">
        <v>409</v>
      </c>
      <c r="C436" s="177">
        <v>5</v>
      </c>
      <c r="K436" s="289" t="s">
        <v>458</v>
      </c>
      <c r="L436" s="289"/>
      <c r="M436" s="289">
        <v>21</v>
      </c>
      <c r="N436" s="289" t="s">
        <v>331</v>
      </c>
    </row>
    <row r="437" spans="2:14" ht="18.600000000000001">
      <c r="C437" s="178" t="s">
        <v>410</v>
      </c>
      <c r="D437" s="271">
        <f>D415</f>
        <v>220</v>
      </c>
      <c r="E437" s="122" t="s">
        <v>411</v>
      </c>
      <c r="K437" s="289" t="s">
        <v>529</v>
      </c>
      <c r="L437" s="289"/>
      <c r="M437" s="289">
        <v>18</v>
      </c>
      <c r="N437" s="289" t="s">
        <v>331</v>
      </c>
    </row>
    <row r="438" spans="2:14" ht="19.2">
      <c r="C438" s="154" t="s">
        <v>412</v>
      </c>
      <c r="D438" s="179">
        <v>48</v>
      </c>
      <c r="K438" s="289" t="s">
        <v>467</v>
      </c>
      <c r="L438" s="289" t="s">
        <v>468</v>
      </c>
      <c r="M438" s="289">
        <v>2</v>
      </c>
      <c r="N438" s="289" t="s">
        <v>331</v>
      </c>
    </row>
    <row r="439" spans="2:14" ht="19.8" thickBot="1">
      <c r="C439" s="45" t="s">
        <v>413</v>
      </c>
      <c r="D439" s="54">
        <f>D437/D438</f>
        <v>4.583333333333333</v>
      </c>
      <c r="K439" s="289" t="s">
        <v>469</v>
      </c>
      <c r="L439" s="289" t="s">
        <v>468</v>
      </c>
      <c r="M439" s="289">
        <v>1.5</v>
      </c>
      <c r="N439" s="289" t="s">
        <v>331</v>
      </c>
    </row>
    <row r="440" spans="2:14" ht="19.2">
      <c r="C440" s="2" t="s">
        <v>414</v>
      </c>
      <c r="D440" s="2">
        <v>0.8</v>
      </c>
      <c r="K440" s="310" t="s">
        <v>478</v>
      </c>
      <c r="L440" s="310"/>
      <c r="M440" s="310"/>
      <c r="N440" s="310"/>
    </row>
    <row r="441" spans="2:14" ht="19.8" thickBot="1">
      <c r="C441" s="43" t="s">
        <v>415</v>
      </c>
      <c r="D441" s="180">
        <v>8.3000000000000007</v>
      </c>
      <c r="E441" s="1" t="s">
        <v>416</v>
      </c>
      <c r="K441" s="289" t="s">
        <v>471</v>
      </c>
      <c r="L441" s="289" t="s">
        <v>470</v>
      </c>
      <c r="M441" s="289">
        <v>46</v>
      </c>
      <c r="N441" s="289" t="s">
        <v>331</v>
      </c>
    </row>
    <row r="442" spans="2:14" ht="19.2">
      <c r="C442" s="181" t="s">
        <v>417</v>
      </c>
      <c r="D442" s="177">
        <v>0.31</v>
      </c>
      <c r="K442" s="289" t="s">
        <v>472</v>
      </c>
      <c r="L442" s="289" t="s">
        <v>468</v>
      </c>
      <c r="M442" s="289">
        <v>44.5</v>
      </c>
      <c r="N442" s="289" t="s">
        <v>331</v>
      </c>
    </row>
    <row r="443" spans="2:14" ht="19.2">
      <c r="C443" s="182" t="s">
        <v>418</v>
      </c>
      <c r="D443" s="179">
        <v>0.4</v>
      </c>
      <c r="K443" s="289" t="s">
        <v>473</v>
      </c>
      <c r="L443" s="289" t="s">
        <v>468</v>
      </c>
      <c r="M443" s="289">
        <v>70</v>
      </c>
      <c r="N443" s="289" t="s">
        <v>331</v>
      </c>
    </row>
    <row r="444" spans="2:14" ht="19.2">
      <c r="C444" s="182" t="s">
        <v>25</v>
      </c>
      <c r="D444" s="179">
        <v>1.9</v>
      </c>
      <c r="K444" s="289" t="s">
        <v>473</v>
      </c>
      <c r="L444" s="289" t="s">
        <v>470</v>
      </c>
      <c r="M444" s="289">
        <v>72.5</v>
      </c>
      <c r="N444" s="289" t="s">
        <v>331</v>
      </c>
    </row>
    <row r="445" spans="2:14" ht="19.8" thickBot="1">
      <c r="C445" s="234" t="s">
        <v>419</v>
      </c>
      <c r="D445" s="54">
        <f>IF(G432/G433&lt;=D442,G433,D443*G433+D444*G432)</f>
        <v>13.874141921628736</v>
      </c>
      <c r="E445" s="122" t="s">
        <v>416</v>
      </c>
      <c r="K445" s="289" t="s">
        <v>476</v>
      </c>
      <c r="L445" s="289" t="s">
        <v>468</v>
      </c>
      <c r="M445" s="289">
        <v>74</v>
      </c>
      <c r="N445" s="289" t="s">
        <v>331</v>
      </c>
    </row>
    <row r="446" spans="2:14" ht="19.2">
      <c r="C446" s="232" t="s">
        <v>420</v>
      </c>
      <c r="D446" s="233">
        <f>D440*D441/D445</f>
        <v>0.47858815611859523</v>
      </c>
      <c r="K446" s="289" t="s">
        <v>526</v>
      </c>
      <c r="L446" s="289" t="s">
        <v>468</v>
      </c>
      <c r="M446" s="289">
        <v>3</v>
      </c>
      <c r="N446" s="289" t="s">
        <v>331</v>
      </c>
    </row>
    <row r="447" spans="2:14" ht="19.2">
      <c r="B447" s="1" t="s">
        <v>421</v>
      </c>
      <c r="C447" s="183">
        <v>88.9</v>
      </c>
      <c r="D447" s="1" t="s">
        <v>416</v>
      </c>
      <c r="K447" s="289" t="s">
        <v>527</v>
      </c>
      <c r="L447" s="289" t="s">
        <v>468</v>
      </c>
      <c r="M447" s="289">
        <v>4.5</v>
      </c>
      <c r="N447" s="289" t="s">
        <v>331</v>
      </c>
    </row>
    <row r="448" spans="2:14" ht="19.2">
      <c r="B448" s="1" t="s">
        <v>519</v>
      </c>
      <c r="C448" s="184">
        <v>3</v>
      </c>
      <c r="D448" s="6">
        <f>10/3</f>
        <v>3.3333333333333335</v>
      </c>
      <c r="K448" s="289" t="s">
        <v>474</v>
      </c>
      <c r="L448" s="289" t="s">
        <v>470</v>
      </c>
      <c r="M448" s="289">
        <v>2</v>
      </c>
      <c r="N448" s="289" t="s">
        <v>331</v>
      </c>
    </row>
    <row r="449" spans="2:14" ht="19.8" thickBot="1">
      <c r="B449" s="1" t="s">
        <v>521</v>
      </c>
      <c r="C449" s="6">
        <f>C435*C436*(C447/D445)^D448</f>
        <v>2443.1798166199201</v>
      </c>
      <c r="D449" s="1" t="s">
        <v>407</v>
      </c>
      <c r="E449" s="186" t="b">
        <f>IF(C449&gt;C434,TRUE,FALSE)</f>
        <v>1</v>
      </c>
      <c r="F449" s="149"/>
      <c r="G449" s="174"/>
      <c r="K449" s="289" t="s">
        <v>477</v>
      </c>
      <c r="L449" s="289" t="s">
        <v>470</v>
      </c>
      <c r="M449" s="289">
        <v>1.5</v>
      </c>
      <c r="N449" s="289" t="s">
        <v>331</v>
      </c>
    </row>
    <row r="450" spans="2:14" ht="16.2" thickBot="1">
      <c r="B450" s="1" t="s">
        <v>517</v>
      </c>
      <c r="C450" s="13">
        <f>C449*10^6/(C433*60)</f>
        <v>102962.57798612522</v>
      </c>
      <c r="D450" s="253" t="s">
        <v>401</v>
      </c>
      <c r="E450" s="260">
        <f>C450/C432</f>
        <v>4.118503119445009</v>
      </c>
      <c r="F450" s="304" t="s">
        <v>518</v>
      </c>
      <c r="G450" s="304"/>
      <c r="H450" s="305"/>
    </row>
    <row r="451" spans="2:14" ht="16.2" thickBot="1">
      <c r="C451" t="s">
        <v>520</v>
      </c>
    </row>
    <row r="452" spans="2:14" ht="16.2" thickBot="1">
      <c r="B452" s="345" t="s">
        <v>398</v>
      </c>
      <c r="C452" s="346"/>
      <c r="D452" s="346"/>
      <c r="E452" s="347"/>
    </row>
    <row r="453" spans="2:14" ht="16.2" thickBot="1">
      <c r="B453" s="188"/>
    </row>
    <row r="454" spans="2:14" ht="16.2" thickBot="1">
      <c r="B454" s="173" t="s">
        <v>426</v>
      </c>
      <c r="C454" s="312">
        <v>32305</v>
      </c>
      <c r="D454" s="313"/>
      <c r="E454" s="248" t="str">
        <f>IF(C455=M460,"CUSCINETTO OK","CAMBIA CUSCINETTO")</f>
        <v>CUSCINETTO OK</v>
      </c>
    </row>
    <row r="455" spans="2:14" ht="16.2" thickBot="1">
      <c r="B455" s="2" t="s">
        <v>427</v>
      </c>
      <c r="C455" s="196">
        <f>C251</f>
        <v>25</v>
      </c>
      <c r="D455" s="192" t="s">
        <v>331</v>
      </c>
      <c r="F455" s="197" t="s">
        <v>429</v>
      </c>
    </row>
    <row r="456" spans="2:14">
      <c r="B456" s="2" t="s">
        <v>400</v>
      </c>
      <c r="C456" s="1">
        <v>25000</v>
      </c>
      <c r="D456" s="190" t="s">
        <v>401</v>
      </c>
      <c r="F456" s="2" t="s">
        <v>402</v>
      </c>
      <c r="G456" s="3">
        <f>D274/1000</f>
        <v>2.9289952424351724</v>
      </c>
      <c r="H456" s="255" t="s">
        <v>416</v>
      </c>
      <c r="I456" s="192" t="s">
        <v>430</v>
      </c>
    </row>
    <row r="457" spans="2:14">
      <c r="B457" s="2" t="s">
        <v>403</v>
      </c>
      <c r="C457" s="3">
        <f>$C$154*60/(2*PI())</f>
        <v>1399.9999999999998</v>
      </c>
      <c r="D457" s="190" t="s">
        <v>404</v>
      </c>
      <c r="F457" s="1" t="s">
        <v>405</v>
      </c>
      <c r="G457" s="3">
        <f>D280/1000</f>
        <v>2.0321454477315886</v>
      </c>
      <c r="H457" s="255" t="s">
        <v>416</v>
      </c>
      <c r="I457" s="23" t="str">
        <f>IF(G456/G457&lt;0.5,"OK","NON VERIFICATO-CAMBIARE")</f>
        <v>NON VERIFICATO-CAMBIARE</v>
      </c>
      <c r="J457" s="55" t="s">
        <v>431</v>
      </c>
      <c r="K457" s="251"/>
      <c r="L457" s="122"/>
    </row>
    <row r="458" spans="2:14">
      <c r="B458" s="1" t="s">
        <v>406</v>
      </c>
      <c r="C458" s="13">
        <f>C456*C457*60*10^(-6)</f>
        <v>2099.9999999999995</v>
      </c>
      <c r="D458" s="190" t="s">
        <v>407</v>
      </c>
    </row>
    <row r="459" spans="2:14" ht="16.2" thickBot="1">
      <c r="B459" s="73" t="s">
        <v>408</v>
      </c>
      <c r="C459" s="1">
        <v>1</v>
      </c>
      <c r="K459" s="306" t="s">
        <v>525</v>
      </c>
      <c r="L459" s="306"/>
      <c r="M459" s="306"/>
      <c r="N459" s="306"/>
    </row>
    <row r="460" spans="2:14" ht="19.2" thickBot="1">
      <c r="B460" s="73" t="s">
        <v>409</v>
      </c>
      <c r="C460" s="177">
        <v>3.5</v>
      </c>
      <c r="I460" s="254"/>
      <c r="K460" s="230" t="s">
        <v>195</v>
      </c>
      <c r="L460" s="230"/>
      <c r="M460" s="230">
        <v>25</v>
      </c>
      <c r="N460" s="230" t="s">
        <v>331</v>
      </c>
    </row>
    <row r="461" spans="2:14" ht="18.600000000000001">
      <c r="C461" s="178" t="s">
        <v>410</v>
      </c>
      <c r="D461" s="271">
        <f>D415</f>
        <v>220</v>
      </c>
      <c r="E461" s="122" t="s">
        <v>411</v>
      </c>
      <c r="K461" s="230" t="s">
        <v>194</v>
      </c>
      <c r="L461" s="230"/>
      <c r="M461" s="230">
        <v>62</v>
      </c>
      <c r="N461" s="230" t="s">
        <v>331</v>
      </c>
    </row>
    <row r="462" spans="2:14" ht="18.600000000000001">
      <c r="C462" s="154" t="s">
        <v>412</v>
      </c>
      <c r="D462" s="179">
        <v>22</v>
      </c>
      <c r="K462" s="230" t="s">
        <v>528</v>
      </c>
      <c r="L462" s="230"/>
      <c r="M462" s="230">
        <v>25.25</v>
      </c>
      <c r="N462" s="230" t="s">
        <v>331</v>
      </c>
    </row>
    <row r="463" spans="2:14" ht="19.8" thickBot="1">
      <c r="C463" s="45" t="s">
        <v>413</v>
      </c>
      <c r="D463" s="54">
        <f>D461/D462</f>
        <v>10</v>
      </c>
      <c r="K463" s="230" t="s">
        <v>465</v>
      </c>
      <c r="L463" s="230" t="s">
        <v>466</v>
      </c>
      <c r="M463" s="230">
        <v>41.7</v>
      </c>
      <c r="N463" s="230" t="s">
        <v>331</v>
      </c>
    </row>
    <row r="464" spans="2:14" ht="18.600000000000001">
      <c r="C464" s="2" t="s">
        <v>414</v>
      </c>
      <c r="D464" s="2">
        <v>0.8</v>
      </c>
      <c r="K464" s="230" t="s">
        <v>458</v>
      </c>
      <c r="L464" s="230"/>
      <c r="M464" s="230">
        <v>24</v>
      </c>
      <c r="N464" s="230" t="s">
        <v>331</v>
      </c>
    </row>
    <row r="465" spans="2:20" ht="19.2" thickBot="1">
      <c r="C465" s="43" t="s">
        <v>415</v>
      </c>
      <c r="D465" s="180">
        <v>7.1</v>
      </c>
      <c r="E465" s="1" t="s">
        <v>416</v>
      </c>
      <c r="K465" s="230" t="s">
        <v>529</v>
      </c>
      <c r="L465" s="230"/>
      <c r="M465" s="230">
        <v>20</v>
      </c>
      <c r="N465" s="230" t="s">
        <v>331</v>
      </c>
    </row>
    <row r="466" spans="2:20" ht="19.2">
      <c r="C466" s="181" t="s">
        <v>417</v>
      </c>
      <c r="D466" s="177">
        <v>0.3</v>
      </c>
      <c r="K466" s="230" t="s">
        <v>467</v>
      </c>
      <c r="L466" s="230" t="s">
        <v>468</v>
      </c>
      <c r="M466" s="230">
        <v>1.5</v>
      </c>
      <c r="N466" s="230" t="s">
        <v>331</v>
      </c>
    </row>
    <row r="467" spans="2:20" ht="19.2">
      <c r="C467" s="182" t="s">
        <v>418</v>
      </c>
      <c r="D467" s="179">
        <v>0.4</v>
      </c>
      <c r="K467" s="230" t="s">
        <v>469</v>
      </c>
      <c r="L467" s="230" t="s">
        <v>468</v>
      </c>
      <c r="M467" s="230">
        <v>1.5</v>
      </c>
      <c r="N467" s="230" t="s">
        <v>331</v>
      </c>
    </row>
    <row r="468" spans="2:20" ht="18.600000000000001">
      <c r="C468" s="182" t="s">
        <v>25</v>
      </c>
      <c r="D468" s="179">
        <v>2</v>
      </c>
      <c r="K468" s="230"/>
      <c r="L468" s="230"/>
      <c r="M468" s="230"/>
      <c r="N468" s="230"/>
    </row>
    <row r="469" spans="2:20" ht="19.8" thickBot="1">
      <c r="C469" s="234" t="s">
        <v>419</v>
      </c>
      <c r="D469" s="54">
        <f>IF(G456/G457&lt;=D466,G457,D467*G457+D468*G456)</f>
        <v>6.67084866396298</v>
      </c>
      <c r="E469" s="122" t="s">
        <v>416</v>
      </c>
      <c r="K469" s="311" t="s">
        <v>478</v>
      </c>
      <c r="L469" s="311"/>
      <c r="M469" s="311"/>
      <c r="N469" s="311"/>
    </row>
    <row r="470" spans="2:20" ht="19.2">
      <c r="C470" s="232" t="s">
        <v>420</v>
      </c>
      <c r="D470" s="233">
        <f>D464*D465/D469</f>
        <v>0.8514658758014243</v>
      </c>
      <c r="K470" s="230" t="s">
        <v>471</v>
      </c>
      <c r="L470" s="230" t="s">
        <v>470</v>
      </c>
      <c r="M470" s="230">
        <v>33</v>
      </c>
      <c r="N470" s="230" t="s">
        <v>331</v>
      </c>
    </row>
    <row r="471" spans="2:20" ht="19.2">
      <c r="B471" s="1" t="s">
        <v>421</v>
      </c>
      <c r="C471" s="183">
        <v>74.099999999999994</v>
      </c>
      <c r="D471" s="1" t="s">
        <v>416</v>
      </c>
      <c r="K471" s="230" t="s">
        <v>472</v>
      </c>
      <c r="L471" s="230" t="s">
        <v>468</v>
      </c>
      <c r="M471" s="230">
        <v>33</v>
      </c>
      <c r="N471" s="230" t="s">
        <v>331</v>
      </c>
    </row>
    <row r="472" spans="2:20" ht="19.2">
      <c r="B472" s="1" t="s">
        <v>422</v>
      </c>
      <c r="C472" s="184">
        <v>3</v>
      </c>
      <c r="D472" s="6">
        <f>10/3</f>
        <v>3.3333333333333335</v>
      </c>
      <c r="K472" s="230" t="s">
        <v>473</v>
      </c>
      <c r="L472" s="230" t="s">
        <v>468</v>
      </c>
      <c r="M472" s="230">
        <v>52</v>
      </c>
      <c r="N472" s="230" t="s">
        <v>331</v>
      </c>
    </row>
    <row r="473" spans="2:20" ht="19.8" thickBot="1">
      <c r="B473" s="1" t="s">
        <v>521</v>
      </c>
      <c r="C473" s="6">
        <f>C459*C460*(C471/D469)^D472</f>
        <v>10703.482664278923</v>
      </c>
      <c r="D473" s="253" t="s">
        <v>407</v>
      </c>
      <c r="E473" s="186" t="b">
        <f>IF(C473&gt;C458,TRUE,FALSE)</f>
        <v>1</v>
      </c>
      <c r="F473" s="189"/>
      <c r="G473" s="185"/>
      <c r="K473" s="230" t="s">
        <v>473</v>
      </c>
      <c r="L473" s="230" t="s">
        <v>470</v>
      </c>
      <c r="M473" s="230">
        <v>55</v>
      </c>
      <c r="N473" s="230" t="s">
        <v>331</v>
      </c>
    </row>
    <row r="474" spans="2:20" ht="19.8" thickBot="1">
      <c r="B474" s="257" t="s">
        <v>517</v>
      </c>
      <c r="C474" s="13">
        <f>C473*10^6/(C457*60)</f>
        <v>127422.4126699872</v>
      </c>
      <c r="D474" s="253" t="s">
        <v>401</v>
      </c>
      <c r="E474" s="260">
        <f>C474/C456</f>
        <v>5.0968965067994878</v>
      </c>
      <c r="F474" s="304" t="s">
        <v>518</v>
      </c>
      <c r="G474" s="304"/>
      <c r="H474" s="305"/>
      <c r="K474" s="230" t="s">
        <v>476</v>
      </c>
      <c r="L474" s="230" t="s">
        <v>468</v>
      </c>
      <c r="M474" s="230">
        <v>57</v>
      </c>
      <c r="N474" s="230" t="s">
        <v>331</v>
      </c>
    </row>
    <row r="475" spans="2:20" ht="19.2">
      <c r="B475" s="276"/>
      <c r="C475" s="153"/>
      <c r="D475" s="275"/>
      <c r="E475" s="109"/>
      <c r="F475" s="277"/>
      <c r="G475" s="277"/>
      <c r="H475" s="277"/>
      <c r="K475" s="230" t="s">
        <v>526</v>
      </c>
      <c r="L475" s="230" t="s">
        <v>468</v>
      </c>
      <c r="M475" s="230">
        <v>3</v>
      </c>
      <c r="N475" s="230" t="s">
        <v>331</v>
      </c>
    </row>
    <row r="476" spans="2:20" ht="19.2">
      <c r="B476" s="276"/>
      <c r="C476" s="153"/>
      <c r="D476" s="275"/>
      <c r="E476" s="109"/>
      <c r="F476" s="277"/>
      <c r="G476" s="277"/>
      <c r="H476" s="277"/>
      <c r="K476" s="230" t="s">
        <v>527</v>
      </c>
      <c r="L476" s="230" t="s">
        <v>468</v>
      </c>
      <c r="M476" s="230">
        <v>5</v>
      </c>
      <c r="N476" s="230" t="s">
        <v>331</v>
      </c>
    </row>
    <row r="477" spans="2:20" ht="19.2">
      <c r="B477" s="276"/>
      <c r="C477" s="153"/>
      <c r="D477" s="275"/>
      <c r="E477" s="109"/>
      <c r="F477" s="277"/>
      <c r="G477" s="277"/>
      <c r="H477" s="277"/>
      <c r="K477" s="230" t="s">
        <v>474</v>
      </c>
      <c r="L477" s="230" t="s">
        <v>470</v>
      </c>
      <c r="M477" s="230">
        <v>1.5</v>
      </c>
      <c r="N477" s="230" t="s">
        <v>331</v>
      </c>
    </row>
    <row r="478" spans="2:20" ht="19.8" thickBot="1">
      <c r="F478" s="38"/>
      <c r="G478" s="185"/>
      <c r="K478" s="230" t="s">
        <v>477</v>
      </c>
      <c r="L478" s="230" t="s">
        <v>470</v>
      </c>
      <c r="M478" s="230">
        <v>1.5</v>
      </c>
      <c r="N478" s="230" t="s">
        <v>331</v>
      </c>
    </row>
    <row r="479" spans="2:20" ht="16.2" thickBot="1">
      <c r="B479" s="173" t="s">
        <v>436</v>
      </c>
      <c r="C479" s="312">
        <v>32305</v>
      </c>
      <c r="D479" s="313"/>
      <c r="E479" s="248" t="str">
        <f>IF(C480=M482,"CUSCINETTO OK","CAMBIA CUSCINETTO")</f>
        <v>CUSCINETTO OK</v>
      </c>
      <c r="T479" s="57"/>
    </row>
    <row r="480" spans="2:20" ht="16.2" thickBot="1">
      <c r="B480" s="2" t="s">
        <v>427</v>
      </c>
      <c r="C480" s="196">
        <f>C320</f>
        <v>25</v>
      </c>
      <c r="D480" s="192" t="s">
        <v>331</v>
      </c>
      <c r="F480" s="197" t="s">
        <v>429</v>
      </c>
      <c r="T480" s="57"/>
    </row>
    <row r="481" spans="2:29">
      <c r="B481" s="2" t="s">
        <v>400</v>
      </c>
      <c r="C481" s="1">
        <v>25000</v>
      </c>
      <c r="D481" s="190" t="s">
        <v>401</v>
      </c>
      <c r="F481" s="2" t="s">
        <v>402</v>
      </c>
      <c r="G481" s="3">
        <f>D274/1000</f>
        <v>2.9289952424351724</v>
      </c>
      <c r="H481" s="255" t="s">
        <v>416</v>
      </c>
      <c r="I481" s="192" t="s">
        <v>430</v>
      </c>
      <c r="K481" s="306" t="s">
        <v>525</v>
      </c>
      <c r="L481" s="306"/>
      <c r="M481" s="306"/>
      <c r="N481" s="306"/>
    </row>
    <row r="482" spans="2:29" ht="18.600000000000001">
      <c r="B482" s="2" t="s">
        <v>403</v>
      </c>
      <c r="C482" s="3">
        <f>$C$154*60/(2*PI())</f>
        <v>1399.9999999999998</v>
      </c>
      <c r="D482" s="190" t="s">
        <v>404</v>
      </c>
      <c r="F482" s="1" t="s">
        <v>405</v>
      </c>
      <c r="G482" s="3">
        <f>D281/1000</f>
        <v>8.0639354650106849</v>
      </c>
      <c r="H482" s="255" t="s">
        <v>416</v>
      </c>
      <c r="I482" s="23" t="str">
        <f>IF(G481/G482&lt;0.5,"OK","NON VERIFICATO-CAMBIARE")</f>
        <v>OK</v>
      </c>
      <c r="K482" s="230" t="s">
        <v>195</v>
      </c>
      <c r="L482" s="230"/>
      <c r="M482" s="230">
        <v>25</v>
      </c>
      <c r="N482" s="230" t="s">
        <v>331</v>
      </c>
      <c r="AA482" s="57"/>
      <c r="AB482" s="57"/>
      <c r="AC482" s="57"/>
    </row>
    <row r="483" spans="2:29" ht="18.600000000000001">
      <c r="B483" s="1" t="s">
        <v>406</v>
      </c>
      <c r="C483" s="13">
        <f>C481*C482*60*10^(-6)</f>
        <v>2099.9999999999995</v>
      </c>
      <c r="D483" s="190" t="s">
        <v>407</v>
      </c>
      <c r="K483" s="230" t="s">
        <v>194</v>
      </c>
      <c r="L483" s="230"/>
      <c r="M483" s="230">
        <v>62</v>
      </c>
      <c r="N483" s="230" t="s">
        <v>331</v>
      </c>
      <c r="AA483" s="57"/>
    </row>
    <row r="484" spans="2:29" ht="19.2" thickBot="1">
      <c r="B484" s="73" t="s">
        <v>408</v>
      </c>
      <c r="C484" s="1">
        <v>1</v>
      </c>
      <c r="K484" s="230" t="s">
        <v>528</v>
      </c>
      <c r="L484" s="230"/>
      <c r="M484" s="230">
        <v>25.25</v>
      </c>
      <c r="N484" s="230" t="s">
        <v>331</v>
      </c>
    </row>
    <row r="485" spans="2:29" ht="19.8" thickBot="1">
      <c r="B485" s="73" t="s">
        <v>409</v>
      </c>
      <c r="C485" s="177">
        <v>8</v>
      </c>
      <c r="K485" s="230" t="s">
        <v>465</v>
      </c>
      <c r="L485" s="230" t="s">
        <v>466</v>
      </c>
      <c r="M485" s="230">
        <v>41.7</v>
      </c>
      <c r="N485" s="230" t="s">
        <v>331</v>
      </c>
    </row>
    <row r="486" spans="2:29" ht="18.600000000000001">
      <c r="C486" s="178" t="s">
        <v>410</v>
      </c>
      <c r="D486" s="271">
        <f>D415</f>
        <v>220</v>
      </c>
      <c r="E486" s="122" t="s">
        <v>411</v>
      </c>
      <c r="K486" s="230" t="s">
        <v>458</v>
      </c>
      <c r="L486" s="230"/>
      <c r="M486" s="230">
        <v>24</v>
      </c>
      <c r="N486" s="230" t="s">
        <v>331</v>
      </c>
    </row>
    <row r="487" spans="2:29" ht="18.600000000000001">
      <c r="C487" s="154" t="s">
        <v>412</v>
      </c>
      <c r="D487" s="179">
        <v>22</v>
      </c>
      <c r="K487" s="230" t="s">
        <v>529</v>
      </c>
      <c r="L487" s="230"/>
      <c r="M487" s="230">
        <v>20</v>
      </c>
      <c r="N487" s="230" t="s">
        <v>331</v>
      </c>
    </row>
    <row r="488" spans="2:29" ht="19.8" thickBot="1">
      <c r="C488" s="45" t="s">
        <v>413</v>
      </c>
      <c r="D488" s="54">
        <f>D486/D487</f>
        <v>10</v>
      </c>
      <c r="K488" s="230" t="s">
        <v>467</v>
      </c>
      <c r="L488" s="230" t="s">
        <v>468</v>
      </c>
      <c r="M488" s="230">
        <v>1.5</v>
      </c>
      <c r="N488" s="230" t="s">
        <v>331</v>
      </c>
    </row>
    <row r="489" spans="2:29" ht="19.2">
      <c r="C489" s="2" t="s">
        <v>414</v>
      </c>
      <c r="D489" s="2">
        <v>0.8</v>
      </c>
      <c r="K489" s="230" t="s">
        <v>469</v>
      </c>
      <c r="L489" s="230" t="s">
        <v>468</v>
      </c>
      <c r="M489" s="230">
        <v>1.5</v>
      </c>
      <c r="N489" s="230" t="s">
        <v>331</v>
      </c>
    </row>
    <row r="490" spans="2:29" ht="19.2" thickBot="1">
      <c r="C490" s="43" t="s">
        <v>415</v>
      </c>
      <c r="D490" s="180">
        <v>7.1</v>
      </c>
      <c r="E490" s="1" t="s">
        <v>416</v>
      </c>
      <c r="K490" s="230"/>
      <c r="L490" s="230"/>
      <c r="M490" s="230"/>
      <c r="N490" s="230"/>
    </row>
    <row r="491" spans="2:29" ht="19.2">
      <c r="C491" s="181" t="s">
        <v>417</v>
      </c>
      <c r="D491" s="177">
        <v>0.3</v>
      </c>
      <c r="K491" s="311" t="s">
        <v>478</v>
      </c>
      <c r="L491" s="311"/>
      <c r="M491" s="311"/>
      <c r="N491" s="311"/>
    </row>
    <row r="492" spans="2:29" ht="19.2">
      <c r="C492" s="182" t="s">
        <v>418</v>
      </c>
      <c r="D492" s="179">
        <v>0.4</v>
      </c>
      <c r="K492" s="230" t="s">
        <v>471</v>
      </c>
      <c r="L492" s="230" t="s">
        <v>470</v>
      </c>
      <c r="M492" s="230">
        <v>33</v>
      </c>
      <c r="N492" s="230" t="s">
        <v>331</v>
      </c>
    </row>
    <row r="493" spans="2:29" ht="19.2">
      <c r="C493" s="182" t="s">
        <v>25</v>
      </c>
      <c r="D493" s="179">
        <v>2</v>
      </c>
      <c r="K493" s="230" t="s">
        <v>472</v>
      </c>
      <c r="L493" s="230" t="s">
        <v>468</v>
      </c>
      <c r="M493" s="230">
        <v>33</v>
      </c>
      <c r="N493" s="230" t="s">
        <v>331</v>
      </c>
    </row>
    <row r="494" spans="2:29" ht="19.8" thickBot="1">
      <c r="C494" s="234" t="s">
        <v>419</v>
      </c>
      <c r="D494" s="54">
        <f>IF(G481/G482&lt;=D491,G482,D492*G482+D493*G481)</f>
        <v>9.0835646708746189</v>
      </c>
      <c r="E494" s="122" t="s">
        <v>416</v>
      </c>
      <c r="K494" s="230" t="s">
        <v>473</v>
      </c>
      <c r="L494" s="230" t="s">
        <v>468</v>
      </c>
      <c r="M494" s="230">
        <v>52</v>
      </c>
      <c r="N494" s="230" t="s">
        <v>331</v>
      </c>
    </row>
    <row r="495" spans="2:29" ht="19.2">
      <c r="C495" s="232" t="s">
        <v>420</v>
      </c>
      <c r="D495" s="233">
        <f>D489*D490/D494</f>
        <v>0.62530517542438502</v>
      </c>
      <c r="G495" s="181" t="s">
        <v>417</v>
      </c>
      <c r="K495" s="230" t="s">
        <v>473</v>
      </c>
      <c r="L495" s="230" t="s">
        <v>470</v>
      </c>
      <c r="M495" s="230">
        <v>55</v>
      </c>
      <c r="N495" s="230" t="s">
        <v>331</v>
      </c>
    </row>
    <row r="496" spans="2:29" ht="19.2">
      <c r="B496" s="1" t="s">
        <v>421</v>
      </c>
      <c r="C496" s="183">
        <v>74.099999999999994</v>
      </c>
      <c r="D496" s="1" t="s">
        <v>416</v>
      </c>
      <c r="K496" s="230" t="s">
        <v>476</v>
      </c>
      <c r="L496" s="230" t="s">
        <v>468</v>
      </c>
      <c r="M496" s="230">
        <v>57</v>
      </c>
      <c r="N496" s="230" t="s">
        <v>331</v>
      </c>
    </row>
    <row r="497" spans="2:14" ht="19.2">
      <c r="B497" s="1" t="s">
        <v>422</v>
      </c>
      <c r="C497" s="184">
        <v>3</v>
      </c>
      <c r="D497" s="6">
        <f>10/3</f>
        <v>3.3333333333333335</v>
      </c>
      <c r="K497" s="230" t="s">
        <v>526</v>
      </c>
      <c r="L497" s="230" t="s">
        <v>468</v>
      </c>
      <c r="M497" s="230">
        <v>3</v>
      </c>
      <c r="N497" s="230" t="s">
        <v>331</v>
      </c>
    </row>
    <row r="498" spans="2:14" ht="19.8" thickBot="1">
      <c r="B498" s="1" t="s">
        <v>521</v>
      </c>
      <c r="C498" s="6">
        <f>C484*C485*(C496/D494)^D497</f>
        <v>8742.3791694233605</v>
      </c>
      <c r="D498" s="253" t="s">
        <v>407</v>
      </c>
      <c r="E498" s="186" t="b">
        <f>IF(C498&gt;C483,TRUE,FALSE)</f>
        <v>1</v>
      </c>
      <c r="F498" s="189"/>
      <c r="G498" s="185"/>
      <c r="K498" s="230" t="s">
        <v>527</v>
      </c>
      <c r="L498" s="230" t="s">
        <v>468</v>
      </c>
      <c r="M498" s="230">
        <v>5</v>
      </c>
      <c r="N498" s="230" t="s">
        <v>331</v>
      </c>
    </row>
    <row r="499" spans="2:14" ht="19.8" thickBot="1">
      <c r="B499" s="257" t="s">
        <v>517</v>
      </c>
      <c r="C499" s="13">
        <f>C498*10^6/(C482*60)</f>
        <v>104075.94249313527</v>
      </c>
      <c r="D499" s="253" t="s">
        <v>401</v>
      </c>
      <c r="E499" s="260">
        <f>C499/C481</f>
        <v>4.163037699725411</v>
      </c>
      <c r="F499" s="304" t="s">
        <v>518</v>
      </c>
      <c r="G499" s="304"/>
      <c r="H499" s="305"/>
      <c r="K499" s="230" t="s">
        <v>474</v>
      </c>
      <c r="L499" s="230" t="s">
        <v>470</v>
      </c>
      <c r="M499" s="230">
        <v>1.5</v>
      </c>
      <c r="N499" s="230" t="s">
        <v>331</v>
      </c>
    </row>
    <row r="500" spans="2:14" ht="19.8" thickBot="1">
      <c r="K500" s="230" t="s">
        <v>477</v>
      </c>
      <c r="L500" s="230" t="s">
        <v>470</v>
      </c>
      <c r="M500" s="230">
        <v>1.5</v>
      </c>
      <c r="N500" s="230" t="s">
        <v>331</v>
      </c>
    </row>
    <row r="501" spans="2:14" ht="16.2" thickBot="1">
      <c r="B501" s="345" t="s">
        <v>440</v>
      </c>
      <c r="C501" s="346"/>
      <c r="D501" s="346"/>
      <c r="E501" s="347"/>
    </row>
    <row r="502" spans="2:14" ht="16.2" thickBot="1">
      <c r="B502" s="188"/>
    </row>
    <row r="503" spans="2:14" ht="16.2" thickBot="1">
      <c r="B503" s="173" t="s">
        <v>426</v>
      </c>
      <c r="C503" s="312">
        <v>6212</v>
      </c>
      <c r="D503" s="313"/>
      <c r="E503" s="248" t="str">
        <f>IF(C504=M504,"CUSCINETTO OK","CAMBIA CUSCINETTO")</f>
        <v>CUSCINETTO OK</v>
      </c>
      <c r="K503" s="306" t="s">
        <v>479</v>
      </c>
      <c r="L503" s="306"/>
      <c r="M503" s="306"/>
      <c r="N503" s="306"/>
    </row>
    <row r="504" spans="2:14" ht="19.2" thickBot="1">
      <c r="B504" s="2" t="s">
        <v>427</v>
      </c>
      <c r="C504" s="196">
        <f>C336</f>
        <v>60</v>
      </c>
      <c r="D504" s="209" t="s">
        <v>331</v>
      </c>
      <c r="F504" s="197" t="s">
        <v>429</v>
      </c>
      <c r="K504" s="230" t="s">
        <v>195</v>
      </c>
      <c r="L504" s="230"/>
      <c r="M504" s="230">
        <v>60</v>
      </c>
      <c r="N504" s="230" t="s">
        <v>331</v>
      </c>
    </row>
    <row r="505" spans="2:14" ht="18.600000000000001">
      <c r="B505" s="2" t="s">
        <v>400</v>
      </c>
      <c r="C505" s="1">
        <v>25000</v>
      </c>
      <c r="D505" s="208" t="s">
        <v>401</v>
      </c>
      <c r="F505" s="2" t="s">
        <v>402</v>
      </c>
      <c r="G505" s="3">
        <f>D362/1000</f>
        <v>4.6937158175887577</v>
      </c>
      <c r="H505" s="255" t="s">
        <v>416</v>
      </c>
      <c r="I505" s="209" t="s">
        <v>430</v>
      </c>
      <c r="K505" s="230" t="s">
        <v>194</v>
      </c>
      <c r="L505" s="230"/>
      <c r="M505" s="230">
        <v>110</v>
      </c>
      <c r="N505" s="230" t="s">
        <v>331</v>
      </c>
    </row>
    <row r="506" spans="2:14" ht="18.600000000000001">
      <c r="B506" s="2" t="s">
        <v>403</v>
      </c>
      <c r="C506" s="3">
        <f>$F$154*60/(2*PI())</f>
        <v>111.71757796290973</v>
      </c>
      <c r="D506" s="208" t="s">
        <v>404</v>
      </c>
      <c r="F506" s="1" t="s">
        <v>405</v>
      </c>
      <c r="G506" s="3">
        <f>D365/1000</f>
        <v>9.4026191076169017</v>
      </c>
      <c r="H506" s="255" t="s">
        <v>416</v>
      </c>
      <c r="I506" s="23" t="str">
        <f>IF(G505/G506&lt;0.5,"OK","NON VERIFICATO-CAMBIARE")</f>
        <v>OK</v>
      </c>
      <c r="K506" s="230" t="s">
        <v>458</v>
      </c>
      <c r="L506" s="230"/>
      <c r="M506" s="230">
        <v>22</v>
      </c>
      <c r="N506" s="230" t="s">
        <v>331</v>
      </c>
    </row>
    <row r="507" spans="2:14" ht="18.600000000000001">
      <c r="B507" s="1" t="s">
        <v>406</v>
      </c>
      <c r="C507" s="13">
        <f>C505*C506*60*10^(-6)</f>
        <v>167.57636694436459</v>
      </c>
      <c r="D507" s="208" t="s">
        <v>407</v>
      </c>
      <c r="K507" s="230" t="s">
        <v>573</v>
      </c>
      <c r="L507" s="230" t="s">
        <v>466</v>
      </c>
      <c r="M507" s="230">
        <v>75.5</v>
      </c>
      <c r="N507" s="230" t="s">
        <v>331</v>
      </c>
    </row>
    <row r="508" spans="2:14" ht="19.2" thickBot="1">
      <c r="B508" s="73" t="s">
        <v>408</v>
      </c>
      <c r="C508" s="1">
        <v>1</v>
      </c>
      <c r="K508" s="230" t="s">
        <v>574</v>
      </c>
      <c r="L508" s="230" t="s">
        <v>466</v>
      </c>
      <c r="M508" s="230">
        <v>98</v>
      </c>
      <c r="N508" s="230" t="s">
        <v>331</v>
      </c>
    </row>
    <row r="509" spans="2:14" ht="19.2" thickBot="1">
      <c r="B509" s="73" t="s">
        <v>409</v>
      </c>
      <c r="C509" s="177">
        <v>3.5</v>
      </c>
      <c r="K509" s="230" t="s">
        <v>575</v>
      </c>
      <c r="L509" s="230" t="s">
        <v>468</v>
      </c>
      <c r="M509" s="230">
        <v>1.5</v>
      </c>
      <c r="N509" s="230" t="s">
        <v>331</v>
      </c>
    </row>
    <row r="510" spans="2:14" ht="18.600000000000001">
      <c r="C510" s="178" t="s">
        <v>410</v>
      </c>
      <c r="D510" s="271">
        <f>D415</f>
        <v>220</v>
      </c>
      <c r="E510" s="122" t="s">
        <v>411</v>
      </c>
      <c r="K510" s="299" t="s">
        <v>478</v>
      </c>
      <c r="L510" s="300"/>
      <c r="M510" s="300"/>
      <c r="N510" s="301"/>
    </row>
    <row r="511" spans="2:14" ht="18.600000000000001">
      <c r="C511" s="154" t="s">
        <v>412</v>
      </c>
      <c r="D511" s="179">
        <v>110</v>
      </c>
      <c r="K511" s="230" t="s">
        <v>576</v>
      </c>
      <c r="L511" s="230" t="s">
        <v>468</v>
      </c>
      <c r="M511" s="230">
        <v>69</v>
      </c>
      <c r="N511" s="230" t="s">
        <v>331</v>
      </c>
    </row>
    <row r="512" spans="2:14" ht="19.2" thickBot="1">
      <c r="C512" s="45" t="s">
        <v>413</v>
      </c>
      <c r="D512" s="54">
        <f>D510/D511</f>
        <v>2</v>
      </c>
      <c r="K512" s="230" t="s">
        <v>577</v>
      </c>
      <c r="L512" s="230" t="s">
        <v>470</v>
      </c>
      <c r="M512" s="230">
        <v>101</v>
      </c>
      <c r="N512" s="230" t="s">
        <v>331</v>
      </c>
    </row>
    <row r="513" spans="2:14" ht="18.600000000000001">
      <c r="C513" s="2" t="s">
        <v>414</v>
      </c>
      <c r="D513" s="2">
        <v>0.8</v>
      </c>
      <c r="K513" s="230" t="s">
        <v>578</v>
      </c>
      <c r="L513" s="230" t="s">
        <v>470</v>
      </c>
      <c r="M513" s="230">
        <v>1.5</v>
      </c>
      <c r="N513" s="230" t="s">
        <v>331</v>
      </c>
    </row>
    <row r="514" spans="2:14" ht="19.2" thickBot="1">
      <c r="C514" s="43" t="s">
        <v>415</v>
      </c>
      <c r="D514" s="180">
        <v>1.53</v>
      </c>
      <c r="E514" s="1" t="s">
        <v>416</v>
      </c>
      <c r="K514" s="231"/>
      <c r="L514" s="231"/>
      <c r="M514" s="231"/>
      <c r="N514" s="231"/>
    </row>
    <row r="515" spans="2:14" ht="18.600000000000001">
      <c r="C515" s="181" t="s">
        <v>417</v>
      </c>
      <c r="D515" s="177">
        <v>0.32</v>
      </c>
      <c r="K515" s="231"/>
      <c r="L515" s="231"/>
      <c r="M515" s="231"/>
      <c r="N515" s="231"/>
    </row>
    <row r="516" spans="2:14">
      <c r="C516" s="182" t="s">
        <v>418</v>
      </c>
      <c r="D516" s="179">
        <v>0.56000000000000005</v>
      </c>
    </row>
    <row r="517" spans="2:14">
      <c r="C517" s="182" t="s">
        <v>25</v>
      </c>
      <c r="D517" s="179">
        <v>1.35</v>
      </c>
    </row>
    <row r="518" spans="2:14" ht="16.2" thickBot="1">
      <c r="C518" s="234" t="s">
        <v>419</v>
      </c>
      <c r="D518" s="54">
        <f>IF(G505/G506&lt;=D515,G506,D516*G506+D517*G505)</f>
        <v>11.601983054010288</v>
      </c>
      <c r="E518" s="122" t="s">
        <v>416</v>
      </c>
    </row>
    <row r="519" spans="2:14">
      <c r="C519" s="232" t="s">
        <v>420</v>
      </c>
      <c r="D519" s="233">
        <f>D513*D514/D518</f>
        <v>0.10549920598073258</v>
      </c>
    </row>
    <row r="520" spans="2:14">
      <c r="B520" s="1" t="s">
        <v>421</v>
      </c>
      <c r="C520" s="183">
        <v>55.3</v>
      </c>
      <c r="D520" s="1" t="s">
        <v>416</v>
      </c>
    </row>
    <row r="521" spans="2:14">
      <c r="B521" s="1" t="s">
        <v>422</v>
      </c>
      <c r="C521" s="184">
        <v>3</v>
      </c>
      <c r="D521" s="6">
        <f>10/3</f>
        <v>3.3333333333333335</v>
      </c>
    </row>
    <row r="522" spans="2:14" ht="16.2" thickBot="1">
      <c r="B522" s="1" t="s">
        <v>521</v>
      </c>
      <c r="C522" s="6">
        <f>C508*C509*(C520/D518)^C521</f>
        <v>379.0065869625729</v>
      </c>
      <c r="D522" s="253" t="s">
        <v>407</v>
      </c>
      <c r="E522" s="259" t="b">
        <f>IF(C522&gt;C507,TRUE,FALSE)</f>
        <v>1</v>
      </c>
      <c r="F522" s="189"/>
      <c r="G522" s="185"/>
    </row>
    <row r="523" spans="2:14" ht="16.2" thickBot="1">
      <c r="B523" s="257" t="s">
        <v>517</v>
      </c>
      <c r="C523" s="13">
        <f>C522*10^6/(C506*60)</f>
        <v>56542.368395002137</v>
      </c>
      <c r="D523" s="256" t="s">
        <v>401</v>
      </c>
      <c r="E523" s="260">
        <f>C523/C505</f>
        <v>2.2616947358000856</v>
      </c>
      <c r="F523" s="304" t="s">
        <v>518</v>
      </c>
      <c r="G523" s="304"/>
      <c r="H523" s="305"/>
    </row>
    <row r="524" spans="2:14" ht="16.2" thickBot="1">
      <c r="F524" s="38"/>
      <c r="G524" s="185"/>
    </row>
    <row r="525" spans="2:14" ht="16.2" thickBot="1">
      <c r="B525" s="173" t="s">
        <v>436</v>
      </c>
      <c r="C525" s="312">
        <v>6212</v>
      </c>
      <c r="D525" s="313"/>
      <c r="E525" s="248" t="str">
        <f>IF(C526=M504,"CUSCINETTO OK","CAMBIA CUSCINETTO")</f>
        <v>CUSCINETTO OK</v>
      </c>
    </row>
    <row r="526" spans="2:14" ht="16.2" thickBot="1">
      <c r="B526" s="2" t="s">
        <v>427</v>
      </c>
      <c r="C526" s="196">
        <f>C336</f>
        <v>60</v>
      </c>
      <c r="D526" s="209" t="s">
        <v>331</v>
      </c>
      <c r="F526" s="197" t="s">
        <v>429</v>
      </c>
    </row>
    <row r="527" spans="2:14">
      <c r="B527" s="2" t="s">
        <v>400</v>
      </c>
      <c r="C527" s="1">
        <v>25000</v>
      </c>
      <c r="D527" s="208" t="s">
        <v>401</v>
      </c>
      <c r="F527" s="2" t="s">
        <v>402</v>
      </c>
      <c r="G527" s="3">
        <f>D362/1000</f>
        <v>4.6937158175887577</v>
      </c>
      <c r="H527" s="255" t="s">
        <v>416</v>
      </c>
      <c r="I527" s="209" t="s">
        <v>430</v>
      </c>
    </row>
    <row r="528" spans="2:14">
      <c r="B528" s="2" t="s">
        <v>403</v>
      </c>
      <c r="C528" s="3">
        <f>$F$154*60/(2*PI())</f>
        <v>111.71757796290973</v>
      </c>
      <c r="D528" s="208" t="s">
        <v>404</v>
      </c>
      <c r="F528" s="1" t="s">
        <v>405</v>
      </c>
      <c r="G528" s="3">
        <f>D366/1000</f>
        <v>12.159953354601885</v>
      </c>
      <c r="H528" s="255" t="s">
        <v>416</v>
      </c>
      <c r="I528" s="23" t="str">
        <f>IF(G527/G528&lt;0.5,"OK","NON VERIFICATO-CAMBIARE")</f>
        <v>OK</v>
      </c>
    </row>
    <row r="529" spans="2:7">
      <c r="B529" s="1" t="s">
        <v>406</v>
      </c>
      <c r="C529" s="13">
        <f>C527*C528*60*10^(-6)</f>
        <v>167.57636694436459</v>
      </c>
      <c r="D529" s="208" t="s">
        <v>407</v>
      </c>
    </row>
    <row r="530" spans="2:7" ht="16.2" thickBot="1">
      <c r="B530" s="73" t="s">
        <v>408</v>
      </c>
      <c r="C530" s="1">
        <v>1</v>
      </c>
    </row>
    <row r="531" spans="2:7" ht="16.2" thickBot="1">
      <c r="B531" s="73" t="s">
        <v>409</v>
      </c>
      <c r="C531" s="177">
        <v>3</v>
      </c>
    </row>
    <row r="532" spans="2:7">
      <c r="C532" s="178" t="s">
        <v>410</v>
      </c>
      <c r="D532" s="271">
        <f>D415</f>
        <v>220</v>
      </c>
      <c r="E532" s="122" t="s">
        <v>411</v>
      </c>
    </row>
    <row r="533" spans="2:7">
      <c r="C533" s="154" t="s">
        <v>412</v>
      </c>
      <c r="D533" s="179">
        <v>110</v>
      </c>
    </row>
    <row r="534" spans="2:7" ht="16.2" thickBot="1">
      <c r="C534" s="45" t="s">
        <v>413</v>
      </c>
      <c r="D534" s="54">
        <f>D532/D533</f>
        <v>2</v>
      </c>
    </row>
    <row r="535" spans="2:7">
      <c r="C535" s="2" t="s">
        <v>414</v>
      </c>
      <c r="D535" s="2">
        <v>0.8</v>
      </c>
    </row>
    <row r="536" spans="2:7" ht="16.2" thickBot="1">
      <c r="C536" s="43" t="s">
        <v>415</v>
      </c>
      <c r="D536" s="180">
        <v>1.53</v>
      </c>
      <c r="E536" s="1" t="s">
        <v>416</v>
      </c>
    </row>
    <row r="537" spans="2:7">
      <c r="C537" s="181" t="s">
        <v>417</v>
      </c>
      <c r="D537" s="177">
        <v>0.32</v>
      </c>
    </row>
    <row r="538" spans="2:7">
      <c r="C538" s="182" t="s">
        <v>418</v>
      </c>
      <c r="D538" s="179">
        <v>0.56000000000000005</v>
      </c>
    </row>
    <row r="539" spans="2:7">
      <c r="C539" s="182" t="s">
        <v>25</v>
      </c>
      <c r="D539" s="179">
        <v>1.35</v>
      </c>
    </row>
    <row r="540" spans="2:7" ht="16.2" thickBot="1">
      <c r="C540" s="234" t="s">
        <v>419</v>
      </c>
      <c r="D540" s="54">
        <f>IF(G527/G528&lt;=D537,G528,D538*G528+D539*G527)</f>
        <v>13.14609023232188</v>
      </c>
      <c r="E540" s="122" t="s">
        <v>416</v>
      </c>
    </row>
    <row r="541" spans="2:7">
      <c r="C541" s="232" t="s">
        <v>420</v>
      </c>
      <c r="D541" s="233">
        <f>D535*D536/D540</f>
        <v>9.310753070830062E-2</v>
      </c>
    </row>
    <row r="542" spans="2:7">
      <c r="B542" s="1" t="s">
        <v>421</v>
      </c>
      <c r="C542" s="183">
        <v>55.3</v>
      </c>
      <c r="D542" s="1" t="s">
        <v>416</v>
      </c>
    </row>
    <row r="543" spans="2:7">
      <c r="B543" s="1" t="s">
        <v>422</v>
      </c>
      <c r="C543" s="184">
        <v>3</v>
      </c>
      <c r="D543" s="6">
        <f>10/3</f>
        <v>3.3333333333333335</v>
      </c>
    </row>
    <row r="544" spans="2:7" ht="16.2" thickBot="1">
      <c r="B544" s="1" t="s">
        <v>521</v>
      </c>
      <c r="C544" s="6">
        <f>C530*C531*(C542/D540)^C543</f>
        <v>223.30930608055337</v>
      </c>
      <c r="D544" s="253" t="s">
        <v>407</v>
      </c>
      <c r="E544" s="186" t="b">
        <f>IF(C544&gt;C529,TRUE,FALSE)</f>
        <v>1</v>
      </c>
      <c r="F544" s="189"/>
      <c r="G544" s="185"/>
    </row>
    <row r="545" spans="2:8" ht="16.2" thickBot="1">
      <c r="B545" s="257" t="s">
        <v>517</v>
      </c>
      <c r="C545" s="13">
        <f>C544*10^6/(C528*60)</f>
        <v>33314.558334274567</v>
      </c>
      <c r="D545" s="253" t="s">
        <v>401</v>
      </c>
      <c r="E545" s="260">
        <f>C545/C527</f>
        <v>1.3325823333709828</v>
      </c>
      <c r="F545" s="304" t="s">
        <v>518</v>
      </c>
      <c r="G545" s="304"/>
      <c r="H545" s="305"/>
    </row>
    <row r="547" spans="2:8" ht="16.2" thickBot="1"/>
    <row r="548" spans="2:8" ht="16.2" thickBot="1">
      <c r="B548" s="197" t="s">
        <v>441</v>
      </c>
    </row>
    <row r="549" spans="2:8" ht="16.2" thickBot="1"/>
    <row r="550" spans="2:8" ht="16.2" thickBot="1">
      <c r="B550" s="173" t="s">
        <v>442</v>
      </c>
    </row>
    <row r="551" spans="2:8">
      <c r="B551" s="2" t="s">
        <v>443</v>
      </c>
      <c r="C551" s="3">
        <f>C12</f>
        <v>1101.0611800142624</v>
      </c>
      <c r="D551" s="1" t="s">
        <v>444</v>
      </c>
    </row>
    <row r="552" spans="2:8">
      <c r="B552" s="36" t="s">
        <v>445</v>
      </c>
      <c r="C552" s="1">
        <f>C102</f>
        <v>40</v>
      </c>
      <c r="D552" s="1" t="s">
        <v>331</v>
      </c>
    </row>
    <row r="554" spans="2:8">
      <c r="B554" s="214" t="s">
        <v>446</v>
      </c>
    </row>
    <row r="555" spans="2:8">
      <c r="B555" s="1" t="s">
        <v>447</v>
      </c>
      <c r="C555" s="1">
        <v>175</v>
      </c>
      <c r="D555" s="1" t="s">
        <v>448</v>
      </c>
    </row>
    <row r="556" spans="2:8">
      <c r="B556" s="1" t="s">
        <v>449</v>
      </c>
      <c r="C556" s="1">
        <v>8</v>
      </c>
      <c r="D556" s="1" t="s">
        <v>331</v>
      </c>
    </row>
    <row r="557" spans="2:8">
      <c r="B557" s="1" t="s">
        <v>450</v>
      </c>
      <c r="C557" s="1">
        <v>12</v>
      </c>
      <c r="D557" s="1" t="s">
        <v>331</v>
      </c>
    </row>
    <row r="558" spans="2:8">
      <c r="B558" s="36" t="s">
        <v>451</v>
      </c>
      <c r="C558" s="3">
        <f>4*C551*1000/(C556*C552*C555)</f>
        <v>78.647227143875895</v>
      </c>
      <c r="D558" s="36" t="s">
        <v>331</v>
      </c>
    </row>
    <row r="559" spans="2:8">
      <c r="B559" s="36" t="s">
        <v>452</v>
      </c>
      <c r="C559" s="3">
        <v>80</v>
      </c>
      <c r="D559" s="36" t="s">
        <v>331</v>
      </c>
      <c r="E559" s="1" t="s">
        <v>392</v>
      </c>
      <c r="F559" s="23" t="b">
        <f>IF(C559&lt;Geometria!B21,TRUE,FALSE)</f>
        <v>0</v>
      </c>
    </row>
    <row r="561" spans="2:6">
      <c r="B561" s="302" t="s">
        <v>453</v>
      </c>
      <c r="C561" s="302"/>
      <c r="D561" s="302"/>
      <c r="E561" s="302"/>
      <c r="F561" s="302"/>
    </row>
    <row r="563" spans="2:6">
      <c r="B563" s="214" t="s">
        <v>454</v>
      </c>
      <c r="C563" s="152" t="s">
        <v>326</v>
      </c>
    </row>
    <row r="564" spans="2:6">
      <c r="B564" s="1" t="s">
        <v>455</v>
      </c>
      <c r="C564" s="1">
        <v>2.1</v>
      </c>
    </row>
    <row r="565" spans="2:6">
      <c r="B565" s="43" t="s">
        <v>605</v>
      </c>
      <c r="C565" s="223">
        <f>PI()*C552^3*(Tabelle!D36/(3)^(1/2))/(16*1000)</f>
        <v>6747.3336349512902</v>
      </c>
      <c r="D565" s="1" t="s">
        <v>444</v>
      </c>
    </row>
    <row r="566" spans="2:6">
      <c r="B566" s="1" t="s">
        <v>604</v>
      </c>
      <c r="C566" s="1">
        <v>0.96</v>
      </c>
    </row>
    <row r="567" spans="2:6" ht="16.2" thickBot="1">
      <c r="B567" s="43" t="s">
        <v>606</v>
      </c>
      <c r="C567" s="223">
        <f>IF(C551&lt;C565,C566*(C565/C551)*(Tabelle!D22/Tabelle!D36),C566*(Tabelle!D22/Tabelle!D36))</f>
        <v>4.5228799496654322</v>
      </c>
    </row>
    <row r="568" spans="2:6">
      <c r="B568" s="215" t="s">
        <v>456</v>
      </c>
      <c r="C568" s="216">
        <f>C552^2/((C570-C552-4*C572)*(C552+C570)*C569)</f>
        <v>0.33422459893048129</v>
      </c>
    </row>
    <row r="569" spans="2:6">
      <c r="B569" s="182" t="s">
        <v>457</v>
      </c>
      <c r="C569" s="52">
        <v>8</v>
      </c>
    </row>
    <row r="570" spans="2:6">
      <c r="B570" s="182" t="s">
        <v>194</v>
      </c>
      <c r="C570" s="52">
        <v>48</v>
      </c>
      <c r="D570" s="122" t="s">
        <v>331</v>
      </c>
    </row>
    <row r="571" spans="2:6">
      <c r="B571" s="182" t="s">
        <v>458</v>
      </c>
      <c r="C571" s="52">
        <v>8</v>
      </c>
      <c r="D571" s="122" t="s">
        <v>331</v>
      </c>
    </row>
    <row r="572" spans="2:6" ht="16.2" thickBot="1">
      <c r="B572" s="217" t="s">
        <v>459</v>
      </c>
      <c r="C572" s="218">
        <v>0.3</v>
      </c>
      <c r="D572" s="219" t="s">
        <v>331</v>
      </c>
    </row>
    <row r="573" spans="2:6">
      <c r="B573" s="220" t="s">
        <v>451</v>
      </c>
      <c r="C573" s="221">
        <f>C564*C568*C552/C567</f>
        <v>6.2072985846633388</v>
      </c>
      <c r="D573" s="43" t="s">
        <v>331</v>
      </c>
    </row>
    <row r="574" spans="2:6">
      <c r="B574" s="222" t="s">
        <v>460</v>
      </c>
      <c r="C574" s="3">
        <f>Geometria!B21</f>
        <v>57.465599713699248</v>
      </c>
      <c r="D574" s="36" t="s">
        <v>331</v>
      </c>
      <c r="E574" s="1" t="s">
        <v>392</v>
      </c>
      <c r="F574" s="23" t="b">
        <f>C574&gt;=C573</f>
        <v>1</v>
      </c>
    </row>
    <row r="576" spans="2:6">
      <c r="B576" s="222" t="s">
        <v>392</v>
      </c>
      <c r="C576" s="3">
        <f>C574/C552</f>
        <v>1.4366399928424811</v>
      </c>
      <c r="D576" s="23" t="b">
        <f>IF(C576&lt;=1.5, TRUE,FALSE)</f>
        <v>1</v>
      </c>
    </row>
    <row r="578" spans="2:6">
      <c r="B578" s="302" t="s">
        <v>579</v>
      </c>
      <c r="C578" s="302"/>
      <c r="D578" s="302"/>
      <c r="E578" s="302"/>
      <c r="F578" s="302"/>
    </row>
    <row r="580" spans="2:6" ht="16.2" thickBot="1">
      <c r="B580" s="214" t="s">
        <v>480</v>
      </c>
    </row>
    <row r="581" spans="2:6">
      <c r="B581" s="49" t="s">
        <v>481</v>
      </c>
      <c r="C581" s="98">
        <f>2*C551*1000/(PI()*C585^2*C583*C582)*C584</f>
        <v>121.97859611240753</v>
      </c>
      <c r="D581" s="122" t="s">
        <v>448</v>
      </c>
    </row>
    <row r="582" spans="2:6">
      <c r="B582" s="154" t="s">
        <v>482</v>
      </c>
      <c r="C582" s="52">
        <v>0.125</v>
      </c>
    </row>
    <row r="583" spans="2:6">
      <c r="B583" s="154" t="s">
        <v>483</v>
      </c>
      <c r="C583" s="53">
        <f>Geometria!B21</f>
        <v>57.465599713699248</v>
      </c>
      <c r="D583" s="122" t="s">
        <v>331</v>
      </c>
    </row>
    <row r="584" spans="2:6">
      <c r="B584" s="154" t="s">
        <v>484</v>
      </c>
      <c r="C584" s="52">
        <v>2</v>
      </c>
    </row>
    <row r="585" spans="2:6" ht="16.2" thickBot="1">
      <c r="B585" s="67" t="s">
        <v>485</v>
      </c>
      <c r="C585" s="235">
        <f>C552</f>
        <v>40</v>
      </c>
      <c r="D585" s="122" t="s">
        <v>331</v>
      </c>
    </row>
    <row r="586" spans="2:6">
      <c r="B586" s="238" t="s">
        <v>486</v>
      </c>
      <c r="C586" s="239">
        <f>(2*C581*C589)/(C587*1000)*(2*C588^2)/(C588^2-C589^2)*1000</f>
        <v>48.586710441010418</v>
      </c>
      <c r="D586" s="237" t="s">
        <v>491</v>
      </c>
    </row>
    <row r="587" spans="2:6">
      <c r="B587" s="182" t="s">
        <v>487</v>
      </c>
      <c r="C587" s="52">
        <f>Tabelle!C22</f>
        <v>210</v>
      </c>
      <c r="D587" s="122" t="s">
        <v>488</v>
      </c>
      <c r="E587" s="124" t="s">
        <v>326</v>
      </c>
    </row>
    <row r="588" spans="2:6">
      <c r="B588" s="182" t="s">
        <v>489</v>
      </c>
      <c r="C588" s="53">
        <f>Geometria!C16</f>
        <v>95.775999522832095</v>
      </c>
      <c r="D588" s="122" t="s">
        <v>331</v>
      </c>
    </row>
    <row r="589" spans="2:6" ht="16.2" thickBot="1">
      <c r="B589" s="217" t="s">
        <v>490</v>
      </c>
      <c r="C589" s="235">
        <f>C585/2</f>
        <v>20</v>
      </c>
      <c r="D589" s="122" t="s">
        <v>331</v>
      </c>
    </row>
    <row r="590" spans="2:6" ht="16.2" thickBot="1"/>
    <row r="591" spans="2:6" ht="16.2" thickBot="1">
      <c r="B591" s="240" t="s">
        <v>492</v>
      </c>
      <c r="C591" s="246" t="s">
        <v>580</v>
      </c>
    </row>
    <row r="592" spans="2:6">
      <c r="B592" s="236" t="s">
        <v>495</v>
      </c>
      <c r="C592" s="2">
        <v>12</v>
      </c>
      <c r="D592" s="237" t="s">
        <v>491</v>
      </c>
    </row>
    <row r="593" spans="2:7">
      <c r="B593" s="222" t="s">
        <v>494</v>
      </c>
      <c r="C593" s="1">
        <v>-12</v>
      </c>
      <c r="D593" s="237" t="s">
        <v>491</v>
      </c>
    </row>
    <row r="594" spans="2:7">
      <c r="B594" s="222" t="s">
        <v>496</v>
      </c>
      <c r="C594" s="1">
        <v>76</v>
      </c>
      <c r="D594" s="237" t="s">
        <v>491</v>
      </c>
    </row>
    <row r="595" spans="2:7">
      <c r="B595" s="222" t="s">
        <v>497</v>
      </c>
      <c r="C595" s="1">
        <v>105</v>
      </c>
      <c r="D595" s="237" t="s">
        <v>491</v>
      </c>
    </row>
    <row r="596" spans="2:7">
      <c r="B596" s="69" t="s">
        <v>498</v>
      </c>
      <c r="C596" s="1">
        <f>C595-C592</f>
        <v>93</v>
      </c>
      <c r="D596" s="237" t="s">
        <v>491</v>
      </c>
      <c r="E596" s="303" t="s">
        <v>584</v>
      </c>
      <c r="F596" s="303"/>
      <c r="G596" s="23" t="b">
        <f>IF(C595&gt;=C596+C592,TRUE,FALSE)</f>
        <v>1</v>
      </c>
    </row>
    <row r="597" spans="2:7" ht="16.2" thickBot="1">
      <c r="B597" s="241" t="s">
        <v>499</v>
      </c>
      <c r="C597" s="43">
        <f>C594-C593</f>
        <v>88</v>
      </c>
      <c r="D597" s="237" t="s">
        <v>491</v>
      </c>
    </row>
    <row r="598" spans="2:7">
      <c r="B598" s="242" t="s">
        <v>500</v>
      </c>
      <c r="C598" s="50">
        <f>2*0.4*(C599+C600)</f>
        <v>1.2800000000000002</v>
      </c>
      <c r="D598" s="237" t="s">
        <v>491</v>
      </c>
    </row>
    <row r="599" spans="2:7">
      <c r="B599" s="154" t="s">
        <v>502</v>
      </c>
      <c r="C599" s="52">
        <v>0.8</v>
      </c>
      <c r="D599" s="237" t="s">
        <v>491</v>
      </c>
    </row>
    <row r="600" spans="2:7" ht="16.2" thickBot="1">
      <c r="B600" s="67" t="s">
        <v>501</v>
      </c>
      <c r="C600" s="235">
        <v>0.8</v>
      </c>
      <c r="D600" s="237" t="s">
        <v>491</v>
      </c>
    </row>
    <row r="601" spans="2:7">
      <c r="B601" s="236" t="s">
        <v>503</v>
      </c>
      <c r="C601" s="2">
        <v>0</v>
      </c>
      <c r="D601" s="237" t="s">
        <v>491</v>
      </c>
    </row>
    <row r="602" spans="2:7">
      <c r="B602" s="222" t="s">
        <v>392</v>
      </c>
      <c r="C602" s="23" t="b">
        <f>IF(C596&gt;=C586+C598+C601,TRUE,FALSE)</f>
        <v>1</v>
      </c>
    </row>
    <row r="603" spans="2:7" ht="16.2" thickBot="1"/>
    <row r="604" spans="2:7" ht="16.2" thickBot="1">
      <c r="B604" s="27" t="s">
        <v>504</v>
      </c>
    </row>
    <row r="605" spans="2:7">
      <c r="B605" s="244" t="s">
        <v>508</v>
      </c>
      <c r="C605" s="122">
        <f>C585</f>
        <v>40</v>
      </c>
      <c r="D605" s="36" t="s">
        <v>491</v>
      </c>
    </row>
    <row r="606" spans="2:7">
      <c r="B606" s="245" t="s">
        <v>499</v>
      </c>
      <c r="C606" s="122">
        <f>C597</f>
        <v>88</v>
      </c>
      <c r="D606" s="36" t="s">
        <v>491</v>
      </c>
    </row>
    <row r="607" spans="2:7">
      <c r="B607" s="245" t="s">
        <v>505</v>
      </c>
      <c r="C607" s="122">
        <v>30</v>
      </c>
      <c r="D607" s="36" t="s">
        <v>491</v>
      </c>
    </row>
    <row r="608" spans="2:7">
      <c r="B608" s="245" t="s">
        <v>336</v>
      </c>
      <c r="C608" s="122">
        <f>1.2*10^(-5)</f>
        <v>1.2E-5</v>
      </c>
      <c r="D608" s="1" t="s">
        <v>506</v>
      </c>
    </row>
    <row r="609" spans="2:6" ht="16.2" thickBot="1">
      <c r="B609" s="243" t="s">
        <v>507</v>
      </c>
      <c r="C609" s="10">
        <f>(C606+C607)/(C608*C605*1000)</f>
        <v>245.83333333333331</v>
      </c>
      <c r="D609" s="1" t="s">
        <v>509</v>
      </c>
    </row>
    <row r="610" spans="2:6">
      <c r="B610" s="2" t="s">
        <v>392</v>
      </c>
      <c r="C610" s="23" t="b">
        <f>IF(C609&lt;350,TRUE,FALSE)</f>
        <v>1</v>
      </c>
    </row>
    <row r="612" spans="2:6">
      <c r="B612" s="302" t="s">
        <v>585</v>
      </c>
      <c r="C612" s="302"/>
      <c r="D612" s="302"/>
      <c r="E612" s="302"/>
    </row>
    <row r="614" spans="2:6" ht="16.2" thickBot="1"/>
    <row r="615" spans="2:6" ht="16.2" thickBot="1">
      <c r="B615" s="173" t="s">
        <v>461</v>
      </c>
    </row>
    <row r="616" spans="2:6">
      <c r="B616" s="2" t="s">
        <v>443</v>
      </c>
      <c r="C616" s="3">
        <f>C12</f>
        <v>1101.0611800142624</v>
      </c>
      <c r="D616" s="1" t="s">
        <v>444</v>
      </c>
    </row>
    <row r="617" spans="2:6">
      <c r="B617" s="36" t="s">
        <v>462</v>
      </c>
      <c r="C617" s="1">
        <f>C105</f>
        <v>45</v>
      </c>
      <c r="D617" s="1" t="s">
        <v>331</v>
      </c>
    </row>
    <row r="619" spans="2:6">
      <c r="B619" s="214" t="s">
        <v>446</v>
      </c>
    </row>
    <row r="620" spans="2:6">
      <c r="B620" s="1" t="s">
        <v>447</v>
      </c>
      <c r="C620" s="1">
        <v>175</v>
      </c>
      <c r="D620" s="1" t="s">
        <v>448</v>
      </c>
    </row>
    <row r="621" spans="2:6">
      <c r="B621" s="1" t="s">
        <v>449</v>
      </c>
      <c r="C621" s="1">
        <v>9</v>
      </c>
      <c r="D621" s="1" t="s">
        <v>331</v>
      </c>
    </row>
    <row r="622" spans="2:6">
      <c r="B622" s="1" t="s">
        <v>450</v>
      </c>
      <c r="C622" s="1">
        <v>14</v>
      </c>
      <c r="D622" s="1" t="s">
        <v>331</v>
      </c>
    </row>
    <row r="623" spans="2:6">
      <c r="B623" s="36" t="s">
        <v>451</v>
      </c>
      <c r="C623" s="3">
        <f>4*C616*1000/(C621*C617*C620)</f>
        <v>62.141018977877245</v>
      </c>
      <c r="D623" s="36" t="s">
        <v>331</v>
      </c>
    </row>
    <row r="624" spans="2:6">
      <c r="B624" s="96" t="s">
        <v>452</v>
      </c>
      <c r="C624" s="223">
        <v>63</v>
      </c>
      <c r="D624" s="96" t="s">
        <v>331</v>
      </c>
      <c r="E624" s="43" t="s">
        <v>392</v>
      </c>
      <c r="F624" s="224" t="b">
        <f>IF(C624&lt;Geometria!C21,TRUE,FALSE)</f>
        <v>1</v>
      </c>
    </row>
    <row r="625" spans="2:6">
      <c r="B625" s="225"/>
      <c r="C625" s="226"/>
      <c r="D625" s="225"/>
      <c r="E625" s="225"/>
      <c r="F625" s="225"/>
    </row>
    <row r="626" spans="2:6">
      <c r="B626" s="227" t="s">
        <v>392</v>
      </c>
      <c r="C626" s="228" t="b">
        <f>IF(C624&lt;PI()*C617^2/(8*C622),TRUE,FALSE)</f>
        <v>0</v>
      </c>
      <c r="D626" s="174"/>
      <c r="E626" s="174"/>
      <c r="F626" s="174"/>
    </row>
    <row r="627" spans="2:6">
      <c r="B627" s="212"/>
      <c r="C627" s="212"/>
      <c r="D627" s="212"/>
      <c r="E627" s="212"/>
      <c r="F627" s="212"/>
    </row>
    <row r="628" spans="2:6">
      <c r="B628" s="302" t="s">
        <v>463</v>
      </c>
      <c r="C628" s="302"/>
      <c r="D628" s="302"/>
      <c r="E628" s="302"/>
      <c r="F628" s="302"/>
    </row>
    <row r="630" spans="2:6">
      <c r="B630" s="214" t="s">
        <v>454</v>
      </c>
      <c r="C630" s="152" t="s">
        <v>326</v>
      </c>
    </row>
    <row r="631" spans="2:6">
      <c r="B631" s="1" t="s">
        <v>455</v>
      </c>
      <c r="C631" s="1">
        <v>2.1</v>
      </c>
    </row>
    <row r="632" spans="2:6">
      <c r="B632" s="1" t="s">
        <v>607</v>
      </c>
      <c r="C632" s="3">
        <f>PI()*C617^3*(Tabelle!D36/(3)^(1/2))/(16*1000)</f>
        <v>9607.0433982021314</v>
      </c>
      <c r="D632" s="1" t="s">
        <v>444</v>
      </c>
    </row>
    <row r="633" spans="2:6">
      <c r="B633" s="1" t="s">
        <v>604</v>
      </c>
      <c r="C633" s="1">
        <v>0.96</v>
      </c>
    </row>
    <row r="634" spans="2:6" ht="16.2" thickBot="1">
      <c r="B634" s="43" t="s">
        <v>606</v>
      </c>
      <c r="C634" s="223">
        <f>IF(C616&lt;C632,C633*(C632/C616)*(Tabelle!D22/Tabelle!D36),C633*(Tabelle!D22/Tabelle!D36))</f>
        <v>6.4398036783322281</v>
      </c>
    </row>
    <row r="635" spans="2:6">
      <c r="B635" s="215" t="s">
        <v>456</v>
      </c>
      <c r="C635" s="216">
        <f>C617^2/((C637-C617-4*C639)*(C617+C637)*C636)</f>
        <v>0.32779720279720281</v>
      </c>
    </row>
    <row r="636" spans="2:6">
      <c r="B636" s="182" t="s">
        <v>457</v>
      </c>
      <c r="C636" s="52">
        <v>8</v>
      </c>
    </row>
    <row r="637" spans="2:6">
      <c r="B637" s="182" t="s">
        <v>194</v>
      </c>
      <c r="C637" s="52">
        <v>54</v>
      </c>
      <c r="D637" s="122" t="s">
        <v>331</v>
      </c>
    </row>
    <row r="638" spans="2:6">
      <c r="B638" s="182" t="s">
        <v>458</v>
      </c>
      <c r="C638" s="52">
        <v>9</v>
      </c>
      <c r="D638" s="122" t="s">
        <v>331</v>
      </c>
    </row>
    <row r="639" spans="2:6" ht="16.2" thickBot="1">
      <c r="B639" s="217" t="s">
        <v>459</v>
      </c>
      <c r="C639" s="218">
        <v>0.3</v>
      </c>
      <c r="D639" s="219" t="s">
        <v>331</v>
      </c>
    </row>
    <row r="640" spans="2:6">
      <c r="B640" s="220" t="s">
        <v>451</v>
      </c>
      <c r="C640" s="221">
        <f>C631*C635*C617/C634</f>
        <v>4.8102142878302789</v>
      </c>
      <c r="D640" s="43" t="s">
        <v>331</v>
      </c>
    </row>
    <row r="641" spans="2:7">
      <c r="B641" s="222" t="s">
        <v>460</v>
      </c>
      <c r="C641" s="3">
        <f>Geometria!C21</f>
        <v>77.645713530756225</v>
      </c>
      <c r="D641" s="36" t="s">
        <v>331</v>
      </c>
      <c r="E641" s="1" t="s">
        <v>392</v>
      </c>
      <c r="F641" s="23" t="b">
        <f>C641&gt;=C640</f>
        <v>1</v>
      </c>
    </row>
    <row r="643" spans="2:7">
      <c r="B643" s="222" t="s">
        <v>392</v>
      </c>
      <c r="C643" s="3">
        <f>C641/C617</f>
        <v>1.7254603006834717</v>
      </c>
      <c r="D643" s="23" t="b">
        <f>IF(C643&lt;=1.5, TRUE,FALSE)</f>
        <v>0</v>
      </c>
    </row>
    <row r="645" spans="2:7">
      <c r="B645" s="302" t="s">
        <v>464</v>
      </c>
      <c r="C645" s="302"/>
      <c r="D645" s="302"/>
      <c r="E645" s="302"/>
      <c r="F645" s="302"/>
      <c r="G645" s="302"/>
    </row>
    <row r="647" spans="2:7" ht="16.2" thickBot="1">
      <c r="B647" s="214" t="s">
        <v>480</v>
      </c>
    </row>
    <row r="648" spans="2:7">
      <c r="B648" s="49" t="s">
        <v>481</v>
      </c>
      <c r="C648" s="98">
        <f>2*C616*1000/(PI()*C652^2*C650*C649)*C651</f>
        <v>71.329477675547182</v>
      </c>
      <c r="D648" s="122" t="s">
        <v>448</v>
      </c>
    </row>
    <row r="649" spans="2:7">
      <c r="B649" s="154" t="s">
        <v>482</v>
      </c>
      <c r="C649" s="52">
        <v>0.125</v>
      </c>
    </row>
    <row r="650" spans="2:7">
      <c r="B650" s="154" t="s">
        <v>483</v>
      </c>
      <c r="C650" s="53">
        <f>Geometria!C21</f>
        <v>77.645713530756225</v>
      </c>
      <c r="D650" s="122" t="s">
        <v>331</v>
      </c>
    </row>
    <row r="651" spans="2:7">
      <c r="B651" s="154" t="s">
        <v>484</v>
      </c>
      <c r="C651" s="52">
        <v>2</v>
      </c>
    </row>
    <row r="652" spans="2:7" ht="16.2" thickBot="1">
      <c r="B652" s="67" t="s">
        <v>485</v>
      </c>
      <c r="C652" s="235">
        <f>C617</f>
        <v>45</v>
      </c>
      <c r="D652" s="122" t="s">
        <v>331</v>
      </c>
    </row>
    <row r="653" spans="2:7">
      <c r="B653" s="238" t="s">
        <v>486</v>
      </c>
      <c r="C653" s="239">
        <f>(2*C648*C656)/(C654*1000)*(2*C655^2)/(C655^2-C656^2)*1000</f>
        <v>41.394518478314907</v>
      </c>
      <c r="D653" s="237" t="s">
        <v>491</v>
      </c>
    </row>
    <row r="654" spans="2:7">
      <c r="B654" s="182" t="s">
        <v>487</v>
      </c>
      <c r="C654" s="52">
        <f>Tabelle!C22</f>
        <v>210</v>
      </c>
      <c r="D654" s="122" t="s">
        <v>488</v>
      </c>
      <c r="E654" s="124" t="s">
        <v>326</v>
      </c>
    </row>
    <row r="655" spans="2:7">
      <c r="B655" s="182" t="s">
        <v>489</v>
      </c>
      <c r="C655" s="53">
        <f>Geometria!D16</f>
        <v>43.999237667428531</v>
      </c>
      <c r="D655" s="122" t="s">
        <v>331</v>
      </c>
    </row>
    <row r="656" spans="2:7" ht="16.2" thickBot="1">
      <c r="B656" s="217" t="s">
        <v>490</v>
      </c>
      <c r="C656" s="235">
        <f>C652/2</f>
        <v>22.5</v>
      </c>
      <c r="D656" s="122" t="s">
        <v>331</v>
      </c>
    </row>
    <row r="657" spans="2:7" ht="16.2" thickBot="1"/>
    <row r="658" spans="2:7" ht="16.2" thickBot="1">
      <c r="B658" s="240" t="s">
        <v>492</v>
      </c>
      <c r="C658" s="246" t="s">
        <v>493</v>
      </c>
    </row>
    <row r="659" spans="2:7">
      <c r="B659" s="236" t="s">
        <v>495</v>
      </c>
      <c r="C659" s="2">
        <v>25</v>
      </c>
      <c r="D659" s="237" t="s">
        <v>491</v>
      </c>
    </row>
    <row r="660" spans="2:7">
      <c r="B660" s="222" t="s">
        <v>494</v>
      </c>
      <c r="C660" s="1">
        <v>0</v>
      </c>
      <c r="D660" s="237" t="s">
        <v>491</v>
      </c>
    </row>
    <row r="661" spans="2:7">
      <c r="B661" s="222" t="s">
        <v>496</v>
      </c>
      <c r="C661" s="1">
        <v>86</v>
      </c>
      <c r="D661" s="237" t="s">
        <v>491</v>
      </c>
    </row>
    <row r="662" spans="2:7">
      <c r="B662" s="222" t="s">
        <v>497</v>
      </c>
      <c r="C662" s="1">
        <v>70</v>
      </c>
      <c r="D662" s="237" t="s">
        <v>491</v>
      </c>
    </row>
    <row r="663" spans="2:7">
      <c r="B663" s="69" t="s">
        <v>498</v>
      </c>
      <c r="C663" s="1">
        <f>C662-C659</f>
        <v>45</v>
      </c>
      <c r="D663" s="237" t="s">
        <v>491</v>
      </c>
      <c r="E663" s="303" t="s">
        <v>584</v>
      </c>
      <c r="F663" s="303"/>
      <c r="G663" s="23" t="b">
        <f>IF(C662&gt;=C663+C659,TRUE,FALSE)</f>
        <v>1</v>
      </c>
    </row>
    <row r="664" spans="2:7" ht="16.2" thickBot="1">
      <c r="B664" s="241" t="s">
        <v>499</v>
      </c>
      <c r="C664" s="43">
        <f>C661-C660</f>
        <v>86</v>
      </c>
      <c r="D664" s="237" t="s">
        <v>491</v>
      </c>
    </row>
    <row r="665" spans="2:7">
      <c r="B665" s="242" t="s">
        <v>500</v>
      </c>
      <c r="C665" s="50">
        <f>2*0.4*(C666+C667)</f>
        <v>1.2800000000000002</v>
      </c>
      <c r="D665" s="237" t="s">
        <v>491</v>
      </c>
    </row>
    <row r="666" spans="2:7">
      <c r="B666" s="154" t="s">
        <v>502</v>
      </c>
      <c r="C666" s="52">
        <v>0.8</v>
      </c>
      <c r="D666" s="237" t="s">
        <v>491</v>
      </c>
    </row>
    <row r="667" spans="2:7" ht="16.2" thickBot="1">
      <c r="B667" s="67" t="s">
        <v>501</v>
      </c>
      <c r="C667" s="235">
        <v>0.8</v>
      </c>
      <c r="D667" s="237" t="s">
        <v>491</v>
      </c>
    </row>
    <row r="668" spans="2:7">
      <c r="B668" s="236" t="s">
        <v>503</v>
      </c>
      <c r="C668" s="2">
        <v>0</v>
      </c>
      <c r="D668" s="237" t="s">
        <v>491</v>
      </c>
    </row>
    <row r="669" spans="2:7">
      <c r="B669" s="222" t="s">
        <v>392</v>
      </c>
      <c r="C669" s="23" t="b">
        <f>IF(C663&gt;=C653+C665+C668,TRUE,FALSE)</f>
        <v>1</v>
      </c>
    </row>
    <row r="670" spans="2:7" ht="16.2" thickBot="1"/>
    <row r="671" spans="2:7" ht="16.2" thickBot="1">
      <c r="B671" s="27" t="s">
        <v>504</v>
      </c>
    </row>
    <row r="672" spans="2:7">
      <c r="B672" s="244" t="s">
        <v>508</v>
      </c>
      <c r="C672" s="122">
        <f>C652</f>
        <v>45</v>
      </c>
      <c r="D672" s="36" t="s">
        <v>491</v>
      </c>
    </row>
    <row r="673" spans="2:8">
      <c r="B673" s="245" t="s">
        <v>499</v>
      </c>
      <c r="C673" s="122">
        <f>C664</f>
        <v>86</v>
      </c>
      <c r="D673" s="36" t="s">
        <v>491</v>
      </c>
    </row>
    <row r="674" spans="2:8">
      <c r="B674" s="245" t="s">
        <v>505</v>
      </c>
      <c r="C674" s="122">
        <v>30</v>
      </c>
      <c r="D674" s="36" t="s">
        <v>491</v>
      </c>
    </row>
    <row r="675" spans="2:8">
      <c r="B675" s="245" t="s">
        <v>336</v>
      </c>
      <c r="C675" s="122">
        <f>1.2*10^(-5)</f>
        <v>1.2E-5</v>
      </c>
      <c r="D675" s="1" t="s">
        <v>506</v>
      </c>
    </row>
    <row r="676" spans="2:8" ht="16.2" thickBot="1">
      <c r="B676" s="243" t="s">
        <v>507</v>
      </c>
      <c r="C676" s="10">
        <f>(C673+C674)/(C675*C672*1000)</f>
        <v>214.81481481481481</v>
      </c>
      <c r="D676" s="1" t="s">
        <v>509</v>
      </c>
    </row>
    <row r="677" spans="2:8">
      <c r="B677" s="2" t="s">
        <v>392</v>
      </c>
      <c r="C677" s="23" t="b">
        <f>IF(C676&lt;350,TRUE,FALSE)</f>
        <v>1</v>
      </c>
    </row>
    <row r="679" spans="2:8">
      <c r="B679" s="302" t="s">
        <v>510</v>
      </c>
      <c r="C679" s="302"/>
      <c r="D679" s="302"/>
      <c r="E679" s="302"/>
    </row>
    <row r="681" spans="2:8" ht="16.2" thickBot="1"/>
    <row r="682" spans="2:8" ht="16.2" thickBot="1">
      <c r="B682" s="173" t="s">
        <v>512</v>
      </c>
    </row>
    <row r="683" spans="2:8">
      <c r="B683" s="2" t="s">
        <v>513</v>
      </c>
      <c r="C683" s="3">
        <f>C13</f>
        <v>3897.756577250489</v>
      </c>
      <c r="D683" s="1" t="s">
        <v>444</v>
      </c>
    </row>
    <row r="684" spans="2:8">
      <c r="B684" s="36" t="s">
        <v>514</v>
      </c>
      <c r="C684" s="1">
        <f>C398</f>
        <v>62</v>
      </c>
      <c r="D684" s="1" t="s">
        <v>331</v>
      </c>
    </row>
    <row r="685" spans="2:8">
      <c r="B685" s="36" t="s">
        <v>586</v>
      </c>
      <c r="C685" s="3">
        <f>C337</f>
        <v>36</v>
      </c>
      <c r="D685" s="1" t="s">
        <v>331</v>
      </c>
    </row>
    <row r="686" spans="2:8">
      <c r="B686" s="247"/>
      <c r="C686" s="247"/>
      <c r="D686" s="247"/>
      <c r="E686" s="247"/>
      <c r="F686" s="247"/>
    </row>
    <row r="687" spans="2:8">
      <c r="B687" s="302" t="s">
        <v>515</v>
      </c>
      <c r="C687" s="302"/>
      <c r="D687" s="302"/>
      <c r="E687" s="302"/>
      <c r="F687" s="302"/>
      <c r="G687" s="302"/>
      <c r="H687" s="302"/>
    </row>
    <row r="689" spans="2:7">
      <c r="B689" s="283" t="s">
        <v>454</v>
      </c>
      <c r="C689" s="277"/>
    </row>
    <row r="690" spans="2:7">
      <c r="B690" s="1" t="s">
        <v>455</v>
      </c>
      <c r="C690" s="1">
        <v>2.1</v>
      </c>
    </row>
    <row r="691" spans="2:7">
      <c r="B691" s="43" t="s">
        <v>607</v>
      </c>
      <c r="C691" s="223">
        <f>PI()*C684^3*(Tabelle!D36/(3)^(1/2))/(16*1000)</f>
        <v>25126.227039854231</v>
      </c>
      <c r="D691" s="1" t="s">
        <v>444</v>
      </c>
    </row>
    <row r="692" spans="2:7">
      <c r="B692" s="1" t="s">
        <v>604</v>
      </c>
      <c r="C692" s="1">
        <v>0.96</v>
      </c>
    </row>
    <row r="693" spans="2:7" ht="16.2" thickBot="1">
      <c r="B693" s="96" t="s">
        <v>413</v>
      </c>
      <c r="C693" s="223">
        <f>IF(C683&lt;C691,C692*(C691/C683)*(Tabelle!D22/Tabelle!D36),C692*(Tabelle!D22/Tabelle!D36))</f>
        <v>4.7578077888588579</v>
      </c>
    </row>
    <row r="694" spans="2:7">
      <c r="B694" s="215" t="s">
        <v>456</v>
      </c>
      <c r="C694" s="216">
        <f>C684^2/((C696-C684-4*C698)*(C684+C696)*C695)</f>
        <v>0.4074796472184532</v>
      </c>
    </row>
    <row r="695" spans="2:7">
      <c r="B695" s="182" t="s">
        <v>457</v>
      </c>
      <c r="C695" s="52">
        <v>8</v>
      </c>
    </row>
    <row r="696" spans="2:7">
      <c r="B696" s="182" t="s">
        <v>194</v>
      </c>
      <c r="C696" s="52">
        <v>72</v>
      </c>
      <c r="D696" s="251" t="s">
        <v>331</v>
      </c>
      <c r="E696" s="252"/>
    </row>
    <row r="697" spans="2:7">
      <c r="B697" s="182" t="s">
        <v>458</v>
      </c>
      <c r="C697" s="52">
        <v>12</v>
      </c>
      <c r="D697" s="122" t="s">
        <v>331</v>
      </c>
    </row>
    <row r="698" spans="2:7" ht="16.2" thickBot="1">
      <c r="B698" s="217" t="s">
        <v>459</v>
      </c>
      <c r="C698" s="218">
        <v>0.3</v>
      </c>
      <c r="D698" s="219" t="s">
        <v>331</v>
      </c>
    </row>
    <row r="699" spans="2:7">
      <c r="B699" s="220" t="s">
        <v>451</v>
      </c>
      <c r="C699" s="221">
        <f>C690*C694*C684/C693</f>
        <v>11.150902352986263</v>
      </c>
      <c r="D699" s="43" t="s">
        <v>331</v>
      </c>
    </row>
    <row r="700" spans="2:7">
      <c r="B700" s="222" t="s">
        <v>460</v>
      </c>
      <c r="C700" s="3">
        <f>Geometria!C21</f>
        <v>77.645713530756225</v>
      </c>
      <c r="D700" s="36" t="s">
        <v>331</v>
      </c>
      <c r="E700" s="1" t="s">
        <v>392</v>
      </c>
      <c r="F700" s="23" t="b">
        <f>C700&gt;=C699</f>
        <v>1</v>
      </c>
    </row>
    <row r="702" spans="2:7">
      <c r="B702" s="222" t="s">
        <v>392</v>
      </c>
      <c r="C702" s="3">
        <f>C700/C684</f>
        <v>1.2523502182380037</v>
      </c>
      <c r="D702" s="23" t="b">
        <f>IF(C702&lt;=1.5, TRUE,FALSE)</f>
        <v>1</v>
      </c>
    </row>
    <row r="704" spans="2:7">
      <c r="B704" s="302" t="s">
        <v>589</v>
      </c>
      <c r="C704" s="302"/>
      <c r="D704" s="302"/>
      <c r="E704" s="302"/>
      <c r="F704" s="302"/>
      <c r="G704" s="302"/>
    </row>
    <row r="706" spans="2:5" ht="16.2" thickBot="1">
      <c r="B706" s="214" t="s">
        <v>480</v>
      </c>
    </row>
    <row r="707" spans="2:5">
      <c r="B707" s="49" t="s">
        <v>481</v>
      </c>
      <c r="C707" s="98">
        <f>2*C683*1000/(PI()*C711^2*C709*C708)*C710</f>
        <v>133.01908447376687</v>
      </c>
      <c r="D707" s="122" t="s">
        <v>448</v>
      </c>
    </row>
    <row r="708" spans="2:5">
      <c r="B708" s="154" t="s">
        <v>482</v>
      </c>
      <c r="C708" s="52">
        <v>0.125</v>
      </c>
    </row>
    <row r="709" spans="2:5">
      <c r="B709" s="154" t="s">
        <v>483</v>
      </c>
      <c r="C709" s="53">
        <f>Geometria!C21</f>
        <v>77.645713530756225</v>
      </c>
      <c r="D709" s="122" t="s">
        <v>331</v>
      </c>
    </row>
    <row r="710" spans="2:5">
      <c r="B710" s="154" t="s">
        <v>484</v>
      </c>
      <c r="C710" s="52">
        <v>2</v>
      </c>
    </row>
    <row r="711" spans="2:5" ht="16.2" thickBot="1">
      <c r="B711" s="67" t="s">
        <v>485</v>
      </c>
      <c r="C711" s="235">
        <f>C684</f>
        <v>62</v>
      </c>
      <c r="D711" s="122" t="s">
        <v>331</v>
      </c>
    </row>
    <row r="712" spans="2:5">
      <c r="B712" s="238" t="s">
        <v>486</v>
      </c>
      <c r="C712" s="239">
        <f>(2*C707*C715)/(C713*1000)*((C714^2+C715^2)/(C714^2-C715^2)+(C715^2+C716^2)/(C715^2-C716^2))*1000</f>
        <v>121.7549855839933</v>
      </c>
      <c r="D712" s="237" t="s">
        <v>491</v>
      </c>
    </row>
    <row r="713" spans="2:5">
      <c r="B713" s="182" t="s">
        <v>487</v>
      </c>
      <c r="C713" s="52">
        <f>Tabelle!C22</f>
        <v>210</v>
      </c>
      <c r="D713" s="122" t="s">
        <v>488</v>
      </c>
      <c r="E713" s="124" t="s">
        <v>326</v>
      </c>
    </row>
    <row r="714" spans="2:5">
      <c r="B714" s="182" t="s">
        <v>489</v>
      </c>
      <c r="C714" s="53">
        <f>Geometria!E16</f>
        <v>155.29142706151245</v>
      </c>
      <c r="D714" s="122" t="s">
        <v>331</v>
      </c>
    </row>
    <row r="715" spans="2:5">
      <c r="B715" s="281" t="s">
        <v>490</v>
      </c>
      <c r="C715" s="282">
        <f>C711/2</f>
        <v>31</v>
      </c>
      <c r="D715" s="219" t="s">
        <v>331</v>
      </c>
    </row>
    <row r="716" spans="2:5" ht="16.2" thickBot="1">
      <c r="B716" s="217" t="s">
        <v>587</v>
      </c>
      <c r="C716" s="235">
        <f>C685/2</f>
        <v>18</v>
      </c>
      <c r="D716" s="237" t="s">
        <v>331</v>
      </c>
    </row>
    <row r="717" spans="2:5" ht="16.2" thickBot="1"/>
    <row r="718" spans="2:5" ht="16.2" thickBot="1">
      <c r="B718" s="240" t="s">
        <v>492</v>
      </c>
      <c r="C718" s="246" t="s">
        <v>516</v>
      </c>
    </row>
    <row r="719" spans="2:5">
      <c r="B719" s="236" t="s">
        <v>495</v>
      </c>
      <c r="C719" s="2">
        <v>18</v>
      </c>
      <c r="D719" s="237" t="s">
        <v>491</v>
      </c>
    </row>
    <row r="720" spans="2:5">
      <c r="B720" s="222" t="s">
        <v>494</v>
      </c>
      <c r="C720" s="1">
        <v>-12</v>
      </c>
      <c r="D720" s="237" t="s">
        <v>491</v>
      </c>
    </row>
    <row r="721" spans="2:4">
      <c r="B721" s="222" t="s">
        <v>496</v>
      </c>
      <c r="C721" s="1">
        <v>152</v>
      </c>
      <c r="D721" s="237" t="s">
        <v>491</v>
      </c>
    </row>
    <row r="722" spans="2:4">
      <c r="B722" s="222" t="s">
        <v>497</v>
      </c>
      <c r="C722" s="1">
        <v>122</v>
      </c>
      <c r="D722" s="237" t="s">
        <v>491</v>
      </c>
    </row>
    <row r="723" spans="2:4">
      <c r="B723" s="69" t="s">
        <v>498</v>
      </c>
      <c r="C723" s="1">
        <f>C722-C719</f>
        <v>104</v>
      </c>
      <c r="D723" s="237" t="s">
        <v>491</v>
      </c>
    </row>
    <row r="724" spans="2:4" ht="16.2" thickBot="1">
      <c r="B724" s="241" t="s">
        <v>499</v>
      </c>
      <c r="C724" s="43">
        <f>C721-C720</f>
        <v>164</v>
      </c>
      <c r="D724" s="237" t="s">
        <v>491</v>
      </c>
    </row>
    <row r="725" spans="2:4">
      <c r="B725" s="242" t="s">
        <v>500</v>
      </c>
      <c r="C725" s="50">
        <f>2*0.4*(C726+C727)</f>
        <v>1.2800000000000002</v>
      </c>
      <c r="D725" s="237" t="s">
        <v>491</v>
      </c>
    </row>
    <row r="726" spans="2:4">
      <c r="B726" s="154" t="s">
        <v>502</v>
      </c>
      <c r="C726" s="52">
        <v>0.8</v>
      </c>
      <c r="D726" s="237" t="s">
        <v>491</v>
      </c>
    </row>
    <row r="727" spans="2:4" ht="16.2" thickBot="1">
      <c r="B727" s="67" t="s">
        <v>501</v>
      </c>
      <c r="C727" s="235">
        <v>0.8</v>
      </c>
      <c r="D727" s="237" t="s">
        <v>491</v>
      </c>
    </row>
    <row r="728" spans="2:4">
      <c r="B728" s="236" t="s">
        <v>503</v>
      </c>
      <c r="C728" s="2">
        <v>0</v>
      </c>
      <c r="D728" s="237" t="s">
        <v>491</v>
      </c>
    </row>
    <row r="729" spans="2:4">
      <c r="B729" s="222" t="s">
        <v>392</v>
      </c>
      <c r="C729" s="23" t="b">
        <f>IF(C723&gt;=C712+C725+C728,TRUE,FALSE)</f>
        <v>0</v>
      </c>
    </row>
    <row r="730" spans="2:4" ht="16.2" thickBot="1"/>
    <row r="731" spans="2:4" ht="16.2" thickBot="1">
      <c r="B731" s="27" t="s">
        <v>504</v>
      </c>
    </row>
    <row r="732" spans="2:4">
      <c r="B732" s="244" t="s">
        <v>508</v>
      </c>
      <c r="C732" s="122">
        <f>C711</f>
        <v>62</v>
      </c>
      <c r="D732" s="36" t="s">
        <v>491</v>
      </c>
    </row>
    <row r="733" spans="2:4">
      <c r="B733" s="245" t="s">
        <v>499</v>
      </c>
      <c r="C733" s="122">
        <f>C724</f>
        <v>164</v>
      </c>
      <c r="D733" s="36" t="s">
        <v>491</v>
      </c>
    </row>
    <row r="734" spans="2:4">
      <c r="B734" s="245" t="s">
        <v>505</v>
      </c>
      <c r="C734" s="122">
        <v>30</v>
      </c>
      <c r="D734" s="36" t="s">
        <v>491</v>
      </c>
    </row>
    <row r="735" spans="2:4">
      <c r="B735" s="245" t="s">
        <v>336</v>
      </c>
      <c r="C735" s="122">
        <f>1.2*10^(-5)</f>
        <v>1.2E-5</v>
      </c>
      <c r="D735" s="1" t="s">
        <v>506</v>
      </c>
    </row>
    <row r="736" spans="2:4" ht="16.2" thickBot="1">
      <c r="B736" s="243" t="s">
        <v>507</v>
      </c>
      <c r="C736" s="10">
        <f>(C733+C734)/(C735*C732*1000)</f>
        <v>260.75268817204301</v>
      </c>
      <c r="D736" s="1" t="s">
        <v>509</v>
      </c>
    </row>
    <row r="737" spans="2:6">
      <c r="B737" s="2" t="s">
        <v>392</v>
      </c>
      <c r="C737" s="23" t="b">
        <f>IF(C736&lt;350,TRUE,FALSE)</f>
        <v>1</v>
      </c>
    </row>
    <row r="739" spans="2:6">
      <c r="B739" s="302" t="s">
        <v>588</v>
      </c>
      <c r="C739" s="302"/>
      <c r="D739" s="302"/>
      <c r="E739" s="302"/>
    </row>
    <row r="741" spans="2:6" ht="16.2" thickBot="1"/>
    <row r="742" spans="2:6" ht="16.2" thickBot="1">
      <c r="B742" s="173" t="s">
        <v>590</v>
      </c>
    </row>
    <row r="743" spans="2:6">
      <c r="B743" s="188"/>
    </row>
    <row r="744" spans="2:6">
      <c r="B744" s="69" t="s">
        <v>513</v>
      </c>
      <c r="C744" s="3">
        <f>C13</f>
        <v>3897.756577250489</v>
      </c>
      <c r="D744" s="1" t="s">
        <v>444</v>
      </c>
    </row>
    <row r="745" spans="2:6">
      <c r="B745" s="285" t="s">
        <v>591</v>
      </c>
      <c r="C745" s="3">
        <f>C337</f>
        <v>36</v>
      </c>
      <c r="D745" s="1" t="s">
        <v>331</v>
      </c>
    </row>
    <row r="747" spans="2:6">
      <c r="B747" s="214" t="s">
        <v>446</v>
      </c>
    </row>
    <row r="748" spans="2:6">
      <c r="B748" s="1" t="s">
        <v>447</v>
      </c>
      <c r="C748" s="1">
        <v>175</v>
      </c>
      <c r="D748" s="1" t="s">
        <v>448</v>
      </c>
    </row>
    <row r="749" spans="2:6">
      <c r="B749" s="1" t="s">
        <v>449</v>
      </c>
      <c r="C749" s="1">
        <v>8</v>
      </c>
      <c r="D749" s="1" t="s">
        <v>331</v>
      </c>
    </row>
    <row r="750" spans="2:6">
      <c r="B750" s="1" t="s">
        <v>450</v>
      </c>
      <c r="C750" s="1">
        <v>10</v>
      </c>
      <c r="D750" s="1" t="s">
        <v>331</v>
      </c>
    </row>
    <row r="751" spans="2:6">
      <c r="B751" s="36" t="s">
        <v>451</v>
      </c>
      <c r="C751" s="3">
        <f>4*C744*1000/(C749*C745*C748)</f>
        <v>309.34576009924518</v>
      </c>
      <c r="D751" s="36" t="s">
        <v>331</v>
      </c>
    </row>
    <row r="752" spans="2:6">
      <c r="B752" s="96" t="s">
        <v>452</v>
      </c>
      <c r="C752" s="223">
        <v>320</v>
      </c>
      <c r="D752" s="96" t="s">
        <v>331</v>
      </c>
      <c r="E752" s="43" t="s">
        <v>392</v>
      </c>
      <c r="F752" s="224" t="b">
        <f>IF(C752&lt;Geometria!C149,TRUE,FALSE)</f>
        <v>0</v>
      </c>
    </row>
    <row r="753" spans="2:8">
      <c r="B753" s="225"/>
      <c r="C753" s="226"/>
      <c r="D753" s="225"/>
      <c r="E753" s="225"/>
      <c r="F753" s="225"/>
    </row>
    <row r="754" spans="2:8">
      <c r="B754" s="227" t="s">
        <v>392</v>
      </c>
      <c r="C754" s="228" t="b">
        <f>IF(C752&lt;PI()*C745^2/(8*C750),TRUE,FALSE)</f>
        <v>0</v>
      </c>
      <c r="D754" s="174"/>
      <c r="E754" s="174"/>
      <c r="F754" s="174"/>
    </row>
    <row r="755" spans="2:8">
      <c r="B755" s="185"/>
      <c r="C755" s="185"/>
      <c r="D755" s="174"/>
      <c r="E755" s="174"/>
      <c r="F755" s="174"/>
    </row>
    <row r="756" spans="2:8">
      <c r="B756" s="302" t="s">
        <v>608</v>
      </c>
      <c r="C756" s="302"/>
      <c r="D756" s="302"/>
      <c r="E756" s="302"/>
      <c r="F756" s="302"/>
      <c r="G756" s="302"/>
      <c r="H756" s="302"/>
    </row>
    <row r="758" spans="2:8">
      <c r="B758" s="283" t="s">
        <v>454</v>
      </c>
      <c r="C758" s="277"/>
    </row>
    <row r="759" spans="2:8">
      <c r="B759" s="1" t="s">
        <v>455</v>
      </c>
      <c r="C759" s="1">
        <v>2.1</v>
      </c>
    </row>
    <row r="760" spans="2:8">
      <c r="B760" s="43" t="s">
        <v>607</v>
      </c>
      <c r="C760" s="223">
        <f>PI()*C745^3*(Tabelle!D36/(3)^(1/2))/(16*1000)</f>
        <v>4918.8062198794905</v>
      </c>
      <c r="D760" s="1" t="s">
        <v>444</v>
      </c>
    </row>
    <row r="761" spans="2:8">
      <c r="B761" s="1" t="s">
        <v>604</v>
      </c>
      <c r="C761" s="1">
        <v>0.96</v>
      </c>
    </row>
    <row r="762" spans="2:8" ht="16.2" thickBot="1">
      <c r="B762" s="43" t="s">
        <v>413</v>
      </c>
      <c r="C762" s="223">
        <f>IF(C744&lt;C760,C761*(C760/C744)*(Tabelle!D22/Tabelle!D36),C761*(Tabelle!D22/Tabelle!D36))</f>
        <v>0.93140663370228804</v>
      </c>
    </row>
    <row r="763" spans="2:8">
      <c r="B763" s="215" t="s">
        <v>456</v>
      </c>
      <c r="C763" s="216">
        <f>C745^2/((C765-C745-4*C767)*(C745+C765)*C764)</f>
        <v>0.43269230769230771</v>
      </c>
    </row>
    <row r="764" spans="2:8">
      <c r="B764" s="182" t="s">
        <v>457</v>
      </c>
      <c r="C764" s="52">
        <v>8</v>
      </c>
    </row>
    <row r="765" spans="2:8">
      <c r="B765" s="182" t="s">
        <v>194</v>
      </c>
      <c r="C765" s="52">
        <v>42</v>
      </c>
      <c r="D765" s="251" t="s">
        <v>331</v>
      </c>
      <c r="E765" s="252"/>
    </row>
    <row r="766" spans="2:8">
      <c r="B766" s="182" t="s">
        <v>458</v>
      </c>
      <c r="C766" s="52">
        <v>7</v>
      </c>
      <c r="D766" s="122" t="s">
        <v>331</v>
      </c>
    </row>
    <row r="767" spans="2:8" ht="16.2" thickBot="1">
      <c r="B767" s="217" t="s">
        <v>459</v>
      </c>
      <c r="C767" s="218">
        <v>0.3</v>
      </c>
      <c r="D767" s="219" t="s">
        <v>331</v>
      </c>
    </row>
    <row r="768" spans="2:8">
      <c r="B768" s="220" t="s">
        <v>451</v>
      </c>
      <c r="C768" s="221">
        <f>C759*C763*C745/C762</f>
        <v>35.12057706902084</v>
      </c>
      <c r="D768" s="43" t="s">
        <v>331</v>
      </c>
    </row>
    <row r="769" spans="2:7">
      <c r="B769" s="222" t="s">
        <v>460</v>
      </c>
      <c r="C769" s="3">
        <v>40</v>
      </c>
      <c r="D769" s="36" t="s">
        <v>331</v>
      </c>
      <c r="E769" s="1" t="s">
        <v>392</v>
      </c>
      <c r="F769" s="23" t="b">
        <f>C769&gt;=C768</f>
        <v>1</v>
      </c>
    </row>
    <row r="771" spans="2:7">
      <c r="B771" s="222" t="s">
        <v>392</v>
      </c>
      <c r="C771" s="3">
        <f>C769/C745</f>
        <v>1.1111111111111112</v>
      </c>
      <c r="D771" s="23" t="b">
        <f>IF(C771&lt;=1.5, TRUE,FALSE)</f>
        <v>1</v>
      </c>
    </row>
    <row r="773" spans="2:7">
      <c r="B773" s="302" t="s">
        <v>609</v>
      </c>
      <c r="C773" s="302"/>
      <c r="D773" s="302"/>
      <c r="E773" s="185"/>
      <c r="F773" s="185"/>
      <c r="G773" s="185"/>
    </row>
    <row r="775" spans="2:7" ht="16.2" thickBot="1"/>
    <row r="776" spans="2:7" ht="16.2" thickBot="1">
      <c r="B776" s="173" t="s">
        <v>616</v>
      </c>
    </row>
    <row r="777" spans="2:7">
      <c r="B777" s="188"/>
    </row>
    <row r="778" spans="2:7">
      <c r="B778" s="69" t="s">
        <v>617</v>
      </c>
      <c r="C778" s="3">
        <f>C11</f>
        <v>311.03423164244697</v>
      </c>
      <c r="D778" s="1" t="s">
        <v>444</v>
      </c>
    </row>
    <row r="779" spans="2:7">
      <c r="B779" s="285" t="s">
        <v>591</v>
      </c>
      <c r="C779" s="3">
        <v>20</v>
      </c>
      <c r="D779" s="1" t="s">
        <v>331</v>
      </c>
    </row>
    <row r="781" spans="2:7">
      <c r="B781" s="214" t="s">
        <v>446</v>
      </c>
    </row>
    <row r="782" spans="2:7">
      <c r="B782" s="1" t="s">
        <v>447</v>
      </c>
      <c r="C782" s="1">
        <v>175</v>
      </c>
      <c r="D782" s="1" t="s">
        <v>448</v>
      </c>
    </row>
    <row r="783" spans="2:7">
      <c r="B783" s="1" t="s">
        <v>449</v>
      </c>
      <c r="C783" s="1">
        <v>6</v>
      </c>
      <c r="D783" s="1" t="s">
        <v>331</v>
      </c>
    </row>
    <row r="784" spans="2:7">
      <c r="B784" s="1" t="s">
        <v>450</v>
      </c>
      <c r="C784" s="1">
        <v>6</v>
      </c>
      <c r="D784" s="1" t="s">
        <v>331</v>
      </c>
    </row>
    <row r="785" spans="2:6">
      <c r="B785" s="36" t="s">
        <v>451</v>
      </c>
      <c r="C785" s="3">
        <f>4*C778*1000/(C783*C779*C782)</f>
        <v>59.244615550942278</v>
      </c>
      <c r="D785" s="36" t="s">
        <v>331</v>
      </c>
    </row>
    <row r="786" spans="2:6">
      <c r="B786" s="96" t="s">
        <v>452</v>
      </c>
      <c r="C786" s="223">
        <v>63</v>
      </c>
      <c r="D786" s="36" t="s">
        <v>331</v>
      </c>
      <c r="E786" s="41"/>
      <c r="F786" s="41"/>
    </row>
    <row r="787" spans="2:6">
      <c r="B787" s="225"/>
      <c r="C787" s="226"/>
      <c r="D787" s="225"/>
      <c r="E787" s="38"/>
      <c r="F787" s="38"/>
    </row>
    <row r="788" spans="2:6">
      <c r="B788" s="185"/>
      <c r="C788" s="185"/>
      <c r="D788" s="174"/>
      <c r="E788" s="174"/>
      <c r="F788" s="174"/>
    </row>
  </sheetData>
  <mergeCells count="96">
    <mergeCell ref="B288:C288"/>
    <mergeCell ref="C291:D291"/>
    <mergeCell ref="B293:D293"/>
    <mergeCell ref="F474:H474"/>
    <mergeCell ref="F499:H499"/>
    <mergeCell ref="B369:C369"/>
    <mergeCell ref="C454:D454"/>
    <mergeCell ref="C430:D430"/>
    <mergeCell ref="B452:E452"/>
    <mergeCell ref="F428:H428"/>
    <mergeCell ref="F450:H450"/>
    <mergeCell ref="B300:D300"/>
    <mergeCell ref="B332:D332"/>
    <mergeCell ref="C339:D339"/>
    <mergeCell ref="C343:D343"/>
    <mergeCell ref="C408:D408"/>
    <mergeCell ref="B501:E501"/>
    <mergeCell ref="C184:D184"/>
    <mergeCell ref="B313:C313"/>
    <mergeCell ref="D316:E316"/>
    <mergeCell ref="B322:C322"/>
    <mergeCell ref="E185:F185"/>
    <mergeCell ref="C185:D185"/>
    <mergeCell ref="B279:D279"/>
    <mergeCell ref="C257:D257"/>
    <mergeCell ref="C228:D228"/>
    <mergeCell ref="E228:F228"/>
    <mergeCell ref="B241:D241"/>
    <mergeCell ref="C253:D253"/>
    <mergeCell ref="B276:D276"/>
    <mergeCell ref="F427:G427"/>
    <mergeCell ref="B377:D377"/>
    <mergeCell ref="B406:E406"/>
    <mergeCell ref="B400:C400"/>
    <mergeCell ref="D403:D404"/>
    <mergeCell ref="B394:C394"/>
    <mergeCell ref="B359:D359"/>
    <mergeCell ref="B364:D364"/>
    <mergeCell ref="B384:D384"/>
    <mergeCell ref="D397:E397"/>
    <mergeCell ref="B404:C404"/>
    <mergeCell ref="B373:C373"/>
    <mergeCell ref="E403:F404"/>
    <mergeCell ref="B61:D61"/>
    <mergeCell ref="G71:J71"/>
    <mergeCell ref="G66:H66"/>
    <mergeCell ref="C112:D112"/>
    <mergeCell ref="B134:C134"/>
    <mergeCell ref="E184:F184"/>
    <mergeCell ref="B137:C137"/>
    <mergeCell ref="B130:B131"/>
    <mergeCell ref="C258:D258"/>
    <mergeCell ref="B117:C117"/>
    <mergeCell ref="K408:N408"/>
    <mergeCell ref="I339:J339"/>
    <mergeCell ref="I1:J1"/>
    <mergeCell ref="F50:G50"/>
    <mergeCell ref="G184:J185"/>
    <mergeCell ref="E134:F134"/>
    <mergeCell ref="B71:E71"/>
    <mergeCell ref="B76:D76"/>
    <mergeCell ref="B84:D84"/>
    <mergeCell ref="I254:J255"/>
    <mergeCell ref="C46:D46"/>
    <mergeCell ref="F44:G44"/>
    <mergeCell ref="B107:C107"/>
    <mergeCell ref="B98:C98"/>
    <mergeCell ref="B284:C284"/>
    <mergeCell ref="D101:E101"/>
    <mergeCell ref="K431:N431"/>
    <mergeCell ref="K417:N417"/>
    <mergeCell ref="K440:N440"/>
    <mergeCell ref="K469:N469"/>
    <mergeCell ref="B612:E612"/>
    <mergeCell ref="B561:F561"/>
    <mergeCell ref="C503:D503"/>
    <mergeCell ref="C479:D479"/>
    <mergeCell ref="B578:F578"/>
    <mergeCell ref="K459:N459"/>
    <mergeCell ref="K481:N481"/>
    <mergeCell ref="K491:N491"/>
    <mergeCell ref="E596:F596"/>
    <mergeCell ref="C525:D525"/>
    <mergeCell ref="F545:H545"/>
    <mergeCell ref="K503:N503"/>
    <mergeCell ref="K510:N510"/>
    <mergeCell ref="B756:H756"/>
    <mergeCell ref="B773:D773"/>
    <mergeCell ref="B739:E739"/>
    <mergeCell ref="B687:H687"/>
    <mergeCell ref="B679:E679"/>
    <mergeCell ref="B645:G645"/>
    <mergeCell ref="B704:G704"/>
    <mergeCell ref="E663:F663"/>
    <mergeCell ref="B628:F628"/>
    <mergeCell ref="F523:H523"/>
  </mergeCells>
  <pageMargins left="0.7" right="0.7" top="0.75" bottom="0.75" header="0.3" footer="0.3"/>
  <pageSetup paperSize="9" orientation="portrait" horizontalDpi="4294967295" verticalDpi="4294967295" r:id="rId1"/>
  <ignoredErrors>
    <ignoredError sqref="C264:D264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B71A-0B6F-0747-8F86-69E144E84ABD}">
  <dimension ref="B1:P26"/>
  <sheetViews>
    <sheetView zoomScale="90" zoomScaleNormal="90" workbookViewId="0">
      <selection activeCell="F16" sqref="F16"/>
    </sheetView>
  </sheetViews>
  <sheetFormatPr defaultColWidth="11" defaultRowHeight="15.6"/>
  <cols>
    <col min="1" max="1" width="15.69921875" style="64" bestFit="1" customWidth="1"/>
    <col min="2" max="2" width="17.69921875" style="64" bestFit="1" customWidth="1"/>
    <col min="3" max="3" width="7.69921875" style="64" bestFit="1" customWidth="1"/>
    <col min="4" max="4" width="9.69921875" style="64" bestFit="1" customWidth="1"/>
    <col min="5" max="5" width="7.296875" style="64" bestFit="1" customWidth="1"/>
    <col min="6" max="6" width="17.796875" style="64" bestFit="1" customWidth="1"/>
    <col min="7" max="8" width="13.5" style="64" bestFit="1" customWidth="1"/>
    <col min="9" max="9" width="11.296875" style="64" bestFit="1" customWidth="1"/>
    <col min="10" max="10" width="17.69921875" style="64" bestFit="1" customWidth="1"/>
    <col min="11" max="11" width="11.296875" style="64" bestFit="1" customWidth="1"/>
    <col min="12" max="12" width="7.19921875" style="64" bestFit="1" customWidth="1"/>
    <col min="13" max="13" width="11.19921875" style="64" bestFit="1" customWidth="1"/>
    <col min="14" max="15" width="13.5" style="64" bestFit="1" customWidth="1"/>
    <col min="16" max="16" width="5.796875" style="64" bestFit="1" customWidth="1"/>
    <col min="17" max="17" width="7" style="64" customWidth="1"/>
    <col min="18" max="18" width="11" style="64"/>
    <col min="19" max="19" width="3.19921875" style="64" bestFit="1" customWidth="1"/>
    <col min="20" max="21" width="11" style="64"/>
    <col min="22" max="22" width="14.69921875" style="64" bestFit="1" customWidth="1"/>
    <col min="23" max="23" width="14.69921875" style="64" customWidth="1"/>
    <col min="24" max="24" width="11.69921875" style="64" bestFit="1" customWidth="1"/>
    <col min="25" max="25" width="11" style="64"/>
    <col min="26" max="26" width="7.69921875" style="64" bestFit="1" customWidth="1"/>
    <col min="27" max="27" width="13.5" style="64" bestFit="1" customWidth="1"/>
    <col min="28" max="16384" width="11" style="64"/>
  </cols>
  <sheetData>
    <row r="1" spans="2:16">
      <c r="B1" s="68"/>
      <c r="C1" s="69" t="s">
        <v>7</v>
      </c>
      <c r="D1" s="69" t="s">
        <v>90</v>
      </c>
      <c r="E1" s="69" t="s">
        <v>91</v>
      </c>
      <c r="F1" s="69" t="s">
        <v>9</v>
      </c>
      <c r="G1" s="69" t="s">
        <v>8</v>
      </c>
      <c r="H1" s="70"/>
      <c r="I1" s="70"/>
      <c r="J1" s="69" t="s">
        <v>18</v>
      </c>
      <c r="K1" s="68" t="s">
        <v>10</v>
      </c>
      <c r="L1" s="68" t="s">
        <v>11</v>
      </c>
      <c r="M1" s="69" t="s">
        <v>12</v>
      </c>
    </row>
    <row r="2" spans="2:16">
      <c r="B2" s="69" t="s">
        <v>615</v>
      </c>
      <c r="C2" s="71">
        <v>12.5</v>
      </c>
      <c r="D2" s="72">
        <v>3.54</v>
      </c>
      <c r="E2" s="72">
        <v>3.54</v>
      </c>
      <c r="F2" s="71">
        <f>D2*E2</f>
        <v>12.531600000000001</v>
      </c>
      <c r="G2" s="66" t="b">
        <f>IF(AND(C2-0.02*C2&lt;F2,F2&lt;C2+0.02*C2), TRUE, FALSE)</f>
        <v>1</v>
      </c>
      <c r="J2" s="73">
        <v>20</v>
      </c>
      <c r="K2" s="74">
        <v>20</v>
      </c>
      <c r="L2" s="74">
        <v>15</v>
      </c>
      <c r="M2" s="74">
        <v>0</v>
      </c>
    </row>
    <row r="5" spans="2:16">
      <c r="B5" s="335" t="s">
        <v>13</v>
      </c>
      <c r="C5" s="69" t="s">
        <v>16</v>
      </c>
      <c r="D5" s="69" t="s">
        <v>14</v>
      </c>
      <c r="E5" s="69" t="s">
        <v>17</v>
      </c>
      <c r="F5" s="69" t="s">
        <v>15</v>
      </c>
      <c r="G5" s="69" t="s">
        <v>21</v>
      </c>
      <c r="H5" s="69" t="s">
        <v>22</v>
      </c>
      <c r="I5" s="69" t="s">
        <v>99</v>
      </c>
      <c r="J5" s="69" t="s">
        <v>97</v>
      </c>
      <c r="K5" s="69" t="s">
        <v>100</v>
      </c>
      <c r="L5" s="69" t="s">
        <v>98</v>
      </c>
      <c r="M5" s="69" t="s">
        <v>9</v>
      </c>
      <c r="N5" s="58" t="s">
        <v>8</v>
      </c>
    </row>
    <row r="6" spans="2:16">
      <c r="B6" s="336"/>
      <c r="C6" s="71">
        <f>2*((COS(RADIANS(K2)))^3)*(1-M2)/SIN(RADIANS(J2))^2</f>
        <v>14.186787895128484</v>
      </c>
      <c r="D6" s="76">
        <v>17</v>
      </c>
      <c r="E6" s="71">
        <f>2*((COS(RADIANS(K2)))^3)*(1-M2)/SIN(RADIANS(J2))^2</f>
        <v>14.186787895128484</v>
      </c>
      <c r="F6" s="76">
        <v>17</v>
      </c>
      <c r="G6" s="71">
        <f>D6/(COS(RADIANS(K2)))^3</f>
        <v>20.487618193956987</v>
      </c>
      <c r="H6" s="71">
        <f>F6/(COS(RADIANS(L2)))^3</f>
        <v>18.863296320916014</v>
      </c>
      <c r="I6" s="71">
        <f>Geometria!D6*Geometria!D2</f>
        <v>60.18</v>
      </c>
      <c r="J6" s="76">
        <v>60</v>
      </c>
      <c r="K6" s="71">
        <f>E2*F6</f>
        <v>60.18</v>
      </c>
      <c r="L6" s="76">
        <v>60</v>
      </c>
      <c r="M6" s="71">
        <f>J6/D6*L6/F6</f>
        <v>12.45674740484429</v>
      </c>
      <c r="N6" s="66" t="b">
        <f>IF(AND($C$2-0.02*$C$2&lt;M6,M6&lt;$C$2+0.02*$C$2), TRUE, FALSE)</f>
        <v>1</v>
      </c>
    </row>
    <row r="9" spans="2:16">
      <c r="B9" s="321" t="s">
        <v>79</v>
      </c>
      <c r="C9" s="322"/>
      <c r="D9" s="322"/>
      <c r="E9" s="322"/>
      <c r="F9" s="322"/>
      <c r="G9" s="322"/>
      <c r="H9" s="323"/>
      <c r="J9" s="303" t="s">
        <v>80</v>
      </c>
      <c r="K9" s="303"/>
      <c r="L9" s="303"/>
      <c r="M9" s="303"/>
      <c r="N9" s="303"/>
      <c r="O9" s="303"/>
    </row>
    <row r="10" spans="2:16">
      <c r="B10" s="58" t="s">
        <v>23</v>
      </c>
      <c r="C10" s="58" t="s">
        <v>29</v>
      </c>
      <c r="D10" s="58" t="s">
        <v>89</v>
      </c>
      <c r="E10" s="58" t="s">
        <v>78</v>
      </c>
      <c r="F10" s="58" t="s">
        <v>235</v>
      </c>
      <c r="G10" s="58" t="s">
        <v>234</v>
      </c>
      <c r="H10" s="58" t="s">
        <v>92</v>
      </c>
      <c r="J10" s="58" t="s">
        <v>23</v>
      </c>
      <c r="K10" s="58" t="s">
        <v>29</v>
      </c>
      <c r="L10" s="58" t="s">
        <v>76</v>
      </c>
      <c r="M10" s="58" t="s">
        <v>78</v>
      </c>
      <c r="N10" s="58" t="s">
        <v>236</v>
      </c>
      <c r="O10" s="58" t="s">
        <v>237</v>
      </c>
    </row>
    <row r="11" spans="2:16">
      <c r="B11" s="76">
        <f>Tabelle!D11-((Tabelle!D11-Tabelle!D12)*(Geometria!G6-Tabelle!B11))</f>
        <v>3.0958667264230111</v>
      </c>
      <c r="C11" s="74">
        <v>18</v>
      </c>
      <c r="D11" s="74">
        <f>Tabelle!E22</f>
        <v>1050</v>
      </c>
      <c r="E11" s="73">
        <f>D11/$H$11</f>
        <v>210</v>
      </c>
      <c r="F11" s="71">
        <f>((2*RISULTATI!$C$11*Geometria!B11*COS(RADIANS(K2))/(Geometria!C11*Geometria!D6*Geometria!E11*10^6))^(1/3))*10^3</f>
        <v>3.0424387615490311</v>
      </c>
      <c r="G11" s="75">
        <v>3</v>
      </c>
      <c r="H11" s="74">
        <v>5</v>
      </c>
      <c r="I11" s="77"/>
      <c r="J11" s="76">
        <f>Tabelle!D9-((Tabelle!D9-Tabelle!D10)*(Geometria!H6-Tabelle!B9))</f>
        <v>3.1895692575358794</v>
      </c>
      <c r="K11" s="74">
        <v>15</v>
      </c>
      <c r="L11" s="74">
        <f>Tabelle!$E$22</f>
        <v>1050</v>
      </c>
      <c r="M11" s="73">
        <f>L11/H11</f>
        <v>210</v>
      </c>
      <c r="N11" s="71">
        <f>((2*RISULTATI!$C$12*Geometria!J11*COS(RADIANS(L2))/(Geometria!K11*Geometria!F6*Geometria!M11*10^6))^(1/3))*10^3</f>
        <v>5.0224920979383123</v>
      </c>
      <c r="O11" s="75">
        <v>5</v>
      </c>
    </row>
    <row r="14" spans="2:16">
      <c r="B14" s="321" t="s">
        <v>138</v>
      </c>
      <c r="C14" s="322"/>
      <c r="D14" s="322"/>
      <c r="E14" s="323"/>
      <c r="G14" s="321" t="s">
        <v>304</v>
      </c>
      <c r="H14" s="322"/>
      <c r="I14" s="322"/>
      <c r="J14" s="323"/>
      <c r="K14" s="65" t="s">
        <v>116</v>
      </c>
      <c r="L14" s="58" t="s">
        <v>114</v>
      </c>
      <c r="M14" s="65" t="s">
        <v>116</v>
      </c>
      <c r="N14" s="65" t="s">
        <v>114</v>
      </c>
      <c r="O14" s="65" t="s">
        <v>116</v>
      </c>
      <c r="P14" s="58"/>
    </row>
    <row r="15" spans="2:16">
      <c r="B15" s="69" t="s">
        <v>93</v>
      </c>
      <c r="C15" s="69" t="s">
        <v>94</v>
      </c>
      <c r="D15" s="69" t="s">
        <v>95</v>
      </c>
      <c r="E15" s="69" t="s">
        <v>96</v>
      </c>
      <c r="F15" s="70"/>
      <c r="G15" s="69" t="s">
        <v>101</v>
      </c>
      <c r="H15" s="69" t="s">
        <v>102</v>
      </c>
      <c r="I15" s="69" t="s">
        <v>103</v>
      </c>
      <c r="J15" s="69" t="s">
        <v>104</v>
      </c>
      <c r="K15" s="78" t="s">
        <v>110</v>
      </c>
      <c r="L15" s="69"/>
      <c r="M15" s="78" t="s">
        <v>142</v>
      </c>
      <c r="N15" s="78"/>
      <c r="O15" s="78" t="s">
        <v>141</v>
      </c>
      <c r="P15" s="58"/>
    </row>
    <row r="16" spans="2:16">
      <c r="B16" s="71">
        <f>(G11*D6/2)/(COS(RADIANS(K2)))</f>
        <v>27.136533198135758</v>
      </c>
      <c r="C16" s="71">
        <f>(G11*J6/2)/(COS(RADIANS(K2)))</f>
        <v>95.775999522832095</v>
      </c>
      <c r="D16" s="71">
        <f>(O11*F6/2)/(COS(RADIANS(L2)))</f>
        <v>43.999237667428531</v>
      </c>
      <c r="E16" s="71">
        <f>(O11*L6/2)/(COS(RADIANS(L2)))</f>
        <v>155.29142706151245</v>
      </c>
      <c r="F16" s="77"/>
      <c r="G16" s="71">
        <f>B16+G11</f>
        <v>30.136533198135758</v>
      </c>
      <c r="H16" s="71">
        <f>C16+G11</f>
        <v>98.775999522832095</v>
      </c>
      <c r="I16" s="71">
        <f>D16+O11</f>
        <v>48.999237667428531</v>
      </c>
      <c r="J16" s="71">
        <f>E16+O11</f>
        <v>160.29142706151245</v>
      </c>
      <c r="K16" s="71">
        <f>(D16+E16)*COS(RADIANS(RISULTATI!$K$17))+Geometria!H16+Geometria!J16+2*(RISULTATI!$I$17+RISULTATI!$J$17)</f>
        <v>477.65003708366555</v>
      </c>
      <c r="L16" s="66" t="b">
        <f>IF(AND(K16&lt;RISULTATI!$B$17*1.1,K16&gt;RISULTATI!$B$17*0.9 ),TRUE,FALSE)</f>
        <v>1</v>
      </c>
      <c r="M16" s="71">
        <f>2*J16+2*(RISULTATI!$I$17+RISULTATI!$J$17)</f>
        <v>348.5828541230249</v>
      </c>
      <c r="N16" s="66" t="b">
        <f>IF(AND(M16&lt;RISULTATI!$C$17*1.1, M16&gt;RISULTATI!$C$17*0.9),TRUE,FALSE)</f>
        <v>1</v>
      </c>
      <c r="O16" s="71">
        <f>RISULTATI!C51</f>
        <v>230.42131324445546</v>
      </c>
      <c r="P16" s="66" t="b">
        <f>IF(AND(O16&lt;RISULTATI!D17*1.1,O16&gt;RISULTATI!D17*0.9),TRUE,FALSE)</f>
        <v>1</v>
      </c>
    </row>
    <row r="18" spans="2:10" ht="16.2" thickBot="1"/>
    <row r="19" spans="2:10">
      <c r="B19" s="321" t="s">
        <v>119</v>
      </c>
      <c r="C19" s="323"/>
      <c r="E19" s="343" t="s">
        <v>250</v>
      </c>
      <c r="F19" s="369"/>
      <c r="G19" s="322" t="s">
        <v>305</v>
      </c>
      <c r="H19" s="322"/>
      <c r="I19" s="322"/>
      <c r="J19" s="323"/>
    </row>
    <row r="20" spans="2:10">
      <c r="B20" s="69" t="s">
        <v>117</v>
      </c>
      <c r="C20" s="69" t="s">
        <v>118</v>
      </c>
      <c r="D20" s="70"/>
      <c r="E20" s="79" t="s">
        <v>238</v>
      </c>
      <c r="F20" s="80" t="s">
        <v>239</v>
      </c>
      <c r="G20" s="81" t="s">
        <v>246</v>
      </c>
      <c r="H20" s="69" t="s">
        <v>247</v>
      </c>
      <c r="I20" s="69" t="s">
        <v>248</v>
      </c>
      <c r="J20" s="69" t="s">
        <v>249</v>
      </c>
    </row>
    <row r="21" spans="2:10" ht="16.2" thickBot="1">
      <c r="B21" s="71">
        <f>C11*E21</f>
        <v>57.465599713699248</v>
      </c>
      <c r="C21" s="71">
        <f>K11*F21</f>
        <v>77.645713530756225</v>
      </c>
      <c r="D21" s="77"/>
      <c r="E21" s="82">
        <f>G11/COS(RADIANS(K2))</f>
        <v>3.1925333174277362</v>
      </c>
      <c r="F21" s="83">
        <f>O11/COS(RADIANS(L2))</f>
        <v>5.1763809020504148</v>
      </c>
      <c r="G21" s="84">
        <f>B16-1.25*G11</f>
        <v>23.386533198135758</v>
      </c>
      <c r="H21" s="71">
        <f>C16-1.25*G11</f>
        <v>92.025999522832095</v>
      </c>
      <c r="I21" s="71">
        <f>D16-1.25*O11</f>
        <v>37.749237667428531</v>
      </c>
      <c r="J21" s="71">
        <f>E16-1.25*O11</f>
        <v>149.04142706151245</v>
      </c>
    </row>
    <row r="24" spans="2:10">
      <c r="G24" s="303" t="s">
        <v>303</v>
      </c>
      <c r="H24" s="303"/>
      <c r="I24" s="303"/>
      <c r="J24" s="303"/>
    </row>
    <row r="25" spans="2:10">
      <c r="G25" s="69" t="s">
        <v>299</v>
      </c>
      <c r="H25" s="69" t="s">
        <v>300</v>
      </c>
      <c r="I25" s="69" t="s">
        <v>301</v>
      </c>
      <c r="J25" s="69" t="s">
        <v>302</v>
      </c>
    </row>
    <row r="26" spans="2:10">
      <c r="G26" s="71">
        <f>B16*COS(RADIANS(RISULTATI!C200))</f>
        <v>25.285698068048539</v>
      </c>
      <c r="H26" s="71">
        <f>C16*COS(RADIANS(RISULTATI!D200))</f>
        <v>89.243640240171317</v>
      </c>
      <c r="I26" s="71">
        <f>D16*COS(RADIANS(RISULTATI!E200))</f>
        <v>41.15732469278651</v>
      </c>
      <c r="J26" s="71">
        <f>E16*COS(RADIANS(RISULTATI!F200))</f>
        <v>145.26114597454063</v>
      </c>
    </row>
  </sheetData>
  <mergeCells count="9">
    <mergeCell ref="G24:J24"/>
    <mergeCell ref="B19:C19"/>
    <mergeCell ref="G19:J19"/>
    <mergeCell ref="E19:F19"/>
    <mergeCell ref="B5:B6"/>
    <mergeCell ref="J9:O9"/>
    <mergeCell ref="G14:J14"/>
    <mergeCell ref="B14:E14"/>
    <mergeCell ref="B9:H9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B4AB-F4D4-7346-A885-1F2391103E15}">
  <dimension ref="B1:M122"/>
  <sheetViews>
    <sheetView zoomScale="80" zoomScaleNormal="80" workbookViewId="0">
      <selection activeCell="E118" sqref="E118"/>
    </sheetView>
  </sheetViews>
  <sheetFormatPr defaultColWidth="11" defaultRowHeight="15.6"/>
  <cols>
    <col min="2" max="2" width="48.5" bestFit="1" customWidth="1"/>
    <col min="3" max="3" width="10.296875" bestFit="1" customWidth="1"/>
    <col min="4" max="4" width="11.19921875" bestFit="1" customWidth="1"/>
    <col min="5" max="6" width="14.296875" bestFit="1" customWidth="1"/>
    <col min="7" max="7" width="14.796875" bestFit="1" customWidth="1"/>
    <col min="8" max="8" width="14.296875" bestFit="1" customWidth="1"/>
    <col min="9" max="9" width="16.69921875" bestFit="1" customWidth="1"/>
    <col min="10" max="10" width="4.69921875" bestFit="1" customWidth="1"/>
    <col min="11" max="11" width="9.69921875" bestFit="1" customWidth="1"/>
    <col min="12" max="12" width="3.69921875" bestFit="1" customWidth="1"/>
  </cols>
  <sheetData>
    <row r="1" spans="2:4" ht="16.2" thickBot="1">
      <c r="B1" s="7" t="s">
        <v>27</v>
      </c>
      <c r="C1" s="8"/>
      <c r="D1" s="9"/>
    </row>
    <row r="2" spans="2:4">
      <c r="B2" s="2" t="s">
        <v>24</v>
      </c>
      <c r="C2" s="2" t="s">
        <v>26</v>
      </c>
      <c r="D2" s="2" t="s">
        <v>25</v>
      </c>
    </row>
    <row r="3" spans="2:4">
      <c r="B3" s="1">
        <v>12</v>
      </c>
      <c r="C3" s="6">
        <f>1/D3</f>
        <v>0.24509803921568626</v>
      </c>
      <c r="D3" s="1">
        <v>4.08</v>
      </c>
    </row>
    <row r="4" spans="2:4">
      <c r="B4" s="1">
        <v>13</v>
      </c>
      <c r="C4" s="6">
        <f t="shared" ref="C4:C16" si="0">1/D4</f>
        <v>0.2610966057441253</v>
      </c>
      <c r="D4" s="1">
        <v>3.83</v>
      </c>
    </row>
    <row r="5" spans="2:4">
      <c r="B5" s="1">
        <v>14</v>
      </c>
      <c r="C5" s="6">
        <f t="shared" si="0"/>
        <v>0.27624309392265195</v>
      </c>
      <c r="D5" s="1">
        <v>3.62</v>
      </c>
    </row>
    <row r="6" spans="2:4">
      <c r="B6" s="1">
        <v>15</v>
      </c>
      <c r="C6" s="6">
        <f t="shared" si="0"/>
        <v>0.28901734104046245</v>
      </c>
      <c r="D6" s="1">
        <v>3.46</v>
      </c>
    </row>
    <row r="7" spans="2:4">
      <c r="B7" s="1">
        <v>16</v>
      </c>
      <c r="C7" s="6">
        <f t="shared" si="0"/>
        <v>0.29498525073746312</v>
      </c>
      <c r="D7" s="1">
        <v>3.39</v>
      </c>
    </row>
    <row r="8" spans="2:4">
      <c r="B8" s="1">
        <v>17</v>
      </c>
      <c r="C8" s="6">
        <f t="shared" si="0"/>
        <v>0.30211480362537763</v>
      </c>
      <c r="D8" s="1">
        <v>3.31</v>
      </c>
    </row>
    <row r="9" spans="2:4">
      <c r="B9" s="1">
        <v>18</v>
      </c>
      <c r="C9" s="6">
        <f t="shared" si="0"/>
        <v>0.30769230769230771</v>
      </c>
      <c r="D9" s="1">
        <v>3.25</v>
      </c>
    </row>
    <row r="10" spans="2:4">
      <c r="B10" s="1">
        <v>19</v>
      </c>
      <c r="C10" s="6">
        <f t="shared" si="0"/>
        <v>0.31446540880503143</v>
      </c>
      <c r="D10" s="1">
        <v>3.18</v>
      </c>
    </row>
    <row r="11" spans="2:4">
      <c r="B11" s="1">
        <v>20</v>
      </c>
      <c r="C11" s="6">
        <v>0.32</v>
      </c>
      <c r="D11" s="1">
        <v>3.13</v>
      </c>
    </row>
    <row r="12" spans="2:4">
      <c r="B12" s="1">
        <v>21</v>
      </c>
      <c r="C12" s="6">
        <f t="shared" si="0"/>
        <v>0.32679738562091504</v>
      </c>
      <c r="D12" s="1">
        <v>3.06</v>
      </c>
    </row>
    <row r="13" spans="2:4">
      <c r="B13" s="1">
        <v>22</v>
      </c>
      <c r="C13" s="6">
        <f t="shared" si="0"/>
        <v>0.33003300330033003</v>
      </c>
      <c r="D13" s="1">
        <v>3.03</v>
      </c>
    </row>
    <row r="14" spans="2:4">
      <c r="B14" s="1">
        <v>23</v>
      </c>
      <c r="C14" s="6">
        <v>0.33300000000000002</v>
      </c>
      <c r="D14" s="1">
        <v>3.01</v>
      </c>
    </row>
    <row r="15" spans="2:4">
      <c r="B15" s="1">
        <v>24</v>
      </c>
      <c r="C15" s="6">
        <f t="shared" si="0"/>
        <v>0.33557046979865773</v>
      </c>
      <c r="D15" s="1">
        <v>2.98</v>
      </c>
    </row>
    <row r="16" spans="2:4">
      <c r="B16" s="1">
        <v>25</v>
      </c>
      <c r="C16" s="6">
        <f t="shared" si="0"/>
        <v>0.34602076124567471</v>
      </c>
      <c r="D16" s="1">
        <v>2.89</v>
      </c>
    </row>
    <row r="18" spans="2:13">
      <c r="B18" s="376" t="s">
        <v>77</v>
      </c>
      <c r="C18" s="374" t="s">
        <v>81</v>
      </c>
      <c r="D18" s="374" t="s">
        <v>82</v>
      </c>
      <c r="E18" s="374" t="s">
        <v>83</v>
      </c>
      <c r="F18" s="374" t="s">
        <v>84</v>
      </c>
      <c r="G18" s="374" t="s">
        <v>86</v>
      </c>
      <c r="H18" s="374" t="s">
        <v>85</v>
      </c>
      <c r="I18" s="374" t="s">
        <v>30</v>
      </c>
      <c r="J18" s="374" t="s">
        <v>31</v>
      </c>
      <c r="K18" s="374" t="s">
        <v>32</v>
      </c>
      <c r="L18" s="374" t="s">
        <v>33</v>
      </c>
    </row>
    <row r="19" spans="2:13">
      <c r="B19" s="377"/>
      <c r="C19" s="375"/>
      <c r="D19" s="375"/>
      <c r="E19" s="375"/>
      <c r="F19" s="375"/>
      <c r="G19" s="375"/>
      <c r="H19" s="375"/>
      <c r="I19" s="375"/>
      <c r="J19" s="375"/>
      <c r="K19" s="375"/>
      <c r="L19" s="375"/>
    </row>
    <row r="20" spans="2:13">
      <c r="B20" s="370" t="s">
        <v>75</v>
      </c>
      <c r="C20" s="370">
        <v>210</v>
      </c>
      <c r="D20" s="370">
        <v>850</v>
      </c>
      <c r="E20" s="370">
        <v>1100</v>
      </c>
      <c r="F20" s="370">
        <v>550</v>
      </c>
      <c r="G20" s="370">
        <v>860</v>
      </c>
      <c r="H20" s="370">
        <v>1270</v>
      </c>
      <c r="I20" s="370">
        <v>725</v>
      </c>
      <c r="J20" s="370" t="s">
        <v>34</v>
      </c>
      <c r="K20" s="370" t="s">
        <v>35</v>
      </c>
      <c r="L20" s="370" t="s">
        <v>33</v>
      </c>
    </row>
    <row r="21" spans="2:13">
      <c r="B21" s="370"/>
      <c r="C21" s="370"/>
      <c r="D21" s="370"/>
      <c r="E21" s="370"/>
      <c r="F21" s="370"/>
      <c r="G21" s="370"/>
      <c r="H21" s="370"/>
      <c r="I21" s="370"/>
      <c r="J21" s="370"/>
      <c r="K21" s="370"/>
      <c r="L21" s="370"/>
    </row>
    <row r="22" spans="2:13">
      <c r="B22" s="372" t="s">
        <v>36</v>
      </c>
      <c r="C22" s="372">
        <v>210</v>
      </c>
      <c r="D22" s="372">
        <v>715</v>
      </c>
      <c r="E22" s="372">
        <v>1050</v>
      </c>
      <c r="F22" s="372">
        <v>500</v>
      </c>
      <c r="G22" s="372">
        <v>920</v>
      </c>
      <c r="H22" s="372">
        <v>1490</v>
      </c>
      <c r="I22" s="372">
        <v>730</v>
      </c>
      <c r="J22" s="372" t="s">
        <v>34</v>
      </c>
      <c r="K22" s="372">
        <v>677</v>
      </c>
      <c r="L22" s="372" t="s">
        <v>33</v>
      </c>
    </row>
    <row r="23" spans="2:13">
      <c r="B23" s="373"/>
      <c r="C23" s="373"/>
      <c r="D23" s="373"/>
      <c r="E23" s="373"/>
      <c r="F23" s="373"/>
      <c r="G23" s="373"/>
      <c r="H23" s="373"/>
      <c r="I23" s="373"/>
      <c r="J23" s="373"/>
      <c r="K23" s="373"/>
      <c r="L23" s="373"/>
      <c r="M23" t="s">
        <v>360</v>
      </c>
    </row>
    <row r="24" spans="2:13">
      <c r="B24" s="370" t="s">
        <v>37</v>
      </c>
      <c r="C24" s="370">
        <v>210</v>
      </c>
      <c r="D24" s="370">
        <v>930</v>
      </c>
      <c r="E24" s="370">
        <v>1050</v>
      </c>
      <c r="F24" s="370">
        <v>500</v>
      </c>
      <c r="G24" s="370">
        <v>650</v>
      </c>
      <c r="H24" s="370">
        <v>770</v>
      </c>
      <c r="I24" s="370">
        <v>560</v>
      </c>
      <c r="J24" s="370" t="s">
        <v>34</v>
      </c>
      <c r="K24" s="370">
        <v>525</v>
      </c>
      <c r="L24" s="370" t="s">
        <v>33</v>
      </c>
    </row>
    <row r="25" spans="2:13">
      <c r="B25" s="370"/>
      <c r="C25" s="370"/>
      <c r="D25" s="370"/>
      <c r="E25" s="370"/>
      <c r="F25" s="370"/>
      <c r="G25" s="370"/>
      <c r="H25" s="370"/>
      <c r="I25" s="370"/>
      <c r="J25" s="370"/>
      <c r="K25" s="370"/>
      <c r="L25" s="370"/>
    </row>
    <row r="26" spans="2:13">
      <c r="B26" s="370" t="s">
        <v>38</v>
      </c>
      <c r="C26" s="370">
        <v>210</v>
      </c>
      <c r="D26" s="370">
        <v>735</v>
      </c>
      <c r="E26" s="370">
        <v>1030</v>
      </c>
      <c r="F26" s="370">
        <v>530</v>
      </c>
      <c r="G26" s="370">
        <v>860</v>
      </c>
      <c r="H26" s="370">
        <v>1470</v>
      </c>
      <c r="I26" s="370">
        <v>60</v>
      </c>
      <c r="J26" s="370" t="s">
        <v>39</v>
      </c>
      <c r="K26" s="370">
        <v>654</v>
      </c>
      <c r="L26" s="370" t="s">
        <v>33</v>
      </c>
    </row>
    <row r="27" spans="2:13">
      <c r="B27" s="370"/>
      <c r="C27" s="370"/>
      <c r="D27" s="370"/>
      <c r="E27" s="370"/>
      <c r="F27" s="370"/>
      <c r="G27" s="370"/>
      <c r="H27" s="370"/>
      <c r="I27" s="370"/>
      <c r="J27" s="370"/>
      <c r="K27" s="370"/>
      <c r="L27" s="370"/>
    </row>
    <row r="28" spans="2:13">
      <c r="B28" s="370" t="s">
        <v>38</v>
      </c>
      <c r="C28" s="370">
        <v>210</v>
      </c>
      <c r="D28" s="370">
        <v>735</v>
      </c>
      <c r="E28" s="370">
        <v>1030</v>
      </c>
      <c r="F28" s="370">
        <v>530</v>
      </c>
      <c r="G28" s="370">
        <v>860</v>
      </c>
      <c r="H28" s="370">
        <v>1470</v>
      </c>
      <c r="I28" s="370">
        <v>62</v>
      </c>
      <c r="J28" s="370" t="s">
        <v>39</v>
      </c>
      <c r="K28" s="370" t="s">
        <v>40</v>
      </c>
      <c r="L28" s="370" t="s">
        <v>33</v>
      </c>
    </row>
    <row r="29" spans="2:13">
      <c r="B29" s="370"/>
      <c r="C29" s="370"/>
      <c r="D29" s="370"/>
      <c r="E29" s="370"/>
      <c r="F29" s="370"/>
      <c r="G29" s="370"/>
      <c r="H29" s="370"/>
      <c r="I29" s="370"/>
      <c r="J29" s="370"/>
      <c r="K29" s="370"/>
      <c r="L29" s="370"/>
    </row>
    <row r="30" spans="2:13">
      <c r="B30" s="370" t="s">
        <v>41</v>
      </c>
      <c r="C30" s="370">
        <v>210</v>
      </c>
      <c r="D30" s="370">
        <v>815</v>
      </c>
      <c r="E30" s="370">
        <v>1010</v>
      </c>
      <c r="F30" s="370">
        <v>520</v>
      </c>
      <c r="G30" s="370">
        <v>1000</v>
      </c>
      <c r="H30" s="370">
        <v>1510</v>
      </c>
      <c r="I30" s="370">
        <v>60</v>
      </c>
      <c r="J30" s="370" t="s">
        <v>39</v>
      </c>
      <c r="K30" s="370">
        <v>654</v>
      </c>
      <c r="L30" s="370" t="s">
        <v>33</v>
      </c>
    </row>
    <row r="31" spans="2:13">
      <c r="B31" s="370"/>
      <c r="C31" s="370"/>
      <c r="D31" s="370"/>
      <c r="E31" s="370"/>
      <c r="F31" s="370"/>
      <c r="G31" s="370"/>
      <c r="H31" s="370"/>
      <c r="I31" s="370"/>
      <c r="J31" s="370"/>
      <c r="K31" s="370"/>
      <c r="L31" s="370"/>
    </row>
    <row r="32" spans="2:13">
      <c r="B32" s="370" t="s">
        <v>41</v>
      </c>
      <c r="C32" s="370">
        <v>210</v>
      </c>
      <c r="D32" s="370">
        <v>815</v>
      </c>
      <c r="E32" s="370">
        <v>1010</v>
      </c>
      <c r="F32" s="370">
        <v>520</v>
      </c>
      <c r="G32" s="370">
        <v>1000</v>
      </c>
      <c r="H32" s="370">
        <v>1510</v>
      </c>
      <c r="I32" s="370">
        <v>63</v>
      </c>
      <c r="J32" s="370" t="s">
        <v>39</v>
      </c>
      <c r="K32" s="370">
        <v>705</v>
      </c>
      <c r="L32" s="370" t="s">
        <v>33</v>
      </c>
    </row>
    <row r="33" spans="2:13">
      <c r="B33" s="370"/>
      <c r="C33" s="370"/>
      <c r="D33" s="370"/>
      <c r="E33" s="370"/>
      <c r="F33" s="370"/>
      <c r="G33" s="370"/>
      <c r="H33" s="370"/>
      <c r="I33" s="370"/>
      <c r="J33" s="370"/>
      <c r="K33" s="370"/>
      <c r="L33" s="370"/>
    </row>
    <row r="34" spans="2:13">
      <c r="B34" s="370" t="s">
        <v>42</v>
      </c>
      <c r="C34" s="370">
        <v>210</v>
      </c>
      <c r="D34" s="370">
        <v>1280</v>
      </c>
      <c r="E34" s="370">
        <v>1480</v>
      </c>
      <c r="F34" s="370">
        <v>650</v>
      </c>
      <c r="G34" s="370">
        <v>840</v>
      </c>
      <c r="H34" s="370">
        <v>1230</v>
      </c>
      <c r="I34" s="370">
        <v>700</v>
      </c>
      <c r="J34" s="370" t="s">
        <v>34</v>
      </c>
      <c r="K34" s="370">
        <v>656</v>
      </c>
      <c r="L34" s="370" t="s">
        <v>33</v>
      </c>
    </row>
    <row r="35" spans="2:13">
      <c r="B35" s="370"/>
      <c r="C35" s="370"/>
      <c r="D35" s="370"/>
      <c r="E35" s="370"/>
      <c r="F35" s="370"/>
      <c r="G35" s="370"/>
      <c r="H35" s="370"/>
      <c r="I35" s="370"/>
      <c r="J35" s="370"/>
      <c r="K35" s="370"/>
      <c r="L35" s="370"/>
    </row>
    <row r="36" spans="2:13">
      <c r="B36" s="371" t="s">
        <v>43</v>
      </c>
      <c r="C36" s="371">
        <v>210</v>
      </c>
      <c r="D36" s="371">
        <v>930</v>
      </c>
      <c r="E36" s="371">
        <v>1020</v>
      </c>
      <c r="F36" s="371">
        <v>510</v>
      </c>
      <c r="G36" s="371">
        <v>520</v>
      </c>
      <c r="H36" s="371">
        <v>530</v>
      </c>
      <c r="I36" s="371">
        <v>33</v>
      </c>
      <c r="J36" s="371" t="s">
        <v>39</v>
      </c>
      <c r="K36" s="371" t="s">
        <v>44</v>
      </c>
      <c r="L36" s="371" t="s">
        <v>33</v>
      </c>
    </row>
    <row r="37" spans="2:13">
      <c r="B37" s="371"/>
      <c r="C37" s="371"/>
      <c r="D37" s="371"/>
      <c r="E37" s="371"/>
      <c r="F37" s="371"/>
      <c r="G37" s="371"/>
      <c r="H37" s="371"/>
      <c r="I37" s="371"/>
      <c r="J37" s="371"/>
      <c r="K37" s="371"/>
      <c r="L37" s="371"/>
      <c r="M37" t="s">
        <v>361</v>
      </c>
    </row>
    <row r="38" spans="2:13">
      <c r="B38" s="370" t="s">
        <v>45</v>
      </c>
      <c r="C38" s="370">
        <v>210</v>
      </c>
      <c r="D38" s="370">
        <v>650</v>
      </c>
      <c r="E38" s="370">
        <v>950</v>
      </c>
      <c r="F38" s="370">
        <v>450</v>
      </c>
      <c r="G38" s="370">
        <v>480</v>
      </c>
      <c r="H38" s="370">
        <v>500</v>
      </c>
      <c r="I38" s="370">
        <v>223</v>
      </c>
      <c r="J38" s="370" t="s">
        <v>33</v>
      </c>
      <c r="K38" s="370">
        <v>223</v>
      </c>
      <c r="L38" s="370" t="s">
        <v>33</v>
      </c>
    </row>
    <row r="39" spans="2:13">
      <c r="B39" s="370"/>
      <c r="C39" s="370"/>
      <c r="D39" s="370"/>
      <c r="E39" s="370"/>
      <c r="F39" s="370"/>
      <c r="G39" s="370"/>
      <c r="H39" s="370"/>
      <c r="I39" s="370"/>
      <c r="J39" s="370"/>
      <c r="K39" s="370"/>
      <c r="L39" s="370"/>
    </row>
    <row r="40" spans="2:13">
      <c r="B40" s="370" t="s">
        <v>46</v>
      </c>
      <c r="C40" s="370">
        <v>210</v>
      </c>
      <c r="D40" s="370">
        <v>1340</v>
      </c>
      <c r="E40" s="370">
        <v>2100</v>
      </c>
      <c r="F40" s="370">
        <v>650</v>
      </c>
      <c r="G40" s="370">
        <v>760</v>
      </c>
      <c r="H40" s="370">
        <v>1270</v>
      </c>
      <c r="I40" s="370">
        <v>56</v>
      </c>
      <c r="J40" s="370" t="s">
        <v>39</v>
      </c>
      <c r="K40" s="370">
        <v>578.5</v>
      </c>
      <c r="L40" s="370" t="s">
        <v>33</v>
      </c>
    </row>
    <row r="41" spans="2:13"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</row>
    <row r="42" spans="2:13">
      <c r="B42" s="370" t="s">
        <v>47</v>
      </c>
      <c r="C42" s="370">
        <v>210</v>
      </c>
      <c r="D42" s="370">
        <v>950</v>
      </c>
      <c r="E42" s="370">
        <v>1050</v>
      </c>
      <c r="F42" s="370">
        <v>520</v>
      </c>
      <c r="G42" s="370">
        <v>610</v>
      </c>
      <c r="H42" s="370">
        <v>630</v>
      </c>
      <c r="I42" s="370">
        <v>34</v>
      </c>
      <c r="J42" s="370" t="s">
        <v>39</v>
      </c>
      <c r="K42" s="370" t="s">
        <v>48</v>
      </c>
      <c r="L42" s="370" t="s">
        <v>33</v>
      </c>
    </row>
    <row r="43" spans="2:13"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</row>
    <row r="44" spans="2:13">
      <c r="B44" s="370" t="s">
        <v>49</v>
      </c>
      <c r="C44" s="370">
        <v>210</v>
      </c>
      <c r="D44" s="370">
        <v>600</v>
      </c>
      <c r="E44" s="370">
        <v>800</v>
      </c>
      <c r="F44" s="370">
        <v>400</v>
      </c>
      <c r="G44" s="370">
        <v>500</v>
      </c>
      <c r="H44" s="370">
        <v>630</v>
      </c>
      <c r="I44" s="370">
        <v>240</v>
      </c>
      <c r="J44" s="370" t="s">
        <v>33</v>
      </c>
      <c r="K44" s="370">
        <v>240</v>
      </c>
      <c r="L44" s="370" t="s">
        <v>33</v>
      </c>
    </row>
    <row r="45" spans="2:13">
      <c r="B45" s="370"/>
      <c r="C45" s="370"/>
      <c r="D45" s="370"/>
      <c r="E45" s="370"/>
      <c r="F45" s="370"/>
      <c r="G45" s="370"/>
      <c r="H45" s="370"/>
      <c r="I45" s="370"/>
      <c r="J45" s="370"/>
      <c r="K45" s="370"/>
      <c r="L45" s="370"/>
    </row>
    <row r="46" spans="2:13">
      <c r="B46" s="370" t="s">
        <v>50</v>
      </c>
      <c r="C46" s="370">
        <v>210</v>
      </c>
      <c r="D46" s="370">
        <v>1450</v>
      </c>
      <c r="E46" s="370">
        <v>1950</v>
      </c>
      <c r="F46" s="370">
        <v>600</v>
      </c>
      <c r="G46" s="370">
        <v>840</v>
      </c>
      <c r="H46" s="370">
        <v>1230</v>
      </c>
      <c r="I46" s="370">
        <v>53</v>
      </c>
      <c r="J46" s="370" t="s">
        <v>39</v>
      </c>
      <c r="K46" s="370">
        <v>525</v>
      </c>
      <c r="L46" s="370" t="s">
        <v>33</v>
      </c>
    </row>
    <row r="47" spans="2:13">
      <c r="B47" s="370"/>
      <c r="C47" s="370"/>
      <c r="D47" s="370"/>
      <c r="E47" s="370"/>
      <c r="F47" s="370"/>
      <c r="G47" s="370"/>
      <c r="H47" s="370"/>
      <c r="I47" s="370"/>
      <c r="J47" s="370"/>
      <c r="K47" s="370"/>
      <c r="L47" s="370"/>
    </row>
    <row r="48" spans="2:13">
      <c r="B48" s="370" t="s">
        <v>51</v>
      </c>
      <c r="C48" s="370">
        <v>210</v>
      </c>
      <c r="D48" s="370">
        <v>1000</v>
      </c>
      <c r="E48" s="370">
        <v>1100</v>
      </c>
      <c r="F48" s="370">
        <v>550</v>
      </c>
      <c r="G48" s="370">
        <v>900</v>
      </c>
      <c r="H48" s="370">
        <v>1350</v>
      </c>
      <c r="I48" s="370">
        <v>650</v>
      </c>
      <c r="J48" s="370" t="s">
        <v>34</v>
      </c>
      <c r="K48" s="370">
        <v>612</v>
      </c>
      <c r="L48" s="370" t="s">
        <v>33</v>
      </c>
    </row>
    <row r="49" spans="2:12">
      <c r="B49" s="370"/>
      <c r="C49" s="370"/>
      <c r="D49" s="370"/>
      <c r="E49" s="370"/>
      <c r="F49" s="370"/>
      <c r="G49" s="370"/>
      <c r="H49" s="370"/>
      <c r="I49" s="370"/>
      <c r="J49" s="370"/>
      <c r="K49" s="370"/>
      <c r="L49" s="370"/>
    </row>
    <row r="50" spans="2:12">
      <c r="B50" s="370" t="s">
        <v>52</v>
      </c>
      <c r="C50" s="370">
        <v>210</v>
      </c>
      <c r="D50" s="370">
        <v>930</v>
      </c>
      <c r="E50" s="370">
        <v>1020</v>
      </c>
      <c r="F50" s="370">
        <v>510</v>
      </c>
      <c r="G50" s="370">
        <v>770</v>
      </c>
      <c r="H50" s="370">
        <v>1070</v>
      </c>
      <c r="I50" s="370">
        <v>610</v>
      </c>
      <c r="J50" s="370" t="s">
        <v>34</v>
      </c>
      <c r="K50" s="370">
        <v>574</v>
      </c>
      <c r="L50" s="370" t="s">
        <v>33</v>
      </c>
    </row>
    <row r="51" spans="2:12">
      <c r="B51" s="370"/>
      <c r="C51" s="370"/>
      <c r="D51" s="370"/>
      <c r="E51" s="370"/>
      <c r="F51" s="370"/>
      <c r="G51" s="370"/>
      <c r="H51" s="370"/>
      <c r="I51" s="370"/>
      <c r="J51" s="370"/>
      <c r="K51" s="370"/>
      <c r="L51" s="370"/>
    </row>
    <row r="52" spans="2:12">
      <c r="B52" s="370" t="s">
        <v>53</v>
      </c>
      <c r="C52" s="370">
        <v>210</v>
      </c>
      <c r="D52" s="370">
        <v>1000</v>
      </c>
      <c r="E52" s="370">
        <v>1100</v>
      </c>
      <c r="F52" s="370">
        <v>550</v>
      </c>
      <c r="G52" s="370">
        <v>680</v>
      </c>
      <c r="H52" s="370">
        <v>830</v>
      </c>
      <c r="I52" s="370">
        <v>36</v>
      </c>
      <c r="J52" s="370" t="s">
        <v>39</v>
      </c>
      <c r="K52" s="370" t="s">
        <v>54</v>
      </c>
      <c r="L52" s="370" t="s">
        <v>33</v>
      </c>
    </row>
    <row r="53" spans="2:12">
      <c r="B53" s="370"/>
      <c r="C53" s="370"/>
      <c r="D53" s="370"/>
      <c r="E53" s="370"/>
      <c r="F53" s="370"/>
      <c r="G53" s="370"/>
      <c r="H53" s="370"/>
      <c r="I53" s="370"/>
      <c r="J53" s="370"/>
      <c r="K53" s="370"/>
      <c r="L53" s="370"/>
    </row>
    <row r="54" spans="2:12">
      <c r="B54" s="370" t="s">
        <v>55</v>
      </c>
      <c r="C54" s="370">
        <v>210</v>
      </c>
      <c r="D54" s="370">
        <v>750</v>
      </c>
      <c r="E54" s="370">
        <v>1000</v>
      </c>
      <c r="F54" s="370">
        <v>500</v>
      </c>
      <c r="G54" s="370">
        <v>570</v>
      </c>
      <c r="H54" s="370">
        <v>600</v>
      </c>
      <c r="I54" s="370">
        <v>300</v>
      </c>
      <c r="J54" s="370" t="s">
        <v>34</v>
      </c>
      <c r="K54" s="370">
        <v>284</v>
      </c>
      <c r="L54" s="370" t="s">
        <v>33</v>
      </c>
    </row>
    <row r="55" spans="2:12">
      <c r="B55" s="370"/>
      <c r="C55" s="370"/>
      <c r="D55" s="370"/>
      <c r="E55" s="370"/>
      <c r="F55" s="370"/>
      <c r="G55" s="370"/>
      <c r="H55" s="370"/>
      <c r="I55" s="370"/>
      <c r="J55" s="370"/>
      <c r="K55" s="370"/>
      <c r="L55" s="370"/>
    </row>
    <row r="56" spans="2:12">
      <c r="B56" s="370" t="s">
        <v>56</v>
      </c>
      <c r="C56" s="370">
        <v>210</v>
      </c>
      <c r="D56" s="370">
        <v>1520</v>
      </c>
      <c r="E56" s="370">
        <v>2200</v>
      </c>
      <c r="F56" s="370">
        <v>560</v>
      </c>
      <c r="G56" s="370">
        <v>720</v>
      </c>
      <c r="H56" s="370">
        <v>1170</v>
      </c>
      <c r="I56" s="370">
        <v>58</v>
      </c>
      <c r="J56" s="370" t="s">
        <v>39</v>
      </c>
      <c r="K56" s="370" t="s">
        <v>57</v>
      </c>
      <c r="L56" s="370" t="s">
        <v>33</v>
      </c>
    </row>
    <row r="57" spans="2:12">
      <c r="B57" s="370"/>
      <c r="C57" s="370"/>
      <c r="D57" s="370"/>
      <c r="E57" s="370"/>
      <c r="F57" s="370"/>
      <c r="G57" s="370"/>
      <c r="H57" s="370"/>
      <c r="I57" s="370"/>
      <c r="J57" s="370"/>
      <c r="K57" s="370"/>
      <c r="L57" s="370"/>
    </row>
    <row r="58" spans="2:12">
      <c r="B58" s="370" t="s">
        <v>58</v>
      </c>
      <c r="C58" s="370">
        <v>210</v>
      </c>
      <c r="D58" s="370">
        <v>370</v>
      </c>
      <c r="E58" s="370">
        <v>780</v>
      </c>
      <c r="F58" s="370">
        <v>380</v>
      </c>
      <c r="G58" s="370">
        <v>540</v>
      </c>
      <c r="H58" s="370">
        <v>1030</v>
      </c>
      <c r="I58" s="370">
        <v>23</v>
      </c>
      <c r="J58" s="370" t="s">
        <v>39</v>
      </c>
      <c r="K58" s="370">
        <v>242.4</v>
      </c>
      <c r="L58" s="370" t="s">
        <v>33</v>
      </c>
    </row>
    <row r="59" spans="2:12">
      <c r="B59" s="370"/>
      <c r="C59" s="370"/>
      <c r="D59" s="370"/>
      <c r="E59" s="370"/>
      <c r="F59" s="370"/>
      <c r="G59" s="370"/>
      <c r="H59" s="370"/>
      <c r="I59" s="370"/>
      <c r="J59" s="370"/>
      <c r="K59" s="370"/>
      <c r="L59" s="370"/>
    </row>
    <row r="60" spans="2:12">
      <c r="B60" s="370" t="s">
        <v>59</v>
      </c>
      <c r="C60" s="370">
        <v>210</v>
      </c>
      <c r="D60" s="370">
        <v>305</v>
      </c>
      <c r="E60" s="370">
        <v>580</v>
      </c>
      <c r="F60" s="370">
        <v>290</v>
      </c>
      <c r="G60" s="370">
        <v>400</v>
      </c>
      <c r="H60" s="370">
        <v>530</v>
      </c>
      <c r="I60" s="370">
        <v>172</v>
      </c>
      <c r="J60" s="370" t="s">
        <v>33</v>
      </c>
      <c r="K60" s="370">
        <v>172</v>
      </c>
      <c r="L60" s="370" t="s">
        <v>33</v>
      </c>
    </row>
    <row r="61" spans="2:12">
      <c r="B61" s="370"/>
      <c r="C61" s="370"/>
      <c r="D61" s="370"/>
      <c r="E61" s="370"/>
      <c r="F61" s="370"/>
      <c r="G61" s="370"/>
      <c r="H61" s="370"/>
      <c r="I61" s="370"/>
      <c r="J61" s="370"/>
      <c r="K61" s="370"/>
      <c r="L61" s="370"/>
    </row>
    <row r="62" spans="2:12">
      <c r="B62" s="370" t="s">
        <v>60</v>
      </c>
      <c r="C62" s="370">
        <v>210</v>
      </c>
      <c r="D62" s="370">
        <v>1500</v>
      </c>
      <c r="E62" s="370">
        <v>2330</v>
      </c>
      <c r="F62" s="370">
        <v>600</v>
      </c>
      <c r="G62" s="370">
        <v>620</v>
      </c>
      <c r="H62" s="370">
        <v>710</v>
      </c>
      <c r="I62" s="370">
        <v>58</v>
      </c>
      <c r="J62" s="370" t="s">
        <v>39</v>
      </c>
      <c r="K62" s="370" t="s">
        <v>57</v>
      </c>
      <c r="L62" s="370" t="s">
        <v>33</v>
      </c>
    </row>
    <row r="63" spans="2:12">
      <c r="B63" s="370"/>
      <c r="C63" s="370"/>
      <c r="D63" s="370"/>
      <c r="E63" s="370"/>
      <c r="F63" s="370"/>
      <c r="G63" s="370"/>
      <c r="H63" s="370"/>
      <c r="I63" s="370"/>
      <c r="J63" s="370"/>
      <c r="K63" s="370"/>
      <c r="L63" s="370"/>
    </row>
    <row r="64" spans="2:12">
      <c r="B64" s="370" t="s">
        <v>61</v>
      </c>
      <c r="C64" s="370">
        <v>210</v>
      </c>
      <c r="D64" s="370">
        <v>295</v>
      </c>
      <c r="E64" s="370">
        <v>490</v>
      </c>
      <c r="F64" s="370">
        <v>250</v>
      </c>
      <c r="G64" s="370">
        <v>320</v>
      </c>
      <c r="H64" s="370">
        <v>370</v>
      </c>
      <c r="I64" s="370">
        <v>160</v>
      </c>
      <c r="J64" s="370" t="s">
        <v>33</v>
      </c>
      <c r="K64" s="370">
        <v>160</v>
      </c>
      <c r="L64" s="370" t="s">
        <v>33</v>
      </c>
    </row>
    <row r="65" spans="2:12">
      <c r="B65" s="370"/>
      <c r="C65" s="370"/>
      <c r="D65" s="370"/>
      <c r="E65" s="370"/>
      <c r="F65" s="370"/>
      <c r="G65" s="370"/>
      <c r="H65" s="370"/>
      <c r="I65" s="370"/>
      <c r="J65" s="370"/>
      <c r="K65" s="370"/>
      <c r="L65" s="370"/>
    </row>
    <row r="66" spans="2:12">
      <c r="B66" s="370" t="s">
        <v>62</v>
      </c>
      <c r="C66" s="370">
        <v>210</v>
      </c>
      <c r="D66" s="370">
        <v>335</v>
      </c>
      <c r="E66" s="370">
        <v>590</v>
      </c>
      <c r="F66" s="370">
        <v>270</v>
      </c>
      <c r="G66" s="370">
        <v>350</v>
      </c>
      <c r="H66" s="370">
        <v>430</v>
      </c>
      <c r="I66" s="370">
        <v>190</v>
      </c>
      <c r="J66" s="370" t="s">
        <v>33</v>
      </c>
      <c r="K66" s="370">
        <v>190</v>
      </c>
      <c r="L66" s="370" t="s">
        <v>33</v>
      </c>
    </row>
    <row r="67" spans="2:12">
      <c r="B67" s="370"/>
      <c r="C67" s="370"/>
      <c r="D67" s="370"/>
      <c r="E67" s="370"/>
      <c r="F67" s="370"/>
      <c r="G67" s="370"/>
      <c r="H67" s="370"/>
      <c r="I67" s="370"/>
      <c r="J67" s="370"/>
      <c r="K67" s="370"/>
      <c r="L67" s="370"/>
    </row>
    <row r="68" spans="2:12">
      <c r="B68" s="370" t="s">
        <v>63</v>
      </c>
      <c r="C68" s="370">
        <v>210</v>
      </c>
      <c r="D68" s="370">
        <v>360</v>
      </c>
      <c r="E68" s="370">
        <v>690</v>
      </c>
      <c r="F68" s="370">
        <v>320</v>
      </c>
      <c r="G68" s="370">
        <v>410</v>
      </c>
      <c r="H68" s="370">
        <v>460</v>
      </c>
      <c r="I68" s="370">
        <v>210</v>
      </c>
      <c r="J68" s="370" t="s">
        <v>33</v>
      </c>
      <c r="K68" s="370">
        <v>210</v>
      </c>
      <c r="L68" s="370" t="s">
        <v>33</v>
      </c>
    </row>
    <row r="69" spans="2:12"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</row>
    <row r="70" spans="2:12">
      <c r="B70" s="370" t="s">
        <v>64</v>
      </c>
      <c r="C70" s="370">
        <v>100</v>
      </c>
      <c r="D70" s="370" t="s">
        <v>65</v>
      </c>
      <c r="E70" s="370">
        <v>200</v>
      </c>
      <c r="F70" s="370" t="s">
        <v>65</v>
      </c>
      <c r="G70" s="370">
        <v>80</v>
      </c>
      <c r="H70" s="370">
        <v>300</v>
      </c>
      <c r="I70" s="370">
        <v>180</v>
      </c>
      <c r="J70" s="370" t="s">
        <v>33</v>
      </c>
      <c r="K70" s="370">
        <v>180</v>
      </c>
      <c r="L70" s="370" t="s">
        <v>33</v>
      </c>
    </row>
    <row r="71" spans="2:12">
      <c r="B71" s="370"/>
      <c r="C71" s="370"/>
      <c r="D71" s="370"/>
      <c r="E71" s="370"/>
      <c r="F71" s="370"/>
      <c r="G71" s="370"/>
      <c r="H71" s="370"/>
      <c r="I71" s="370"/>
      <c r="J71" s="370"/>
      <c r="K71" s="370"/>
      <c r="L71" s="370"/>
    </row>
    <row r="72" spans="2:12">
      <c r="B72" s="370" t="s">
        <v>66</v>
      </c>
      <c r="C72" s="370">
        <v>120</v>
      </c>
      <c r="D72" s="370" t="s">
        <v>65</v>
      </c>
      <c r="E72" s="370">
        <v>250</v>
      </c>
      <c r="F72" s="370" t="s">
        <v>65</v>
      </c>
      <c r="G72" s="370">
        <v>110</v>
      </c>
      <c r="H72" s="370">
        <v>360</v>
      </c>
      <c r="I72" s="370">
        <v>220</v>
      </c>
      <c r="J72" s="370" t="s">
        <v>33</v>
      </c>
      <c r="K72" s="370">
        <v>220</v>
      </c>
      <c r="L72" s="370" t="s">
        <v>33</v>
      </c>
    </row>
    <row r="73" spans="2:12">
      <c r="B73" s="370"/>
      <c r="C73" s="370"/>
      <c r="D73" s="370"/>
      <c r="E73" s="370"/>
      <c r="F73" s="370"/>
      <c r="G73" s="370"/>
      <c r="H73" s="370"/>
      <c r="I73" s="370"/>
      <c r="J73" s="370"/>
      <c r="K73" s="370"/>
      <c r="L73" s="370"/>
    </row>
    <row r="74" spans="2:12">
      <c r="B74" s="370" t="s">
        <v>67</v>
      </c>
      <c r="C74" s="370">
        <v>200</v>
      </c>
      <c r="D74" s="370">
        <v>700</v>
      </c>
      <c r="E74" s="370">
        <v>1000</v>
      </c>
      <c r="F74" s="370" t="s">
        <v>65</v>
      </c>
      <c r="G74" s="370">
        <v>520</v>
      </c>
      <c r="H74" s="370">
        <v>700</v>
      </c>
      <c r="I74" s="370">
        <v>350</v>
      </c>
      <c r="J74" s="370" t="s">
        <v>33</v>
      </c>
      <c r="K74" s="370">
        <v>350</v>
      </c>
      <c r="L74" s="370" t="s">
        <v>33</v>
      </c>
    </row>
    <row r="75" spans="2:12">
      <c r="B75" s="370"/>
      <c r="C75" s="370"/>
      <c r="D75" s="370"/>
      <c r="E75" s="370"/>
      <c r="F75" s="370"/>
      <c r="G75" s="370"/>
      <c r="H75" s="370"/>
      <c r="I75" s="370"/>
      <c r="J75" s="370"/>
      <c r="K75" s="370"/>
      <c r="L75" s="370"/>
    </row>
    <row r="76" spans="2:12">
      <c r="B76" s="370" t="s">
        <v>68</v>
      </c>
      <c r="C76" s="370">
        <v>170</v>
      </c>
      <c r="D76" s="370">
        <v>250</v>
      </c>
      <c r="E76" s="370">
        <v>400</v>
      </c>
      <c r="F76" s="370" t="s">
        <v>65</v>
      </c>
      <c r="G76" s="370">
        <v>370</v>
      </c>
      <c r="H76" s="370">
        <v>370</v>
      </c>
      <c r="I76" s="370">
        <v>180</v>
      </c>
      <c r="J76" s="370" t="s">
        <v>33</v>
      </c>
      <c r="K76" s="370">
        <v>180</v>
      </c>
      <c r="L76" s="370" t="s">
        <v>33</v>
      </c>
    </row>
    <row r="77" spans="2:12">
      <c r="B77" s="370"/>
      <c r="C77" s="370"/>
      <c r="D77" s="370"/>
      <c r="E77" s="370"/>
      <c r="F77" s="370"/>
      <c r="G77" s="370"/>
      <c r="H77" s="370"/>
      <c r="I77" s="370"/>
      <c r="J77" s="370"/>
      <c r="K77" s="370"/>
      <c r="L77" s="370"/>
    </row>
    <row r="78" spans="2:12">
      <c r="B78" s="370" t="s">
        <v>69</v>
      </c>
      <c r="C78" s="370">
        <v>170</v>
      </c>
      <c r="D78" s="370">
        <v>360</v>
      </c>
      <c r="E78" s="370">
        <v>600</v>
      </c>
      <c r="F78" s="370" t="s">
        <v>65</v>
      </c>
      <c r="G78" s="370">
        <v>450</v>
      </c>
      <c r="H78" s="370">
        <v>490</v>
      </c>
      <c r="I78" s="370">
        <v>250</v>
      </c>
      <c r="J78" s="370" t="s">
        <v>33</v>
      </c>
      <c r="K78" s="370">
        <v>250</v>
      </c>
      <c r="L78" s="370" t="s">
        <v>33</v>
      </c>
    </row>
    <row r="79" spans="2:12">
      <c r="B79" s="370"/>
      <c r="C79" s="370"/>
      <c r="D79" s="370"/>
      <c r="E79" s="370"/>
      <c r="F79" s="370"/>
      <c r="G79" s="370"/>
      <c r="H79" s="370"/>
      <c r="I79" s="370"/>
      <c r="J79" s="370"/>
      <c r="K79" s="370"/>
      <c r="L79" s="370"/>
    </row>
    <row r="80" spans="2:12">
      <c r="B80" s="370" t="s">
        <v>70</v>
      </c>
      <c r="C80" s="370">
        <v>180</v>
      </c>
      <c r="D80" s="370">
        <v>480</v>
      </c>
      <c r="E80" s="370">
        <v>800</v>
      </c>
      <c r="F80" s="370" t="s">
        <v>65</v>
      </c>
      <c r="G80" s="370">
        <v>500</v>
      </c>
      <c r="H80" s="370">
        <v>600</v>
      </c>
      <c r="I80" s="370">
        <v>320</v>
      </c>
      <c r="J80" s="370" t="s">
        <v>33</v>
      </c>
      <c r="K80" s="370">
        <v>320</v>
      </c>
      <c r="L80" s="370" t="s">
        <v>33</v>
      </c>
    </row>
    <row r="81" spans="2:12">
      <c r="B81" s="370"/>
      <c r="C81" s="370"/>
      <c r="D81" s="370"/>
      <c r="E81" s="370"/>
      <c r="F81" s="370"/>
      <c r="G81" s="370"/>
      <c r="H81" s="370"/>
      <c r="I81" s="370"/>
      <c r="J81" s="370"/>
      <c r="K81" s="370"/>
      <c r="L81" s="370"/>
    </row>
    <row r="82" spans="2:12">
      <c r="B82" s="370" t="s">
        <v>71</v>
      </c>
      <c r="C82" s="370">
        <v>200</v>
      </c>
      <c r="D82" s="370">
        <v>260</v>
      </c>
      <c r="E82" s="370">
        <v>510</v>
      </c>
      <c r="F82" s="370">
        <v>200</v>
      </c>
      <c r="G82" s="370">
        <v>280</v>
      </c>
      <c r="H82" s="370">
        <v>320</v>
      </c>
      <c r="I82" s="370">
        <v>160</v>
      </c>
      <c r="J82" s="370" t="s">
        <v>33</v>
      </c>
      <c r="K82" s="370">
        <v>160</v>
      </c>
      <c r="L82" s="370" t="s">
        <v>33</v>
      </c>
    </row>
    <row r="83" spans="2:12">
      <c r="B83" s="370"/>
      <c r="C83" s="370"/>
      <c r="D83" s="370"/>
      <c r="E83" s="370"/>
      <c r="F83" s="370"/>
      <c r="G83" s="370"/>
      <c r="H83" s="370"/>
      <c r="I83" s="370"/>
      <c r="J83" s="370"/>
      <c r="K83" s="370"/>
      <c r="L83" s="370"/>
    </row>
    <row r="84" spans="2:12">
      <c r="B84" s="370" t="s">
        <v>72</v>
      </c>
      <c r="C84" s="370">
        <v>200</v>
      </c>
      <c r="D84" s="370">
        <v>350</v>
      </c>
      <c r="E84" s="370">
        <v>590</v>
      </c>
      <c r="F84" s="370">
        <v>210</v>
      </c>
      <c r="G84" s="370">
        <v>320</v>
      </c>
      <c r="H84" s="370">
        <v>380</v>
      </c>
      <c r="I84" s="370">
        <v>180</v>
      </c>
      <c r="J84" s="370" t="s">
        <v>33</v>
      </c>
      <c r="K84" s="370">
        <v>180</v>
      </c>
      <c r="L84" s="370" t="s">
        <v>33</v>
      </c>
    </row>
    <row r="85" spans="2:12">
      <c r="B85" s="370"/>
      <c r="C85" s="370"/>
      <c r="D85" s="370"/>
      <c r="E85" s="370"/>
      <c r="F85" s="370"/>
      <c r="G85" s="370"/>
      <c r="H85" s="370"/>
      <c r="I85" s="370"/>
      <c r="J85" s="370"/>
      <c r="K85" s="370"/>
      <c r="L85" s="370"/>
    </row>
    <row r="86" spans="2:12">
      <c r="B86" s="370" t="s">
        <v>73</v>
      </c>
      <c r="C86" s="370">
        <v>170</v>
      </c>
      <c r="D86" s="370">
        <v>220</v>
      </c>
      <c r="E86" s="370">
        <v>350</v>
      </c>
      <c r="F86" s="370" t="s">
        <v>65</v>
      </c>
      <c r="G86" s="370">
        <v>330</v>
      </c>
      <c r="H86" s="370">
        <v>320</v>
      </c>
      <c r="I86" s="370">
        <v>150</v>
      </c>
      <c r="J86" s="370" t="s">
        <v>33</v>
      </c>
      <c r="K86" s="370">
        <v>150</v>
      </c>
      <c r="L86" s="370" t="s">
        <v>33</v>
      </c>
    </row>
    <row r="87" spans="2:12">
      <c r="B87" s="370"/>
      <c r="C87" s="370"/>
      <c r="D87" s="370"/>
      <c r="E87" s="370"/>
      <c r="F87" s="370"/>
      <c r="G87" s="370"/>
      <c r="H87" s="370"/>
      <c r="I87" s="370"/>
      <c r="J87" s="370"/>
      <c r="K87" s="370"/>
      <c r="L87" s="370"/>
    </row>
    <row r="88" spans="2:12">
      <c r="B88" s="370" t="s">
        <v>74</v>
      </c>
      <c r="C88" s="370">
        <v>180</v>
      </c>
      <c r="D88" s="370">
        <v>380</v>
      </c>
      <c r="E88" s="370">
        <v>650</v>
      </c>
      <c r="F88" s="370" t="s">
        <v>65</v>
      </c>
      <c r="G88" s="370">
        <v>410</v>
      </c>
      <c r="H88" s="370">
        <v>460</v>
      </c>
      <c r="I88" s="370">
        <v>220</v>
      </c>
      <c r="J88" s="370" t="s">
        <v>33</v>
      </c>
      <c r="K88" s="370">
        <v>220</v>
      </c>
      <c r="L88" s="370" t="s">
        <v>33</v>
      </c>
    </row>
    <row r="89" spans="2:12">
      <c r="B89" s="370"/>
      <c r="C89" s="370"/>
      <c r="D89" s="370"/>
      <c r="E89" s="370"/>
      <c r="F89" s="370"/>
      <c r="G89" s="370"/>
      <c r="H89" s="370"/>
      <c r="I89" s="370"/>
      <c r="J89" s="370"/>
      <c r="K89" s="370"/>
      <c r="L89" s="370"/>
    </row>
    <row r="91" spans="2:12" ht="16.2" thickBot="1"/>
    <row r="92" spans="2:12">
      <c r="B92" s="49" t="s">
        <v>221</v>
      </c>
      <c r="C92" s="50" t="s">
        <v>222</v>
      </c>
    </row>
    <row r="93" spans="2:12">
      <c r="B93" s="51" t="s">
        <v>223</v>
      </c>
      <c r="C93" s="52" t="s">
        <v>224</v>
      </c>
    </row>
    <row r="94" spans="2:12">
      <c r="B94" s="51">
        <v>14</v>
      </c>
      <c r="C94" s="52">
        <v>3.51</v>
      </c>
    </row>
    <row r="95" spans="2:12">
      <c r="B95" s="51">
        <v>15</v>
      </c>
      <c r="C95" s="52">
        <v>3.4</v>
      </c>
    </row>
    <row r="96" spans="2:12">
      <c r="B96" s="51">
        <v>16</v>
      </c>
      <c r="C96" s="52">
        <v>3.3</v>
      </c>
    </row>
    <row r="97" spans="2:8">
      <c r="B97" s="51">
        <v>17</v>
      </c>
      <c r="C97" s="52">
        <v>3.22</v>
      </c>
    </row>
    <row r="98" spans="2:8">
      <c r="B98" s="51">
        <v>18</v>
      </c>
      <c r="C98" s="52">
        <v>3.15</v>
      </c>
    </row>
    <row r="99" spans="2:8">
      <c r="B99" s="51">
        <v>19</v>
      </c>
      <c r="C99" s="52">
        <v>3.09</v>
      </c>
    </row>
    <row r="100" spans="2:8">
      <c r="B100" s="51">
        <v>20</v>
      </c>
      <c r="C100" s="52">
        <v>3.04</v>
      </c>
    </row>
    <row r="101" spans="2:8">
      <c r="B101" s="51">
        <v>21</v>
      </c>
      <c r="C101" s="52">
        <v>2.99</v>
      </c>
    </row>
    <row r="102" spans="2:8">
      <c r="B102" s="51">
        <v>22</v>
      </c>
      <c r="C102" s="52">
        <v>2.95</v>
      </c>
    </row>
    <row r="103" spans="2:8">
      <c r="B103" s="51">
        <v>23</v>
      </c>
      <c r="C103" s="52">
        <v>2.91</v>
      </c>
    </row>
    <row r="104" spans="2:8">
      <c r="B104" s="51">
        <v>24</v>
      </c>
      <c r="C104" s="52">
        <v>2.88</v>
      </c>
    </row>
    <row r="105" spans="2:8">
      <c r="B105" s="51">
        <v>25</v>
      </c>
      <c r="C105" s="52">
        <v>2.85</v>
      </c>
      <c r="E105" s="321" t="s">
        <v>229</v>
      </c>
      <c r="F105" s="322"/>
      <c r="G105" s="322"/>
      <c r="H105" s="323"/>
    </row>
    <row r="106" spans="2:8">
      <c r="B106" s="51">
        <v>26</v>
      </c>
      <c r="C106" s="52">
        <v>2.82</v>
      </c>
      <c r="E106" s="1" t="s">
        <v>242</v>
      </c>
      <c r="F106" s="1" t="s">
        <v>230</v>
      </c>
      <c r="G106" s="1" t="s">
        <v>232</v>
      </c>
      <c r="H106" s="1" t="s">
        <v>231</v>
      </c>
    </row>
    <row r="107" spans="2:8">
      <c r="B107" s="51">
        <v>28</v>
      </c>
      <c r="C107" s="52">
        <v>2.77</v>
      </c>
      <c r="E107" s="5">
        <f>Geometria!G6</f>
        <v>20.487618193956987</v>
      </c>
      <c r="F107" s="3">
        <f>Geometria!J6/(COS(RADIANS(Geometria!K2)))^(3)</f>
        <v>72.309240684554069</v>
      </c>
      <c r="G107" s="3">
        <f>Geometria!H6</f>
        <v>18.863296320916014</v>
      </c>
      <c r="H107" s="3">
        <f>Geometria!L6/(COS(RADIANS(Geometria!L2)))^(3)</f>
        <v>66.576339956174166</v>
      </c>
    </row>
    <row r="108" spans="2:8">
      <c r="B108" s="51">
        <v>30</v>
      </c>
      <c r="C108" s="53">
        <v>2.73</v>
      </c>
      <c r="E108" s="1" t="s">
        <v>243</v>
      </c>
      <c r="F108" s="1" t="s">
        <v>226</v>
      </c>
      <c r="G108" s="1" t="s">
        <v>227</v>
      </c>
      <c r="H108" s="1" t="s">
        <v>244</v>
      </c>
    </row>
    <row r="109" spans="2:8">
      <c r="B109" s="51">
        <v>32</v>
      </c>
      <c r="C109" s="53">
        <v>2.69</v>
      </c>
      <c r="E109" s="3">
        <f>Tabelle!C100-((Tabelle!C100-Tabelle!C101)*(-E107+Tabelle!B100))/(B100-B101)</f>
        <v>3.0156190903021507</v>
      </c>
      <c r="F109" s="3">
        <f>Tabelle!C117-((Tabelle!C117-Tabelle!C118)*(-F107+Tabelle!B117))/(B117-B118)</f>
        <v>2.437690759315446</v>
      </c>
      <c r="G109" s="3">
        <f>Tabelle!C98-((Tabelle!C98-Tabelle!C99)*(-G107+B98))/(B98-B99)</f>
        <v>3.0982022207450388</v>
      </c>
      <c r="H109" s="3">
        <f>Tabelle!C116-((Tabelle!C116-Tabelle!C117)*(-H107+Tabelle!B116))/(B116-B117)</f>
        <v>2.4502709801314775</v>
      </c>
    </row>
    <row r="110" spans="2:8">
      <c r="B110" s="51">
        <v>34</v>
      </c>
      <c r="C110" s="53">
        <v>2.66</v>
      </c>
    </row>
    <row r="111" spans="2:8">
      <c r="B111" s="51">
        <v>36</v>
      </c>
      <c r="C111" s="53">
        <v>2.64</v>
      </c>
    </row>
    <row r="112" spans="2:8">
      <c r="B112" s="51">
        <v>38</v>
      </c>
      <c r="C112" s="53">
        <v>2.61</v>
      </c>
    </row>
    <row r="113" spans="2:3">
      <c r="B113" s="51">
        <v>40</v>
      </c>
      <c r="C113" s="53">
        <v>2.59</v>
      </c>
    </row>
    <row r="114" spans="2:3">
      <c r="B114" s="51">
        <v>45</v>
      </c>
      <c r="C114" s="53">
        <v>2.5499999999999998</v>
      </c>
    </row>
    <row r="115" spans="2:3">
      <c r="B115" s="51">
        <v>50</v>
      </c>
      <c r="C115" s="53">
        <v>2.52</v>
      </c>
    </row>
    <row r="116" spans="2:3">
      <c r="B116" s="51">
        <v>60</v>
      </c>
      <c r="C116" s="53">
        <v>2.4700000000000002</v>
      </c>
    </row>
    <row r="117" spans="2:3">
      <c r="B117" s="51">
        <v>70</v>
      </c>
      <c r="C117" s="53">
        <v>2.44</v>
      </c>
    </row>
    <row r="118" spans="2:3">
      <c r="B118" s="51">
        <v>80</v>
      </c>
      <c r="C118" s="53">
        <v>2.4300000000000002</v>
      </c>
    </row>
    <row r="119" spans="2:3">
      <c r="B119" s="51">
        <v>100</v>
      </c>
      <c r="C119" s="53">
        <v>2.4</v>
      </c>
    </row>
    <row r="120" spans="2:3">
      <c r="B120" s="51">
        <v>200</v>
      </c>
      <c r="C120" s="53">
        <v>2.37</v>
      </c>
    </row>
    <row r="121" spans="2:3">
      <c r="B121" s="51">
        <v>400</v>
      </c>
      <c r="C121" s="53">
        <v>2.38</v>
      </c>
    </row>
    <row r="122" spans="2:3" ht="16.2" thickBot="1">
      <c r="B122" s="67" t="s">
        <v>225</v>
      </c>
      <c r="C122" s="54">
        <v>2.39</v>
      </c>
    </row>
  </sheetData>
  <mergeCells count="397">
    <mergeCell ref="B20:B21"/>
    <mergeCell ref="C20:C21"/>
    <mergeCell ref="D20:D21"/>
    <mergeCell ref="E20:E21"/>
    <mergeCell ref="F20:F21"/>
    <mergeCell ref="B18:B19"/>
    <mergeCell ref="C18:C19"/>
    <mergeCell ref="D18:D19"/>
    <mergeCell ref="E18:E19"/>
    <mergeCell ref="F18:F19"/>
    <mergeCell ref="G20:G21"/>
    <mergeCell ref="H20:H21"/>
    <mergeCell ref="I20:I21"/>
    <mergeCell ref="J20:J21"/>
    <mergeCell ref="K20:K21"/>
    <mergeCell ref="L20:L21"/>
    <mergeCell ref="H18:H19"/>
    <mergeCell ref="I18:I19"/>
    <mergeCell ref="J18:J19"/>
    <mergeCell ref="K18:K19"/>
    <mergeCell ref="L18:L19"/>
    <mergeCell ref="G18:G19"/>
    <mergeCell ref="B24:B25"/>
    <mergeCell ref="C24:C25"/>
    <mergeCell ref="D24:D25"/>
    <mergeCell ref="E24:E25"/>
    <mergeCell ref="F24:F25"/>
    <mergeCell ref="B22:B23"/>
    <mergeCell ref="C22:C23"/>
    <mergeCell ref="D22:D23"/>
    <mergeCell ref="E22:E23"/>
    <mergeCell ref="F22:F23"/>
    <mergeCell ref="G24:G25"/>
    <mergeCell ref="H24:H25"/>
    <mergeCell ref="I24:I25"/>
    <mergeCell ref="J24:J25"/>
    <mergeCell ref="K24:K25"/>
    <mergeCell ref="L24:L25"/>
    <mergeCell ref="H22:H23"/>
    <mergeCell ref="I22:I23"/>
    <mergeCell ref="J22:J23"/>
    <mergeCell ref="K22:K23"/>
    <mergeCell ref="L22:L23"/>
    <mergeCell ref="G22:G23"/>
    <mergeCell ref="B28:B29"/>
    <mergeCell ref="C28:C29"/>
    <mergeCell ref="D28:D29"/>
    <mergeCell ref="E28:E29"/>
    <mergeCell ref="F28:F29"/>
    <mergeCell ref="B26:B27"/>
    <mergeCell ref="C26:C27"/>
    <mergeCell ref="D26:D27"/>
    <mergeCell ref="E26:E27"/>
    <mergeCell ref="F26:F27"/>
    <mergeCell ref="G28:G29"/>
    <mergeCell ref="H28:H29"/>
    <mergeCell ref="I28:I29"/>
    <mergeCell ref="J28:J29"/>
    <mergeCell ref="K28:K29"/>
    <mergeCell ref="L28:L29"/>
    <mergeCell ref="H26:H27"/>
    <mergeCell ref="I26:I27"/>
    <mergeCell ref="J26:J27"/>
    <mergeCell ref="K26:K27"/>
    <mergeCell ref="L26:L27"/>
    <mergeCell ref="G26:G27"/>
    <mergeCell ref="B32:B33"/>
    <mergeCell ref="C32:C33"/>
    <mergeCell ref="D32:D33"/>
    <mergeCell ref="E32:E33"/>
    <mergeCell ref="F32:F33"/>
    <mergeCell ref="B30:B31"/>
    <mergeCell ref="C30:C31"/>
    <mergeCell ref="D30:D31"/>
    <mergeCell ref="E30:E31"/>
    <mergeCell ref="F30:F31"/>
    <mergeCell ref="G32:G33"/>
    <mergeCell ref="H32:H33"/>
    <mergeCell ref="I32:I33"/>
    <mergeCell ref="J32:J33"/>
    <mergeCell ref="K32:K33"/>
    <mergeCell ref="L32:L33"/>
    <mergeCell ref="H30:H31"/>
    <mergeCell ref="I30:I31"/>
    <mergeCell ref="J30:J31"/>
    <mergeCell ref="K30:K31"/>
    <mergeCell ref="L30:L31"/>
    <mergeCell ref="G30:G31"/>
    <mergeCell ref="B36:B37"/>
    <mergeCell ref="C36:C37"/>
    <mergeCell ref="D36:D37"/>
    <mergeCell ref="E36:E37"/>
    <mergeCell ref="F36:F37"/>
    <mergeCell ref="B34:B35"/>
    <mergeCell ref="C34:C35"/>
    <mergeCell ref="D34:D35"/>
    <mergeCell ref="E34:E35"/>
    <mergeCell ref="F34:F35"/>
    <mergeCell ref="G36:G37"/>
    <mergeCell ref="H36:H37"/>
    <mergeCell ref="I36:I37"/>
    <mergeCell ref="J36:J37"/>
    <mergeCell ref="K36:K37"/>
    <mergeCell ref="L36:L37"/>
    <mergeCell ref="H34:H35"/>
    <mergeCell ref="I34:I35"/>
    <mergeCell ref="J34:J35"/>
    <mergeCell ref="K34:K35"/>
    <mergeCell ref="L34:L35"/>
    <mergeCell ref="G34:G35"/>
    <mergeCell ref="B40:B41"/>
    <mergeCell ref="C40:C41"/>
    <mergeCell ref="D40:D41"/>
    <mergeCell ref="E40:E41"/>
    <mergeCell ref="F40:F41"/>
    <mergeCell ref="B38:B39"/>
    <mergeCell ref="C38:C39"/>
    <mergeCell ref="D38:D39"/>
    <mergeCell ref="E38:E39"/>
    <mergeCell ref="F38:F39"/>
    <mergeCell ref="G40:G41"/>
    <mergeCell ref="H40:H41"/>
    <mergeCell ref="I40:I41"/>
    <mergeCell ref="J40:J41"/>
    <mergeCell ref="K40:K41"/>
    <mergeCell ref="L40:L41"/>
    <mergeCell ref="H38:H39"/>
    <mergeCell ref="I38:I39"/>
    <mergeCell ref="J38:J39"/>
    <mergeCell ref="K38:K39"/>
    <mergeCell ref="L38:L39"/>
    <mergeCell ref="G38:G39"/>
    <mergeCell ref="B44:B45"/>
    <mergeCell ref="C44:C45"/>
    <mergeCell ref="D44:D45"/>
    <mergeCell ref="E44:E45"/>
    <mergeCell ref="F44:F45"/>
    <mergeCell ref="B42:B43"/>
    <mergeCell ref="C42:C43"/>
    <mergeCell ref="D42:D43"/>
    <mergeCell ref="E42:E43"/>
    <mergeCell ref="F42:F43"/>
    <mergeCell ref="G44:G45"/>
    <mergeCell ref="H44:H45"/>
    <mergeCell ref="I44:I45"/>
    <mergeCell ref="J44:J45"/>
    <mergeCell ref="K44:K45"/>
    <mergeCell ref="L44:L45"/>
    <mergeCell ref="H42:H43"/>
    <mergeCell ref="I42:I43"/>
    <mergeCell ref="J42:J43"/>
    <mergeCell ref="K42:K43"/>
    <mergeCell ref="L42:L43"/>
    <mergeCell ref="G42:G43"/>
    <mergeCell ref="B48:B49"/>
    <mergeCell ref="C48:C49"/>
    <mergeCell ref="D48:D49"/>
    <mergeCell ref="E48:E49"/>
    <mergeCell ref="F48:F49"/>
    <mergeCell ref="B46:B47"/>
    <mergeCell ref="C46:C47"/>
    <mergeCell ref="D46:D47"/>
    <mergeCell ref="E46:E47"/>
    <mergeCell ref="F46:F47"/>
    <mergeCell ref="G48:G49"/>
    <mergeCell ref="H48:H49"/>
    <mergeCell ref="I48:I49"/>
    <mergeCell ref="J48:J49"/>
    <mergeCell ref="K48:K49"/>
    <mergeCell ref="L48:L49"/>
    <mergeCell ref="H46:H47"/>
    <mergeCell ref="I46:I47"/>
    <mergeCell ref="J46:J47"/>
    <mergeCell ref="K46:K47"/>
    <mergeCell ref="L46:L47"/>
    <mergeCell ref="G46:G47"/>
    <mergeCell ref="B52:B53"/>
    <mergeCell ref="C52:C53"/>
    <mergeCell ref="D52:D53"/>
    <mergeCell ref="E52:E53"/>
    <mergeCell ref="F52:F53"/>
    <mergeCell ref="B50:B51"/>
    <mergeCell ref="C50:C51"/>
    <mergeCell ref="D50:D51"/>
    <mergeCell ref="E50:E51"/>
    <mergeCell ref="F50:F51"/>
    <mergeCell ref="G52:G53"/>
    <mergeCell ref="H52:H53"/>
    <mergeCell ref="I52:I53"/>
    <mergeCell ref="J52:J53"/>
    <mergeCell ref="K52:K53"/>
    <mergeCell ref="L52:L53"/>
    <mergeCell ref="H50:H51"/>
    <mergeCell ref="I50:I51"/>
    <mergeCell ref="J50:J51"/>
    <mergeCell ref="K50:K51"/>
    <mergeCell ref="L50:L51"/>
    <mergeCell ref="G50:G51"/>
    <mergeCell ref="B56:B57"/>
    <mergeCell ref="C56:C57"/>
    <mergeCell ref="D56:D57"/>
    <mergeCell ref="E56:E57"/>
    <mergeCell ref="F56:F57"/>
    <mergeCell ref="B54:B55"/>
    <mergeCell ref="C54:C55"/>
    <mergeCell ref="D54:D55"/>
    <mergeCell ref="E54:E55"/>
    <mergeCell ref="F54:F55"/>
    <mergeCell ref="G56:G57"/>
    <mergeCell ref="H56:H57"/>
    <mergeCell ref="I56:I57"/>
    <mergeCell ref="J56:J57"/>
    <mergeCell ref="K56:K57"/>
    <mergeCell ref="L56:L57"/>
    <mergeCell ref="H54:H55"/>
    <mergeCell ref="I54:I55"/>
    <mergeCell ref="J54:J55"/>
    <mergeCell ref="K54:K55"/>
    <mergeCell ref="L54:L55"/>
    <mergeCell ref="G54:G55"/>
    <mergeCell ref="B60:B61"/>
    <mergeCell ref="C60:C61"/>
    <mergeCell ref="D60:D61"/>
    <mergeCell ref="E60:E61"/>
    <mergeCell ref="F60:F61"/>
    <mergeCell ref="B58:B59"/>
    <mergeCell ref="C58:C59"/>
    <mergeCell ref="D58:D59"/>
    <mergeCell ref="E58:E59"/>
    <mergeCell ref="F58:F59"/>
    <mergeCell ref="G60:G61"/>
    <mergeCell ref="H60:H61"/>
    <mergeCell ref="I60:I61"/>
    <mergeCell ref="J60:J61"/>
    <mergeCell ref="K60:K61"/>
    <mergeCell ref="L60:L61"/>
    <mergeCell ref="H58:H59"/>
    <mergeCell ref="I58:I59"/>
    <mergeCell ref="J58:J59"/>
    <mergeCell ref="K58:K59"/>
    <mergeCell ref="L58:L59"/>
    <mergeCell ref="G58:G59"/>
    <mergeCell ref="B64:B65"/>
    <mergeCell ref="C64:C65"/>
    <mergeCell ref="D64:D65"/>
    <mergeCell ref="E64:E65"/>
    <mergeCell ref="F64:F65"/>
    <mergeCell ref="B62:B63"/>
    <mergeCell ref="C62:C63"/>
    <mergeCell ref="D62:D63"/>
    <mergeCell ref="E62:E63"/>
    <mergeCell ref="F62:F63"/>
    <mergeCell ref="G64:G65"/>
    <mergeCell ref="H64:H65"/>
    <mergeCell ref="I64:I65"/>
    <mergeCell ref="J64:J65"/>
    <mergeCell ref="K64:K65"/>
    <mergeCell ref="L64:L65"/>
    <mergeCell ref="H62:H63"/>
    <mergeCell ref="I62:I63"/>
    <mergeCell ref="J62:J63"/>
    <mergeCell ref="K62:K63"/>
    <mergeCell ref="L62:L63"/>
    <mergeCell ref="G62:G63"/>
    <mergeCell ref="B68:B69"/>
    <mergeCell ref="C68:C69"/>
    <mergeCell ref="D68:D69"/>
    <mergeCell ref="E68:E69"/>
    <mergeCell ref="F68:F69"/>
    <mergeCell ref="B66:B67"/>
    <mergeCell ref="C66:C67"/>
    <mergeCell ref="D66:D67"/>
    <mergeCell ref="E66:E67"/>
    <mergeCell ref="F66:F67"/>
    <mergeCell ref="G68:G69"/>
    <mergeCell ref="H68:H69"/>
    <mergeCell ref="I68:I69"/>
    <mergeCell ref="J68:J69"/>
    <mergeCell ref="K68:K69"/>
    <mergeCell ref="L68:L69"/>
    <mergeCell ref="H66:H67"/>
    <mergeCell ref="I66:I67"/>
    <mergeCell ref="J66:J67"/>
    <mergeCell ref="K66:K67"/>
    <mergeCell ref="L66:L67"/>
    <mergeCell ref="G66:G67"/>
    <mergeCell ref="B72:B73"/>
    <mergeCell ref="C72:C73"/>
    <mergeCell ref="D72:D73"/>
    <mergeCell ref="E72:E73"/>
    <mergeCell ref="F72:F73"/>
    <mergeCell ref="B70:B71"/>
    <mergeCell ref="C70:C71"/>
    <mergeCell ref="D70:D71"/>
    <mergeCell ref="E70:E71"/>
    <mergeCell ref="F70:F71"/>
    <mergeCell ref="G72:G73"/>
    <mergeCell ref="H72:H73"/>
    <mergeCell ref="I72:I73"/>
    <mergeCell ref="J72:J73"/>
    <mergeCell ref="K72:K73"/>
    <mergeCell ref="L72:L73"/>
    <mergeCell ref="H70:H71"/>
    <mergeCell ref="I70:I71"/>
    <mergeCell ref="J70:J71"/>
    <mergeCell ref="K70:K71"/>
    <mergeCell ref="L70:L71"/>
    <mergeCell ref="G70:G71"/>
    <mergeCell ref="B76:B77"/>
    <mergeCell ref="C76:C77"/>
    <mergeCell ref="D76:D77"/>
    <mergeCell ref="E76:E77"/>
    <mergeCell ref="F76:F77"/>
    <mergeCell ref="B74:B75"/>
    <mergeCell ref="C74:C75"/>
    <mergeCell ref="D74:D75"/>
    <mergeCell ref="E74:E75"/>
    <mergeCell ref="F74:F75"/>
    <mergeCell ref="G76:G77"/>
    <mergeCell ref="H76:H77"/>
    <mergeCell ref="I76:I77"/>
    <mergeCell ref="J76:J77"/>
    <mergeCell ref="K76:K77"/>
    <mergeCell ref="L76:L77"/>
    <mergeCell ref="H74:H75"/>
    <mergeCell ref="I74:I75"/>
    <mergeCell ref="J74:J75"/>
    <mergeCell ref="K74:K75"/>
    <mergeCell ref="L74:L75"/>
    <mergeCell ref="G74:G75"/>
    <mergeCell ref="B80:B81"/>
    <mergeCell ref="C80:C81"/>
    <mergeCell ref="D80:D81"/>
    <mergeCell ref="E80:E81"/>
    <mergeCell ref="F80:F81"/>
    <mergeCell ref="B78:B79"/>
    <mergeCell ref="C78:C79"/>
    <mergeCell ref="D78:D79"/>
    <mergeCell ref="E78:E79"/>
    <mergeCell ref="F78:F79"/>
    <mergeCell ref="G80:G81"/>
    <mergeCell ref="H80:H81"/>
    <mergeCell ref="I80:I81"/>
    <mergeCell ref="J80:J81"/>
    <mergeCell ref="K80:K81"/>
    <mergeCell ref="L80:L81"/>
    <mergeCell ref="H78:H79"/>
    <mergeCell ref="I78:I79"/>
    <mergeCell ref="J78:J79"/>
    <mergeCell ref="K78:K79"/>
    <mergeCell ref="L78:L79"/>
    <mergeCell ref="G78:G79"/>
    <mergeCell ref="B84:B85"/>
    <mergeCell ref="C84:C85"/>
    <mergeCell ref="D84:D85"/>
    <mergeCell ref="E84:E85"/>
    <mergeCell ref="F84:F85"/>
    <mergeCell ref="B82:B83"/>
    <mergeCell ref="C82:C83"/>
    <mergeCell ref="D82:D83"/>
    <mergeCell ref="E82:E83"/>
    <mergeCell ref="F82:F83"/>
    <mergeCell ref="G84:G85"/>
    <mergeCell ref="H84:H85"/>
    <mergeCell ref="I84:I85"/>
    <mergeCell ref="J84:J85"/>
    <mergeCell ref="K84:K85"/>
    <mergeCell ref="L84:L85"/>
    <mergeCell ref="H82:H83"/>
    <mergeCell ref="I82:I83"/>
    <mergeCell ref="J82:J83"/>
    <mergeCell ref="K82:K83"/>
    <mergeCell ref="L82:L83"/>
    <mergeCell ref="G82:G83"/>
    <mergeCell ref="B88:B89"/>
    <mergeCell ref="C88:C89"/>
    <mergeCell ref="D88:D89"/>
    <mergeCell ref="E88:E89"/>
    <mergeCell ref="F88:F89"/>
    <mergeCell ref="B86:B87"/>
    <mergeCell ref="C86:C87"/>
    <mergeCell ref="D86:D87"/>
    <mergeCell ref="E86:E87"/>
    <mergeCell ref="F86:F87"/>
    <mergeCell ref="E105:H105"/>
    <mergeCell ref="G88:G89"/>
    <mergeCell ref="H88:H89"/>
    <mergeCell ref="I88:I89"/>
    <mergeCell ref="J88:J89"/>
    <mergeCell ref="K88:K89"/>
    <mergeCell ref="L88:L89"/>
    <mergeCell ref="H86:H87"/>
    <mergeCell ref="I86:I87"/>
    <mergeCell ref="J86:J87"/>
    <mergeCell ref="K86:K87"/>
    <mergeCell ref="L86:L87"/>
    <mergeCell ref="G86:G8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53D2-5185-4F42-B30B-022C6705C991}">
  <dimension ref="A1:R127"/>
  <sheetViews>
    <sheetView topLeftCell="A20" zoomScale="80" zoomScaleNormal="80" workbookViewId="0">
      <selection activeCell="F42" sqref="F42"/>
    </sheetView>
  </sheetViews>
  <sheetFormatPr defaultColWidth="8.796875" defaultRowHeight="15.6"/>
  <cols>
    <col min="1" max="1" width="25.19921875" bestFit="1" customWidth="1"/>
    <col min="2" max="2" width="6.69921875" bestFit="1" customWidth="1"/>
    <col min="3" max="3" width="8.19921875" bestFit="1" customWidth="1"/>
    <col min="4" max="4" width="14.69921875" bestFit="1" customWidth="1"/>
    <col min="5" max="5" width="7.19921875" bestFit="1" customWidth="1"/>
    <col min="6" max="6" width="9.5" bestFit="1" customWidth="1"/>
    <col min="7" max="7" width="14.69921875" bestFit="1" customWidth="1"/>
    <col min="8" max="8" width="7.19921875" bestFit="1" customWidth="1"/>
    <col min="9" max="9" width="19" customWidth="1"/>
    <col min="10" max="10" width="21.19921875" bestFit="1" customWidth="1"/>
    <col min="11" max="11" width="7.296875" bestFit="1" customWidth="1"/>
    <col min="12" max="12" width="8.19921875" bestFit="1" customWidth="1"/>
    <col min="13" max="13" width="29.19921875" bestFit="1" customWidth="1"/>
    <col min="14" max="15" width="6" bestFit="1" customWidth="1"/>
  </cols>
  <sheetData>
    <row r="1" spans="1:15">
      <c r="A1" s="395" t="s">
        <v>530</v>
      </c>
      <c r="B1" s="396"/>
      <c r="C1" s="397"/>
    </row>
    <row r="2" spans="1:15" ht="16.2" thickBot="1">
      <c r="A2" s="398"/>
      <c r="B2" s="399"/>
      <c r="C2" s="400"/>
    </row>
    <row r="3" spans="1:15" ht="16.2" thickBot="1"/>
    <row r="4" spans="1:15" ht="16.2" thickBot="1">
      <c r="A4" s="378" t="s">
        <v>398</v>
      </c>
      <c r="B4" s="379"/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80"/>
      <c r="O4" s="278"/>
    </row>
    <row r="5" spans="1:15" ht="16.2" thickBot="1">
      <c r="A5" s="404" t="s">
        <v>531</v>
      </c>
      <c r="B5" s="405"/>
      <c r="D5" s="404" t="s">
        <v>532</v>
      </c>
      <c r="E5" s="405"/>
      <c r="J5" s="338" t="s">
        <v>558</v>
      </c>
      <c r="K5" s="388"/>
      <c r="L5" s="388"/>
      <c r="M5" s="388"/>
      <c r="N5" s="339"/>
    </row>
    <row r="6" spans="1:15">
      <c r="A6" s="1" t="s">
        <v>542</v>
      </c>
      <c r="B6" s="3">
        <f>RISULTATI!C251</f>
        <v>25</v>
      </c>
      <c r="D6" s="1" t="s">
        <v>533</v>
      </c>
      <c r="E6" s="3">
        <v>4.75</v>
      </c>
      <c r="J6" s="401" t="s">
        <v>610</v>
      </c>
      <c r="K6" s="402"/>
      <c r="M6" s="401" t="s">
        <v>611</v>
      </c>
      <c r="N6" s="402"/>
    </row>
    <row r="7" spans="1:15">
      <c r="A7" s="1" t="s">
        <v>534</v>
      </c>
      <c r="B7" s="3">
        <f>RISULTATI!C317</f>
        <v>35</v>
      </c>
      <c r="D7" s="1" t="s">
        <v>535</v>
      </c>
      <c r="E7" s="3">
        <f>RISULTATI!C254</f>
        <v>25.25</v>
      </c>
      <c r="J7" s="1" t="s">
        <v>553</v>
      </c>
      <c r="K7" s="1">
        <f>RISULTATI!M482</f>
        <v>25</v>
      </c>
      <c r="M7" s="1" t="s">
        <v>553</v>
      </c>
      <c r="N7" s="1">
        <f>RISULTATI!M460</f>
        <v>25</v>
      </c>
    </row>
    <row r="8" spans="1:15">
      <c r="A8" s="1" t="s">
        <v>543</v>
      </c>
      <c r="B8" s="3">
        <f>RISULTATI!C320</f>
        <v>25</v>
      </c>
      <c r="D8" s="1" t="s">
        <v>536</v>
      </c>
      <c r="E8" s="3">
        <f>RISULTATI!C255</f>
        <v>94.645713530756225</v>
      </c>
      <c r="J8" s="1" t="s">
        <v>554</v>
      </c>
      <c r="K8" s="1">
        <f>RISULTATI!M483</f>
        <v>62</v>
      </c>
      <c r="M8" s="1" t="s">
        <v>554</v>
      </c>
      <c r="N8" s="1">
        <f>RISULTATI!M461</f>
        <v>62</v>
      </c>
    </row>
    <row r="9" spans="1:15">
      <c r="D9" s="1" t="s">
        <v>537</v>
      </c>
      <c r="E9" s="3">
        <f>RISULTATI!C257</f>
        <v>57.465599713699248</v>
      </c>
      <c r="J9" s="1" t="s">
        <v>555</v>
      </c>
      <c r="K9" s="1">
        <f>RISULTATI!M484</f>
        <v>25.25</v>
      </c>
      <c r="M9" s="1" t="s">
        <v>555</v>
      </c>
      <c r="N9" s="1">
        <f>RISULTATI!M462</f>
        <v>25.25</v>
      </c>
    </row>
    <row r="10" spans="1:15">
      <c r="D10" s="1" t="s">
        <v>538</v>
      </c>
      <c r="E10" s="3">
        <f>RISULTATI!D255</f>
        <v>10</v>
      </c>
      <c r="J10" s="1" t="s">
        <v>564</v>
      </c>
      <c r="K10" s="12">
        <v>41</v>
      </c>
      <c r="M10" s="1" t="s">
        <v>564</v>
      </c>
      <c r="N10" s="12">
        <v>41</v>
      </c>
    </row>
    <row r="11" spans="1:15">
      <c r="D11" s="1" t="s">
        <v>539</v>
      </c>
      <c r="E11" s="3">
        <f>RISULTATI!D254</f>
        <v>25.25</v>
      </c>
      <c r="J11" s="73" t="s">
        <v>556</v>
      </c>
      <c r="K11" s="73" t="s">
        <v>557</v>
      </c>
      <c r="M11" s="73" t="s">
        <v>556</v>
      </c>
      <c r="N11" s="73" t="s">
        <v>557</v>
      </c>
    </row>
    <row r="12" spans="1:15">
      <c r="D12" s="1" t="s">
        <v>540</v>
      </c>
      <c r="E12" s="3">
        <f>RISULTATI!D256</f>
        <v>15</v>
      </c>
      <c r="J12" s="1">
        <f>RISULTATI!M493</f>
        <v>33</v>
      </c>
      <c r="K12" s="1">
        <f>RISULTATI!M485</f>
        <v>41.7</v>
      </c>
      <c r="M12" s="1">
        <f>RISULTATI!M471</f>
        <v>33</v>
      </c>
      <c r="N12" s="1">
        <f>RISULTATI!M463</f>
        <v>41.7</v>
      </c>
    </row>
    <row r="13" spans="1:15">
      <c r="D13" s="1" t="s">
        <v>194</v>
      </c>
      <c r="E13" s="3">
        <v>100</v>
      </c>
      <c r="J13" s="280" t="s">
        <v>583</v>
      </c>
      <c r="K13" s="12">
        <v>52</v>
      </c>
      <c r="M13" s="280" t="s">
        <v>583</v>
      </c>
      <c r="N13" s="12">
        <v>52</v>
      </c>
    </row>
    <row r="14" spans="1:15">
      <c r="D14" s="406" t="s">
        <v>541</v>
      </c>
      <c r="E14" s="406"/>
      <c r="F14" s="3">
        <f>E6+E7+E8+E9+E10+E11+E12+E13</f>
        <v>332.36131324445546</v>
      </c>
      <c r="G14" s="1" t="s">
        <v>331</v>
      </c>
      <c r="J14" s="73" t="s">
        <v>556</v>
      </c>
      <c r="K14" s="73" t="s">
        <v>557</v>
      </c>
      <c r="M14" s="73" t="s">
        <v>556</v>
      </c>
      <c r="N14" s="73" t="s">
        <v>557</v>
      </c>
    </row>
    <row r="15" spans="1:15">
      <c r="B15" s="303" t="s">
        <v>618</v>
      </c>
      <c r="C15" s="303"/>
      <c r="D15" s="294" t="s">
        <v>619</v>
      </c>
      <c r="E15" s="294">
        <v>4</v>
      </c>
      <c r="F15" s="109"/>
      <c r="G15" s="41"/>
      <c r="I15" s="291"/>
      <c r="J15" s="1">
        <f>RISULTATI!M472</f>
        <v>52</v>
      </c>
      <c r="K15" s="1">
        <f>RISULTATI!M473</f>
        <v>55</v>
      </c>
      <c r="M15" s="1">
        <f>RISULTATI!M472</f>
        <v>52</v>
      </c>
      <c r="N15" s="1">
        <f>RISULTATI!M473</f>
        <v>55</v>
      </c>
    </row>
    <row r="16" spans="1:15">
      <c r="D16" s="387" t="s">
        <v>620</v>
      </c>
      <c r="E16" s="387"/>
      <c r="F16" s="3">
        <f>F14+E15</f>
        <v>336.36131324445546</v>
      </c>
      <c r="G16" s="1" t="s">
        <v>331</v>
      </c>
      <c r="J16" s="36" t="s">
        <v>602</v>
      </c>
      <c r="K16" s="1">
        <f>RISULTATI!M425</f>
        <v>1.5</v>
      </c>
      <c r="M16" s="36" t="s">
        <v>602</v>
      </c>
      <c r="N16" s="1">
        <f>RISULTATI!M448</f>
        <v>2</v>
      </c>
    </row>
    <row r="17" spans="1:15" ht="16.2" thickBot="1"/>
    <row r="18" spans="1:15" ht="16.2" thickBot="1">
      <c r="A18" s="378" t="s">
        <v>424</v>
      </c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80"/>
    </row>
    <row r="19" spans="1:15" ht="16.2" thickBot="1">
      <c r="A19" s="404" t="s">
        <v>531</v>
      </c>
      <c r="B19" s="405"/>
      <c r="D19" s="404" t="s">
        <v>532</v>
      </c>
      <c r="E19" s="405"/>
      <c r="J19" s="410" t="s">
        <v>558</v>
      </c>
      <c r="K19" s="411"/>
      <c r="L19" s="411"/>
      <c r="M19" s="411"/>
      <c r="N19" s="412"/>
    </row>
    <row r="20" spans="1:15">
      <c r="A20" s="1" t="s">
        <v>549</v>
      </c>
      <c r="B20" s="3">
        <f>RISULTATI!$C$41</f>
        <v>30</v>
      </c>
      <c r="D20" s="1" t="s">
        <v>533</v>
      </c>
      <c r="E20" s="1">
        <v>3.25</v>
      </c>
      <c r="J20" s="401" t="s">
        <v>612</v>
      </c>
      <c r="K20" s="402"/>
      <c r="M20" s="401" t="s">
        <v>613</v>
      </c>
      <c r="N20" s="402"/>
    </row>
    <row r="21" spans="1:15">
      <c r="A21" s="1" t="s">
        <v>546</v>
      </c>
      <c r="B21" s="3">
        <f>RISULTATI!$C$102</f>
        <v>40</v>
      </c>
      <c r="D21" s="1" t="s">
        <v>535</v>
      </c>
      <c r="E21" s="1">
        <f>RISULTATI!$C$45</f>
        <v>28.75</v>
      </c>
      <c r="J21" s="1" t="s">
        <v>553</v>
      </c>
      <c r="K21" s="1">
        <f>RISULTATI!M409</f>
        <v>30</v>
      </c>
      <c r="M21" s="1" t="s">
        <v>553</v>
      </c>
      <c r="N21" s="1">
        <f>RISULTATI!M432</f>
        <v>35</v>
      </c>
    </row>
    <row r="22" spans="1:15">
      <c r="A22" s="1" t="s">
        <v>547</v>
      </c>
      <c r="B22" s="3">
        <f>RISULTATI!$C$105</f>
        <v>45</v>
      </c>
      <c r="D22" s="1" t="s">
        <v>536</v>
      </c>
      <c r="E22" s="1">
        <f>RISULTATI!$C$47</f>
        <v>10</v>
      </c>
      <c r="J22" s="1" t="s">
        <v>554</v>
      </c>
      <c r="K22" s="1">
        <f>RISULTATI!M410</f>
        <v>72</v>
      </c>
      <c r="M22" s="1" t="s">
        <v>554</v>
      </c>
      <c r="N22" s="1">
        <f>RISULTATI!M433</f>
        <v>80</v>
      </c>
    </row>
    <row r="23" spans="1:15">
      <c r="A23" s="1" t="s">
        <v>548</v>
      </c>
      <c r="B23" s="3">
        <f>RISULTATI!$C$41+5</f>
        <v>35</v>
      </c>
      <c r="D23" s="1" t="s">
        <v>544</v>
      </c>
      <c r="E23" s="3">
        <f>RISULTATI!$C$49</f>
        <v>57.465599713699248</v>
      </c>
      <c r="J23" s="1" t="s">
        <v>555</v>
      </c>
      <c r="K23" s="1">
        <f>RISULTATI!M411</f>
        <v>28.75</v>
      </c>
      <c r="M23" s="1" t="s">
        <v>555</v>
      </c>
      <c r="N23" s="1">
        <f>RISULTATI!M434</f>
        <v>22.75</v>
      </c>
    </row>
    <row r="24" spans="1:15">
      <c r="D24" s="1" t="s">
        <v>195</v>
      </c>
      <c r="E24" s="1">
        <f>RISULTATI!$C$46</f>
        <v>10</v>
      </c>
      <c r="J24" s="1" t="s">
        <v>564</v>
      </c>
      <c r="K24" s="12">
        <v>40</v>
      </c>
      <c r="M24" s="1" t="s">
        <v>564</v>
      </c>
      <c r="N24" s="12">
        <v>45</v>
      </c>
    </row>
    <row r="25" spans="1:15">
      <c r="D25" s="1" t="s">
        <v>545</v>
      </c>
      <c r="E25" s="3">
        <f>RISULTATI!$D$49</f>
        <v>77.645713530756225</v>
      </c>
      <c r="J25" s="73" t="s">
        <v>556</v>
      </c>
      <c r="K25" s="73" t="s">
        <v>557</v>
      </c>
      <c r="M25" s="73" t="s">
        <v>556</v>
      </c>
      <c r="N25" s="73" t="s">
        <v>557</v>
      </c>
    </row>
    <row r="26" spans="1:15">
      <c r="D26" s="1" t="s">
        <v>538</v>
      </c>
      <c r="E26" s="1">
        <f>RISULTATI!$D$47</f>
        <v>7</v>
      </c>
      <c r="J26" s="284">
        <f>RISULTATI!M419</f>
        <v>38</v>
      </c>
      <c r="K26" s="1">
        <f>RISULTATI!M412</f>
        <v>48.7</v>
      </c>
      <c r="M26" s="1">
        <f>RISULTATI!M442</f>
        <v>44.5</v>
      </c>
      <c r="N26" s="1">
        <f>RISULTATI!M435</f>
        <v>54.55</v>
      </c>
    </row>
    <row r="27" spans="1:15">
      <c r="D27" s="1" t="s">
        <v>539</v>
      </c>
      <c r="E27" s="1">
        <f>RISULTATI!$D$45</f>
        <v>22.75</v>
      </c>
      <c r="J27" s="1" t="s">
        <v>583</v>
      </c>
      <c r="K27" s="12">
        <v>62</v>
      </c>
      <c r="M27" s="280" t="s">
        <v>583</v>
      </c>
      <c r="N27" s="12">
        <v>70</v>
      </c>
    </row>
    <row r="28" spans="1:15">
      <c r="D28" s="1" t="s">
        <v>540</v>
      </c>
      <c r="E28" s="1">
        <v>3.25</v>
      </c>
      <c r="J28" s="73" t="s">
        <v>556</v>
      </c>
      <c r="K28" s="73" t="s">
        <v>557</v>
      </c>
      <c r="M28" s="73" t="s">
        <v>556</v>
      </c>
      <c r="N28" s="73" t="s">
        <v>557</v>
      </c>
    </row>
    <row r="29" spans="1:15">
      <c r="D29" s="303" t="s">
        <v>541</v>
      </c>
      <c r="E29" s="303"/>
      <c r="F29" s="3">
        <f>E21+E22+E23+E24+E25+E26+E27+E20+E28</f>
        <v>220.11131324445546</v>
      </c>
      <c r="G29" s="1" t="s">
        <v>331</v>
      </c>
      <c r="J29" s="1">
        <f>C96</f>
        <v>59</v>
      </c>
      <c r="K29" s="1">
        <f>C97</f>
        <v>65</v>
      </c>
      <c r="M29" s="1">
        <f>RISULTATI!M443</f>
        <v>70</v>
      </c>
      <c r="N29" s="1">
        <f>RISULTATI!M444</f>
        <v>72.5</v>
      </c>
    </row>
    <row r="30" spans="1:15">
      <c r="B30" s="303" t="s">
        <v>618</v>
      </c>
      <c r="C30" s="303"/>
      <c r="D30" s="294" t="s">
        <v>619</v>
      </c>
      <c r="E30" s="294">
        <v>2</v>
      </c>
      <c r="F30" s="109"/>
      <c r="G30" s="41"/>
      <c r="J30" s="36" t="s">
        <v>602</v>
      </c>
      <c r="K30" s="1">
        <f>RISULTATI!M425</f>
        <v>1.5</v>
      </c>
      <c r="M30" s="36" t="s">
        <v>603</v>
      </c>
      <c r="N30" s="1">
        <f>RISULTATI!M448</f>
        <v>2</v>
      </c>
    </row>
    <row r="31" spans="1:15">
      <c r="B31" s="295"/>
      <c r="C31" s="295"/>
      <c r="D31" s="296" t="s">
        <v>621</v>
      </c>
      <c r="E31" s="296">
        <v>8</v>
      </c>
      <c r="F31" s="109"/>
      <c r="G31" s="41"/>
      <c r="J31" s="38"/>
      <c r="K31" s="41"/>
      <c r="M31" s="284"/>
      <c r="N31" s="41"/>
    </row>
    <row r="32" spans="1:15" ht="16.2" thickBot="1">
      <c r="D32" s="387" t="s">
        <v>620</v>
      </c>
      <c r="E32" s="387"/>
      <c r="F32" s="3">
        <f>F29+E30+E31</f>
        <v>230.11131324445546</v>
      </c>
      <c r="G32" s="1" t="s">
        <v>331</v>
      </c>
      <c r="M32" s="284" t="s">
        <v>601</v>
      </c>
      <c r="N32">
        <f>RISULTATI!M449</f>
        <v>1.5</v>
      </c>
    </row>
    <row r="33" spans="1:15" ht="16.2" thickBot="1">
      <c r="A33" s="378" t="s">
        <v>440</v>
      </c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80"/>
    </row>
    <row r="34" spans="1:15" ht="16.2" thickBot="1">
      <c r="A34" s="404" t="s">
        <v>531</v>
      </c>
      <c r="B34" s="405"/>
      <c r="D34" s="297" t="s">
        <v>532</v>
      </c>
      <c r="E34" s="298"/>
      <c r="J34" s="378" t="s">
        <v>558</v>
      </c>
      <c r="K34" s="379"/>
      <c r="L34" s="379"/>
      <c r="M34" s="379"/>
      <c r="N34" s="380"/>
    </row>
    <row r="35" spans="1:15">
      <c r="A35" s="1" t="s">
        <v>550</v>
      </c>
      <c r="B35" s="3">
        <f>RISULTATI!C336</f>
        <v>60</v>
      </c>
      <c r="D35" s="1" t="s">
        <v>533</v>
      </c>
      <c r="E35" s="3">
        <v>18</v>
      </c>
      <c r="J35" s="401" t="s">
        <v>581</v>
      </c>
      <c r="K35" s="402"/>
      <c r="M35" s="401" t="s">
        <v>582</v>
      </c>
      <c r="N35" s="402"/>
    </row>
    <row r="36" spans="1:15">
      <c r="A36" s="1" t="s">
        <v>547</v>
      </c>
      <c r="B36" s="1">
        <f>RISULTATI!C398</f>
        <v>62</v>
      </c>
      <c r="D36" s="1" t="s">
        <v>535</v>
      </c>
      <c r="E36" s="3">
        <f>RISULTATI!C340</f>
        <v>22</v>
      </c>
      <c r="J36" s="1" t="s">
        <v>553</v>
      </c>
      <c r="K36" s="1">
        <f>RISULTATI!M504</f>
        <v>60</v>
      </c>
      <c r="M36" s="1" t="s">
        <v>553</v>
      </c>
      <c r="N36" s="1">
        <f>RISULTATI!M504</f>
        <v>60</v>
      </c>
    </row>
    <row r="37" spans="1:15">
      <c r="A37" s="1" t="s">
        <v>551</v>
      </c>
      <c r="B37" s="3">
        <f>RISULTATI!C336</f>
        <v>60</v>
      </c>
      <c r="D37" s="1" t="s">
        <v>536</v>
      </c>
      <c r="E37" s="3">
        <f>RISULTATI!C341</f>
        <v>77.465599713699248</v>
      </c>
      <c r="J37" s="1" t="s">
        <v>554</v>
      </c>
      <c r="K37" s="1">
        <f>RISULTATI!M505</f>
        <v>110</v>
      </c>
      <c r="M37" s="1" t="s">
        <v>554</v>
      </c>
      <c r="N37" s="1">
        <f>RISULTATI!M505</f>
        <v>110</v>
      </c>
    </row>
    <row r="38" spans="1:15">
      <c r="D38" s="1" t="s">
        <v>552</v>
      </c>
      <c r="E38" s="3">
        <f>RISULTATI!C343</f>
        <v>77.645713530756225</v>
      </c>
      <c r="J38" s="1" t="s">
        <v>555</v>
      </c>
      <c r="K38" s="1">
        <f>RISULTATI!M506</f>
        <v>22</v>
      </c>
      <c r="M38" s="1" t="s">
        <v>555</v>
      </c>
      <c r="N38" s="1">
        <f>RISULTATI!M506</f>
        <v>22</v>
      </c>
    </row>
    <row r="39" spans="1:15">
      <c r="D39" s="1" t="s">
        <v>538</v>
      </c>
      <c r="E39" s="3">
        <f>RISULTATI!D341</f>
        <v>7</v>
      </c>
      <c r="J39" s="1" t="s">
        <v>564</v>
      </c>
      <c r="K39" s="12">
        <v>75</v>
      </c>
      <c r="M39" s="1" t="s">
        <v>564</v>
      </c>
      <c r="N39" s="12">
        <v>75</v>
      </c>
    </row>
    <row r="40" spans="1:15">
      <c r="D40" s="1" t="s">
        <v>539</v>
      </c>
      <c r="E40" s="3">
        <f>RISULTATI!D340</f>
        <v>22</v>
      </c>
      <c r="J40" s="73" t="s">
        <v>556</v>
      </c>
      <c r="K40" s="73" t="s">
        <v>557</v>
      </c>
      <c r="M40" s="73" t="s">
        <v>556</v>
      </c>
      <c r="N40" s="73" t="s">
        <v>557</v>
      </c>
    </row>
    <row r="41" spans="1:15">
      <c r="D41" s="1" t="s">
        <v>540</v>
      </c>
      <c r="E41" s="3">
        <v>18</v>
      </c>
      <c r="J41" s="1">
        <f>RISULTATI!M511</f>
        <v>69</v>
      </c>
      <c r="K41" s="1">
        <f>RISULTATI!M507</f>
        <v>75.5</v>
      </c>
      <c r="M41" s="1">
        <f>RISULTATI!M511</f>
        <v>69</v>
      </c>
      <c r="N41" s="1">
        <f>RISULTATI!M507</f>
        <v>75.5</v>
      </c>
    </row>
    <row r="42" spans="1:15">
      <c r="D42" s="303" t="s">
        <v>541</v>
      </c>
      <c r="E42" s="303"/>
      <c r="F42" s="3">
        <f>E36+E37+E38+E39+E40+5+5</f>
        <v>216.11131324445546</v>
      </c>
      <c r="G42" s="1" t="s">
        <v>331</v>
      </c>
      <c r="J42" s="280" t="s">
        <v>583</v>
      </c>
      <c r="K42" s="12">
        <v>100</v>
      </c>
      <c r="M42" s="280" t="s">
        <v>583</v>
      </c>
      <c r="N42" s="12">
        <v>100</v>
      </c>
    </row>
    <row r="43" spans="1:15">
      <c r="B43" s="303" t="s">
        <v>618</v>
      </c>
      <c r="C43" s="303"/>
      <c r="D43" s="294" t="s">
        <v>619</v>
      </c>
      <c r="E43" s="294" t="s">
        <v>425</v>
      </c>
      <c r="F43" s="31"/>
      <c r="J43" s="73" t="s">
        <v>556</v>
      </c>
      <c r="K43" s="73" t="s">
        <v>557</v>
      </c>
      <c r="M43" s="73" t="s">
        <v>556</v>
      </c>
      <c r="N43" s="73" t="s">
        <v>557</v>
      </c>
    </row>
    <row r="44" spans="1:15">
      <c r="B44" s="64"/>
      <c r="C44" s="64"/>
      <c r="D44" s="296" t="s">
        <v>621</v>
      </c>
      <c r="E44" s="296" t="s">
        <v>425</v>
      </c>
      <c r="F44" s="31"/>
      <c r="J44" s="1">
        <f>RISULTATI!M508</f>
        <v>98</v>
      </c>
      <c r="K44" s="1">
        <f>RISULTATI!M512</f>
        <v>101</v>
      </c>
      <c r="M44" s="1">
        <f>RISULTATI!M508</f>
        <v>98</v>
      </c>
      <c r="N44" s="1">
        <f>RISULTATI!M512</f>
        <v>101</v>
      </c>
    </row>
    <row r="45" spans="1:15">
      <c r="D45" s="387" t="s">
        <v>620</v>
      </c>
      <c r="E45" s="387"/>
      <c r="F45" s="3" t="e">
        <f>F42+E43+E44</f>
        <v>#VALUE!</v>
      </c>
      <c r="G45" s="1" t="s">
        <v>331</v>
      </c>
      <c r="J45" s="36" t="s">
        <v>602</v>
      </c>
      <c r="K45" s="1">
        <f>RISULTATI!M509</f>
        <v>1.5</v>
      </c>
      <c r="M45" s="36" t="s">
        <v>602</v>
      </c>
      <c r="N45" s="1">
        <f>RISULTATI!M513</f>
        <v>1.5</v>
      </c>
    </row>
    <row r="46" spans="1:15" ht="16.2" thickBot="1"/>
    <row r="47" spans="1:15" ht="16.2" thickBot="1">
      <c r="A47" s="378" t="s">
        <v>559</v>
      </c>
      <c r="B47" s="379"/>
      <c r="C47" s="379"/>
      <c r="D47" s="379"/>
      <c r="E47" s="379"/>
      <c r="F47" s="379"/>
      <c r="G47" s="379"/>
      <c r="H47" s="379"/>
      <c r="I47" s="379"/>
      <c r="J47" s="379"/>
      <c r="K47" s="380"/>
    </row>
    <row r="48" spans="1:15">
      <c r="A48" s="403" t="s">
        <v>511</v>
      </c>
      <c r="B48" s="403"/>
      <c r="D48" s="403" t="s">
        <v>442</v>
      </c>
      <c r="E48" s="403"/>
      <c r="G48" s="403" t="s">
        <v>461</v>
      </c>
      <c r="H48" s="403"/>
      <c r="J48" s="403" t="s">
        <v>512</v>
      </c>
      <c r="K48" s="403"/>
    </row>
    <row r="49" spans="1:18">
      <c r="A49" s="1" t="s">
        <v>560</v>
      </c>
      <c r="B49" s="3">
        <f>Geometria!G21</f>
        <v>23.386533198135758</v>
      </c>
      <c r="D49" s="1" t="s">
        <v>560</v>
      </c>
      <c r="E49" s="3">
        <f>Geometria!H21</f>
        <v>92.025999522832095</v>
      </c>
      <c r="G49" s="1" t="s">
        <v>560</v>
      </c>
      <c r="H49" s="3">
        <f>Geometria!I21</f>
        <v>37.749237667428531</v>
      </c>
      <c r="J49" s="1" t="s">
        <v>560</v>
      </c>
      <c r="K49" s="3">
        <f>Geometria!J21</f>
        <v>149.04142706151245</v>
      </c>
    </row>
    <row r="50" spans="1:18">
      <c r="A50" s="1" t="s">
        <v>562</v>
      </c>
      <c r="B50" s="3">
        <f>Geometria!B16</f>
        <v>27.136533198135758</v>
      </c>
      <c r="D50" s="1" t="s">
        <v>562</v>
      </c>
      <c r="E50" s="3">
        <f>Geometria!C16</f>
        <v>95.775999522832095</v>
      </c>
      <c r="G50" s="1" t="s">
        <v>562</v>
      </c>
      <c r="H50" s="3">
        <f>Geometria!D16</f>
        <v>43.999237667428531</v>
      </c>
      <c r="J50" s="1" t="s">
        <v>562</v>
      </c>
      <c r="K50" s="3">
        <f>Geometria!E16</f>
        <v>155.29142706151245</v>
      </c>
    </row>
    <row r="51" spans="1:18">
      <c r="A51" s="1" t="s">
        <v>561</v>
      </c>
      <c r="B51" s="3">
        <f>Geometria!G16</f>
        <v>30.136533198135758</v>
      </c>
      <c r="D51" s="1" t="s">
        <v>561</v>
      </c>
      <c r="E51" s="3">
        <f>Geometria!H16</f>
        <v>98.775999522832095</v>
      </c>
      <c r="G51" s="1" t="s">
        <v>561</v>
      </c>
      <c r="H51" s="3">
        <f>Geometria!I16</f>
        <v>48.999237667428531</v>
      </c>
      <c r="J51" s="1" t="s">
        <v>561</v>
      </c>
      <c r="K51" s="3">
        <f>Geometria!J16</f>
        <v>160.29142706151245</v>
      </c>
    </row>
    <row r="52" spans="1:18">
      <c r="A52" s="1" t="s">
        <v>555</v>
      </c>
      <c r="B52" s="3">
        <f>Geometria!B21</f>
        <v>57.465599713699248</v>
      </c>
      <c r="D52" s="1" t="s">
        <v>555</v>
      </c>
      <c r="E52" s="3">
        <f>Geometria!B21</f>
        <v>57.465599713699248</v>
      </c>
      <c r="G52" s="1" t="s">
        <v>555</v>
      </c>
      <c r="H52" s="3">
        <f>Geometria!C21</f>
        <v>77.645713530756225</v>
      </c>
      <c r="J52" s="1" t="s">
        <v>555</v>
      </c>
      <c r="K52" s="3">
        <f>Geometria!C21</f>
        <v>77.645713530756225</v>
      </c>
    </row>
    <row r="53" spans="1:18">
      <c r="A53" s="1" t="s">
        <v>563</v>
      </c>
      <c r="B53" s="1">
        <f>Geometria!G11</f>
        <v>3</v>
      </c>
      <c r="D53" s="1" t="s">
        <v>563</v>
      </c>
      <c r="E53" s="1">
        <f>Geometria!G11</f>
        <v>3</v>
      </c>
      <c r="G53" s="1" t="s">
        <v>563</v>
      </c>
      <c r="H53" s="1">
        <f>Geometria!O11</f>
        <v>5</v>
      </c>
      <c r="J53" s="1" t="s">
        <v>563</v>
      </c>
      <c r="K53" s="1">
        <f>Geometria!O11</f>
        <v>5</v>
      </c>
    </row>
    <row r="54" spans="1:18">
      <c r="A54" s="286" t="s">
        <v>592</v>
      </c>
      <c r="B54" s="287">
        <f>Geometria!D6</f>
        <v>17</v>
      </c>
      <c r="D54" s="286" t="s">
        <v>592</v>
      </c>
      <c r="E54" s="287">
        <f>Geometria!J6</f>
        <v>60</v>
      </c>
      <c r="G54" s="286" t="s">
        <v>592</v>
      </c>
      <c r="H54" s="287">
        <f>Geometria!F6</f>
        <v>17</v>
      </c>
      <c r="J54" s="286" t="s">
        <v>592</v>
      </c>
      <c r="K54" s="287">
        <f>Geometria!L6</f>
        <v>60</v>
      </c>
    </row>
    <row r="55" spans="1:18">
      <c r="A55" s="286" t="s">
        <v>593</v>
      </c>
      <c r="B55" s="286">
        <f>Geometria!K2</f>
        <v>20</v>
      </c>
      <c r="D55" s="286" t="s">
        <v>593</v>
      </c>
      <c r="E55" s="286">
        <f>Geometria!K2</f>
        <v>20</v>
      </c>
      <c r="G55" s="286" t="s">
        <v>593</v>
      </c>
      <c r="H55" s="286">
        <f>Geometria!L2</f>
        <v>15</v>
      </c>
      <c r="J55" s="286" t="s">
        <v>593</v>
      </c>
      <c r="K55" s="286">
        <f>Geometria!L2</f>
        <v>15</v>
      </c>
    </row>
    <row r="56" spans="1:18">
      <c r="A56" s="286" t="s">
        <v>594</v>
      </c>
      <c r="B56" s="286" t="s">
        <v>595</v>
      </c>
      <c r="D56" s="286" t="s">
        <v>594</v>
      </c>
      <c r="E56" s="286" t="s">
        <v>596</v>
      </c>
      <c r="G56" s="286" t="s">
        <v>594</v>
      </c>
      <c r="H56" s="286" t="s">
        <v>596</v>
      </c>
      <c r="J56" s="286" t="s">
        <v>594</v>
      </c>
      <c r="K56" s="286" t="s">
        <v>595</v>
      </c>
    </row>
    <row r="57" spans="1:18" ht="16.2" thickBot="1"/>
    <row r="58" spans="1:18" ht="16.2" thickBot="1">
      <c r="A58" s="381" t="s">
        <v>558</v>
      </c>
      <c r="B58" s="382"/>
      <c r="C58" s="382"/>
      <c r="D58" s="382"/>
      <c r="E58" s="382"/>
      <c r="F58" s="382"/>
      <c r="G58" s="382"/>
      <c r="H58" s="382"/>
      <c r="I58" s="382"/>
      <c r="J58" s="382"/>
      <c r="K58" s="382"/>
      <c r="L58" s="382"/>
      <c r="M58" s="383"/>
    </row>
    <row r="59" spans="1:18" ht="16.2" thickBot="1">
      <c r="A59" s="338" t="s">
        <v>398</v>
      </c>
      <c r="B59" s="388"/>
      <c r="C59" s="388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39"/>
    </row>
    <row r="60" spans="1:18" ht="16.2" thickBot="1">
      <c r="A60" s="384" t="s">
        <v>570</v>
      </c>
      <c r="B60" s="385"/>
      <c r="C60" s="385"/>
      <c r="D60" s="385"/>
      <c r="E60" s="385"/>
      <c r="F60" s="385"/>
      <c r="G60" s="385"/>
      <c r="H60" s="386"/>
      <c r="J60" s="387" t="s">
        <v>569</v>
      </c>
      <c r="K60" s="387"/>
      <c r="L60" s="387"/>
      <c r="M60" s="387"/>
      <c r="N60" s="387"/>
      <c r="O60" s="387"/>
      <c r="P60" s="387"/>
      <c r="Q60" s="387"/>
      <c r="R60" s="387"/>
    </row>
    <row r="61" spans="1:18">
      <c r="E61" s="306" t="s">
        <v>525</v>
      </c>
      <c r="F61" s="306"/>
      <c r="G61" s="306"/>
      <c r="H61" s="306"/>
      <c r="N61" s="41"/>
      <c r="O61" s="41"/>
      <c r="P61" s="41"/>
      <c r="Q61" s="41"/>
      <c r="R61" s="174"/>
    </row>
    <row r="62" spans="1:18" ht="18.600000000000001">
      <c r="E62" s="289" t="s">
        <v>195</v>
      </c>
      <c r="F62" s="289"/>
      <c r="G62" s="289">
        <v>25</v>
      </c>
      <c r="H62" s="289" t="s">
        <v>331</v>
      </c>
    </row>
    <row r="63" spans="1:18" ht="18.600000000000001">
      <c r="E63" s="289" t="s">
        <v>194</v>
      </c>
      <c r="F63" s="289"/>
      <c r="G63" s="289">
        <v>62</v>
      </c>
      <c r="H63" s="289" t="s">
        <v>331</v>
      </c>
    </row>
    <row r="64" spans="1:18" ht="18.600000000000001">
      <c r="E64" s="289" t="s">
        <v>528</v>
      </c>
      <c r="F64" s="289"/>
      <c r="G64" s="289">
        <v>25.25</v>
      </c>
      <c r="H64" s="289" t="s">
        <v>331</v>
      </c>
    </row>
    <row r="65" spans="5:8" ht="19.2">
      <c r="E65" s="289" t="s">
        <v>465</v>
      </c>
      <c r="F65" s="289" t="s">
        <v>466</v>
      </c>
      <c r="G65" s="289">
        <v>41.7</v>
      </c>
      <c r="H65" s="289" t="s">
        <v>331</v>
      </c>
    </row>
    <row r="66" spans="5:8" ht="18.600000000000001">
      <c r="E66" s="289" t="s">
        <v>458</v>
      </c>
      <c r="F66" s="289"/>
      <c r="G66" s="289">
        <v>24</v>
      </c>
      <c r="H66" s="289" t="s">
        <v>331</v>
      </c>
    </row>
    <row r="67" spans="5:8" ht="18.600000000000001">
      <c r="E67" s="289" t="s">
        <v>529</v>
      </c>
      <c r="F67" s="289"/>
      <c r="G67" s="289">
        <v>20</v>
      </c>
      <c r="H67" s="289" t="s">
        <v>331</v>
      </c>
    </row>
    <row r="68" spans="5:8" ht="19.2">
      <c r="E68" s="289" t="s">
        <v>467</v>
      </c>
      <c r="F68" s="289" t="s">
        <v>468</v>
      </c>
      <c r="G68" s="289">
        <v>1.5</v>
      </c>
      <c r="H68" s="289" t="s">
        <v>331</v>
      </c>
    </row>
    <row r="69" spans="5:8" ht="19.2">
      <c r="E69" s="289" t="s">
        <v>469</v>
      </c>
      <c r="F69" s="289" t="s">
        <v>468</v>
      </c>
      <c r="G69" s="289">
        <v>1.5</v>
      </c>
      <c r="H69" s="289" t="s">
        <v>331</v>
      </c>
    </row>
    <row r="70" spans="5:8" ht="18.600000000000001">
      <c r="E70" s="289"/>
      <c r="F70" s="289"/>
      <c r="G70" s="289"/>
      <c r="H70" s="289"/>
    </row>
    <row r="71" spans="5:8" ht="19.2">
      <c r="E71" s="391" t="s">
        <v>478</v>
      </c>
      <c r="F71" s="391"/>
      <c r="G71" s="391"/>
      <c r="H71" s="391"/>
    </row>
    <row r="72" spans="5:8" ht="19.2">
      <c r="E72" s="289" t="s">
        <v>471</v>
      </c>
      <c r="F72" s="289" t="s">
        <v>470</v>
      </c>
      <c r="G72" s="289">
        <v>33</v>
      </c>
      <c r="H72" s="289" t="s">
        <v>331</v>
      </c>
    </row>
    <row r="73" spans="5:8" ht="19.2">
      <c r="E73" s="289" t="s">
        <v>472</v>
      </c>
      <c r="F73" s="289" t="s">
        <v>468</v>
      </c>
      <c r="G73" s="289">
        <v>33</v>
      </c>
      <c r="H73" s="289" t="s">
        <v>331</v>
      </c>
    </row>
    <row r="74" spans="5:8" ht="19.2">
      <c r="E74" s="289" t="s">
        <v>473</v>
      </c>
      <c r="F74" s="289" t="s">
        <v>468</v>
      </c>
      <c r="G74" s="289">
        <v>52</v>
      </c>
      <c r="H74" s="289" t="s">
        <v>331</v>
      </c>
    </row>
    <row r="75" spans="5:8" ht="19.2">
      <c r="E75" s="289" t="s">
        <v>473</v>
      </c>
      <c r="F75" s="289" t="s">
        <v>470</v>
      </c>
      <c r="G75" s="289">
        <v>55</v>
      </c>
      <c r="H75" s="289" t="s">
        <v>331</v>
      </c>
    </row>
    <row r="76" spans="5:8" ht="19.2">
      <c r="E76" s="289" t="s">
        <v>476</v>
      </c>
      <c r="F76" s="289" t="s">
        <v>468</v>
      </c>
      <c r="G76" s="289">
        <v>57</v>
      </c>
      <c r="H76" s="289" t="s">
        <v>331</v>
      </c>
    </row>
    <row r="77" spans="5:8" ht="19.2">
      <c r="E77" s="289" t="s">
        <v>526</v>
      </c>
      <c r="F77" s="289" t="s">
        <v>468</v>
      </c>
      <c r="G77" s="289">
        <v>3</v>
      </c>
      <c r="H77" s="289" t="s">
        <v>331</v>
      </c>
    </row>
    <row r="78" spans="5:8" ht="19.2">
      <c r="E78" s="289" t="s">
        <v>527</v>
      </c>
      <c r="F78" s="289" t="s">
        <v>468</v>
      </c>
      <c r="G78" s="289">
        <v>5</v>
      </c>
      <c r="H78" s="289" t="s">
        <v>331</v>
      </c>
    </row>
    <row r="79" spans="5:8" ht="19.2">
      <c r="E79" s="289" t="s">
        <v>474</v>
      </c>
      <c r="F79" s="289" t="s">
        <v>470</v>
      </c>
      <c r="G79" s="289">
        <v>1.5</v>
      </c>
      <c r="H79" s="289" t="s">
        <v>331</v>
      </c>
    </row>
    <row r="80" spans="5:8" ht="19.2">
      <c r="E80" s="289" t="s">
        <v>477</v>
      </c>
      <c r="F80" s="289" t="s">
        <v>470</v>
      </c>
      <c r="G80" s="289">
        <v>1.5</v>
      </c>
      <c r="H80" s="289" t="s">
        <v>331</v>
      </c>
    </row>
    <row r="81" spans="1:18" ht="19.2" thickBot="1">
      <c r="A81" s="290"/>
      <c r="B81" s="290"/>
      <c r="C81" s="290"/>
      <c r="D81" s="290"/>
    </row>
    <row r="82" spans="1:18" ht="16.2" thickBot="1">
      <c r="A82" s="338" t="s">
        <v>424</v>
      </c>
      <c r="B82" s="388"/>
      <c r="C82" s="388"/>
      <c r="D82" s="388"/>
      <c r="E82" s="388"/>
      <c r="F82" s="388"/>
      <c r="G82" s="388"/>
      <c r="H82" s="388"/>
      <c r="I82" s="388"/>
      <c r="J82" s="388"/>
      <c r="K82" s="388"/>
      <c r="L82" s="388"/>
      <c r="M82" s="388"/>
      <c r="N82" s="388"/>
      <c r="O82" s="388"/>
      <c r="P82" s="388"/>
      <c r="Q82" s="388"/>
      <c r="R82" s="339"/>
    </row>
    <row r="83" spans="1:18" ht="16.2" thickBot="1">
      <c r="A83" s="384" t="str">
        <f>J20</f>
        <v>C. RUOTA 2 [lato DX]</v>
      </c>
      <c r="B83" s="385"/>
      <c r="C83" s="385"/>
      <c r="D83" s="385"/>
      <c r="E83" s="385"/>
      <c r="F83" s="385"/>
      <c r="G83" s="385"/>
      <c r="H83" s="386"/>
      <c r="J83" s="384" t="str">
        <f>M20</f>
        <v>C. RUOTA 3 - lato SX</v>
      </c>
      <c r="K83" s="385"/>
      <c r="L83" s="385"/>
      <c r="M83" s="385"/>
      <c r="N83" s="385"/>
      <c r="O83" s="385"/>
      <c r="P83" s="385"/>
      <c r="Q83" s="385"/>
      <c r="R83" s="386"/>
    </row>
    <row r="84" spans="1:18">
      <c r="A84" s="306" t="s">
        <v>599</v>
      </c>
      <c r="B84" s="306"/>
      <c r="C84" s="306"/>
      <c r="D84" s="306"/>
      <c r="J84" s="306" t="s">
        <v>600</v>
      </c>
      <c r="K84" s="306"/>
      <c r="L84" s="306"/>
      <c r="M84" s="306"/>
    </row>
    <row r="85" spans="1:18" ht="18.600000000000001">
      <c r="A85" s="289" t="s">
        <v>195</v>
      </c>
      <c r="B85" s="289"/>
      <c r="C85" s="289">
        <v>30</v>
      </c>
      <c r="D85" s="289" t="s">
        <v>331</v>
      </c>
      <c r="J85" s="289" t="s">
        <v>195</v>
      </c>
      <c r="K85" s="289"/>
      <c r="L85" s="289">
        <v>35</v>
      </c>
      <c r="M85" s="289" t="s">
        <v>331</v>
      </c>
    </row>
    <row r="86" spans="1:18" ht="18.600000000000001">
      <c r="A86" s="289" t="s">
        <v>194</v>
      </c>
      <c r="B86" s="289"/>
      <c r="C86" s="289">
        <v>72</v>
      </c>
      <c r="D86" s="289" t="s">
        <v>331</v>
      </c>
      <c r="J86" s="289" t="s">
        <v>194</v>
      </c>
      <c r="K86" s="289"/>
      <c r="L86" s="289">
        <v>80</v>
      </c>
      <c r="M86" s="289" t="s">
        <v>331</v>
      </c>
    </row>
    <row r="87" spans="1:18" ht="18.600000000000001">
      <c r="A87" s="289" t="s">
        <v>528</v>
      </c>
      <c r="B87" s="289"/>
      <c r="C87" s="289">
        <v>28.75</v>
      </c>
      <c r="D87" s="289" t="s">
        <v>331</v>
      </c>
      <c r="J87" s="289" t="s">
        <v>528</v>
      </c>
      <c r="K87" s="289"/>
      <c r="L87" s="289">
        <v>22.75</v>
      </c>
      <c r="M87" s="289" t="s">
        <v>331</v>
      </c>
    </row>
    <row r="88" spans="1:18" ht="19.2">
      <c r="A88" s="289" t="s">
        <v>465</v>
      </c>
      <c r="B88" s="289" t="s">
        <v>466</v>
      </c>
      <c r="C88" s="289">
        <v>48.7</v>
      </c>
      <c r="D88" s="289" t="s">
        <v>331</v>
      </c>
      <c r="J88" s="289" t="s">
        <v>465</v>
      </c>
      <c r="K88" s="289" t="s">
        <v>466</v>
      </c>
      <c r="L88" s="289">
        <v>54.55</v>
      </c>
      <c r="M88" s="289" t="s">
        <v>331</v>
      </c>
    </row>
    <row r="89" spans="1:18" ht="18.600000000000001">
      <c r="A89" s="289" t="s">
        <v>458</v>
      </c>
      <c r="B89" s="289"/>
      <c r="C89" s="289">
        <v>27</v>
      </c>
      <c r="D89" s="289" t="s">
        <v>331</v>
      </c>
      <c r="J89" s="289" t="s">
        <v>458</v>
      </c>
      <c r="K89" s="289"/>
      <c r="L89" s="289">
        <v>21</v>
      </c>
      <c r="M89" s="289" t="s">
        <v>331</v>
      </c>
    </row>
    <row r="90" spans="1:18" ht="18.600000000000001">
      <c r="A90" s="289" t="s">
        <v>529</v>
      </c>
      <c r="B90" s="289"/>
      <c r="C90" s="289">
        <v>23</v>
      </c>
      <c r="D90" s="289" t="s">
        <v>331</v>
      </c>
      <c r="J90" s="289" t="s">
        <v>529</v>
      </c>
      <c r="K90" s="289"/>
      <c r="L90" s="289">
        <v>18</v>
      </c>
      <c r="M90" s="289" t="s">
        <v>331</v>
      </c>
    </row>
    <row r="91" spans="1:18" ht="19.2">
      <c r="A91" s="289" t="s">
        <v>467</v>
      </c>
      <c r="B91" s="289" t="s">
        <v>468</v>
      </c>
      <c r="C91" s="289">
        <v>1.5</v>
      </c>
      <c r="D91" s="289" t="s">
        <v>331</v>
      </c>
      <c r="J91" s="289" t="s">
        <v>467</v>
      </c>
      <c r="K91" s="289" t="s">
        <v>468</v>
      </c>
      <c r="L91" s="289">
        <v>2</v>
      </c>
      <c r="M91" s="289" t="s">
        <v>331</v>
      </c>
    </row>
    <row r="92" spans="1:18" ht="19.2">
      <c r="A92" s="289" t="s">
        <v>469</v>
      </c>
      <c r="B92" s="289" t="s">
        <v>468</v>
      </c>
      <c r="C92" s="289">
        <v>1.5</v>
      </c>
      <c r="D92" s="289" t="s">
        <v>331</v>
      </c>
      <c r="J92" s="289" t="s">
        <v>469</v>
      </c>
      <c r="K92" s="289" t="s">
        <v>468</v>
      </c>
      <c r="L92" s="289">
        <v>1.5</v>
      </c>
      <c r="M92" s="289" t="s">
        <v>331</v>
      </c>
    </row>
    <row r="93" spans="1:18" ht="19.2">
      <c r="A93" s="407" t="s">
        <v>475</v>
      </c>
      <c r="B93" s="408"/>
      <c r="C93" s="408"/>
      <c r="D93" s="409"/>
      <c r="J93" s="391" t="s">
        <v>478</v>
      </c>
      <c r="K93" s="391"/>
      <c r="L93" s="391"/>
      <c r="M93" s="391"/>
    </row>
    <row r="94" spans="1:18" ht="19.2">
      <c r="A94" s="289" t="s">
        <v>471</v>
      </c>
      <c r="B94" s="289" t="s">
        <v>470</v>
      </c>
      <c r="C94" s="289">
        <v>39</v>
      </c>
      <c r="D94" s="289" t="s">
        <v>331</v>
      </c>
      <c r="J94" s="289" t="s">
        <v>471</v>
      </c>
      <c r="K94" s="289" t="s">
        <v>470</v>
      </c>
      <c r="L94" s="289">
        <v>46</v>
      </c>
      <c r="M94" s="289" t="s">
        <v>331</v>
      </c>
    </row>
    <row r="95" spans="1:18" ht="19.2">
      <c r="A95" s="289" t="s">
        <v>472</v>
      </c>
      <c r="B95" s="289" t="s">
        <v>468</v>
      </c>
      <c r="C95" s="289">
        <v>38</v>
      </c>
      <c r="D95" s="289" t="s">
        <v>331</v>
      </c>
      <c r="J95" s="289" t="s">
        <v>472</v>
      </c>
      <c r="K95" s="289" t="s">
        <v>468</v>
      </c>
      <c r="L95" s="289">
        <v>44.5</v>
      </c>
      <c r="M95" s="289" t="s">
        <v>331</v>
      </c>
    </row>
    <row r="96" spans="1:18" ht="19.2">
      <c r="A96" s="289" t="s">
        <v>473</v>
      </c>
      <c r="B96" s="289" t="s">
        <v>468</v>
      </c>
      <c r="C96" s="289">
        <v>59</v>
      </c>
      <c r="D96" s="289" t="s">
        <v>331</v>
      </c>
      <c r="J96" s="289" t="s">
        <v>473</v>
      </c>
      <c r="K96" s="289" t="s">
        <v>468</v>
      </c>
      <c r="L96" s="289">
        <v>70</v>
      </c>
      <c r="M96" s="289" t="s">
        <v>331</v>
      </c>
    </row>
    <row r="97" spans="1:18" ht="19.2">
      <c r="A97" s="289" t="s">
        <v>473</v>
      </c>
      <c r="B97" s="289" t="s">
        <v>470</v>
      </c>
      <c r="C97" s="289">
        <v>65</v>
      </c>
      <c r="D97" s="289" t="s">
        <v>331</v>
      </c>
      <c r="J97" s="289" t="s">
        <v>473</v>
      </c>
      <c r="K97" s="289" t="s">
        <v>470</v>
      </c>
      <c r="L97" s="289">
        <v>72.5</v>
      </c>
      <c r="M97" s="289" t="s">
        <v>331</v>
      </c>
    </row>
    <row r="98" spans="1:18" ht="19.2">
      <c r="A98" s="289" t="s">
        <v>476</v>
      </c>
      <c r="B98" s="289" t="s">
        <v>468</v>
      </c>
      <c r="C98" s="289">
        <v>66</v>
      </c>
      <c r="D98" s="289" t="s">
        <v>331</v>
      </c>
      <c r="J98" s="289" t="s">
        <v>476</v>
      </c>
      <c r="K98" s="289" t="s">
        <v>468</v>
      </c>
      <c r="L98" s="289">
        <v>74</v>
      </c>
      <c r="M98" s="289" t="s">
        <v>331</v>
      </c>
    </row>
    <row r="99" spans="1:18" ht="19.2">
      <c r="A99" s="289" t="s">
        <v>526</v>
      </c>
      <c r="B99" s="289" t="s">
        <v>468</v>
      </c>
      <c r="C99" s="289">
        <v>4</v>
      </c>
      <c r="D99" s="289" t="s">
        <v>331</v>
      </c>
      <c r="J99" s="289" t="s">
        <v>526</v>
      </c>
      <c r="K99" s="289" t="s">
        <v>468</v>
      </c>
      <c r="L99" s="289">
        <v>3</v>
      </c>
      <c r="M99" s="289" t="s">
        <v>331</v>
      </c>
    </row>
    <row r="100" spans="1:18" ht="19.2">
      <c r="A100" s="289" t="s">
        <v>527</v>
      </c>
      <c r="B100" s="289" t="s">
        <v>468</v>
      </c>
      <c r="C100" s="289">
        <v>5.5</v>
      </c>
      <c r="D100" s="289" t="s">
        <v>331</v>
      </c>
      <c r="J100" s="289" t="s">
        <v>527</v>
      </c>
      <c r="K100" s="289" t="s">
        <v>468</v>
      </c>
      <c r="L100" s="289">
        <v>4.5</v>
      </c>
      <c r="M100" s="289" t="s">
        <v>331</v>
      </c>
    </row>
    <row r="101" spans="1:18" ht="19.2">
      <c r="A101" s="289" t="s">
        <v>474</v>
      </c>
      <c r="B101" s="289" t="s">
        <v>470</v>
      </c>
      <c r="C101" s="289">
        <v>1.5</v>
      </c>
      <c r="D101" s="289" t="s">
        <v>331</v>
      </c>
      <c r="J101" s="289" t="s">
        <v>474</v>
      </c>
      <c r="K101" s="289" t="s">
        <v>470</v>
      </c>
      <c r="L101" s="289">
        <v>2</v>
      </c>
      <c r="M101" s="289" t="s">
        <v>331</v>
      </c>
    </row>
    <row r="102" spans="1:18" ht="19.2">
      <c r="A102" s="289" t="s">
        <v>477</v>
      </c>
      <c r="B102" s="289" t="s">
        <v>470</v>
      </c>
      <c r="C102" s="289">
        <v>1.5</v>
      </c>
      <c r="D102" s="289" t="s">
        <v>331</v>
      </c>
      <c r="J102" s="289" t="s">
        <v>477</v>
      </c>
      <c r="K102" s="289" t="s">
        <v>470</v>
      </c>
      <c r="L102" s="289">
        <v>1.5</v>
      </c>
      <c r="M102" s="289" t="s">
        <v>331</v>
      </c>
    </row>
    <row r="103" spans="1:18" ht="16.2" thickBot="1"/>
    <row r="104" spans="1:18" ht="16.2" thickBot="1">
      <c r="A104" s="338" t="s">
        <v>440</v>
      </c>
      <c r="B104" s="388"/>
      <c r="C104" s="388"/>
      <c r="D104" s="388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39"/>
    </row>
    <row r="105" spans="1:18" ht="16.2" thickBot="1">
      <c r="A105" s="384" t="s">
        <v>571</v>
      </c>
      <c r="B105" s="385"/>
      <c r="C105" s="385"/>
      <c r="D105" s="385"/>
      <c r="E105" s="385"/>
      <c r="F105" s="385"/>
      <c r="G105" s="385"/>
      <c r="H105" s="386"/>
      <c r="J105" s="389" t="s">
        <v>572</v>
      </c>
      <c r="K105" s="390"/>
      <c r="L105" s="390"/>
      <c r="M105" s="390"/>
      <c r="N105" s="390"/>
      <c r="O105" s="390"/>
      <c r="P105" s="390"/>
      <c r="Q105" s="390"/>
      <c r="R105" s="334"/>
    </row>
    <row r="106" spans="1:18">
      <c r="J106" s="174"/>
      <c r="K106" s="174"/>
      <c r="L106" s="174"/>
      <c r="M106" s="174"/>
      <c r="N106" s="174"/>
      <c r="O106" s="174"/>
      <c r="P106" s="174"/>
      <c r="Q106" s="174"/>
      <c r="R106" s="174"/>
    </row>
    <row r="107" spans="1:18">
      <c r="D107" s="306" t="s">
        <v>479</v>
      </c>
      <c r="E107" s="306"/>
      <c r="F107" s="306"/>
      <c r="G107" s="306"/>
    </row>
    <row r="108" spans="1:18" ht="18.600000000000001">
      <c r="D108" s="289" t="s">
        <v>195</v>
      </c>
      <c r="E108" s="289"/>
      <c r="F108" s="289">
        <v>60</v>
      </c>
      <c r="G108" s="289" t="s">
        <v>331</v>
      </c>
    </row>
    <row r="109" spans="1:18" ht="18.600000000000001">
      <c r="D109" s="289" t="s">
        <v>194</v>
      </c>
      <c r="E109" s="289"/>
      <c r="F109" s="289">
        <v>110</v>
      </c>
      <c r="G109" s="289" t="s">
        <v>331</v>
      </c>
    </row>
    <row r="110" spans="1:18" ht="18.600000000000001">
      <c r="D110" s="289" t="s">
        <v>458</v>
      </c>
      <c r="E110" s="289"/>
      <c r="F110" s="289">
        <v>22</v>
      </c>
      <c r="G110" s="289" t="s">
        <v>331</v>
      </c>
    </row>
    <row r="111" spans="1:18" ht="18.600000000000001">
      <c r="D111" s="289" t="s">
        <v>573</v>
      </c>
      <c r="E111" s="289" t="s">
        <v>466</v>
      </c>
      <c r="F111" s="289">
        <v>75.5</v>
      </c>
      <c r="G111" s="289" t="s">
        <v>331</v>
      </c>
    </row>
    <row r="112" spans="1:18" ht="18.600000000000001">
      <c r="D112" s="289" t="s">
        <v>574</v>
      </c>
      <c r="E112" s="289" t="s">
        <v>466</v>
      </c>
      <c r="F112" s="289">
        <v>98</v>
      </c>
      <c r="G112" s="289" t="s">
        <v>331</v>
      </c>
    </row>
    <row r="113" spans="1:13" ht="18.600000000000001">
      <c r="D113" s="289" t="s">
        <v>575</v>
      </c>
      <c r="E113" s="289" t="s">
        <v>468</v>
      </c>
      <c r="F113" s="289">
        <v>1.5</v>
      </c>
      <c r="G113" s="289" t="s">
        <v>331</v>
      </c>
    </row>
    <row r="114" spans="1:13" ht="18.600000000000001">
      <c r="D114" s="392" t="s">
        <v>478</v>
      </c>
      <c r="E114" s="393"/>
      <c r="F114" s="393"/>
      <c r="G114" s="394"/>
    </row>
    <row r="115" spans="1:13" ht="18.600000000000001">
      <c r="D115" s="289" t="s">
        <v>576</v>
      </c>
      <c r="E115" s="289" t="s">
        <v>468</v>
      </c>
      <c r="F115" s="289">
        <v>69</v>
      </c>
      <c r="G115" s="289" t="s">
        <v>331</v>
      </c>
    </row>
    <row r="116" spans="1:13" ht="18.600000000000001">
      <c r="D116" s="289" t="s">
        <v>577</v>
      </c>
      <c r="E116" s="289" t="s">
        <v>470</v>
      </c>
      <c r="F116" s="289">
        <v>101</v>
      </c>
      <c r="G116" s="289" t="s">
        <v>331</v>
      </c>
    </row>
    <row r="117" spans="1:13" ht="18.600000000000001">
      <c r="D117" s="289" t="s">
        <v>578</v>
      </c>
      <c r="E117" s="289" t="s">
        <v>470</v>
      </c>
      <c r="F117" s="289">
        <v>1.5</v>
      </c>
      <c r="G117" s="289" t="s">
        <v>331</v>
      </c>
    </row>
    <row r="126" spans="1:13" ht="16.2" thickBot="1"/>
    <row r="127" spans="1:13" ht="16.2" thickBot="1">
      <c r="A127" s="378" t="s">
        <v>565</v>
      </c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80"/>
    </row>
  </sheetData>
  <mergeCells count="51">
    <mergeCell ref="J5:N5"/>
    <mergeCell ref="J6:K6"/>
    <mergeCell ref="D29:E29"/>
    <mergeCell ref="D19:E19"/>
    <mergeCell ref="A18:O18"/>
    <mergeCell ref="M6:N6"/>
    <mergeCell ref="J19:N19"/>
    <mergeCell ref="J20:K20"/>
    <mergeCell ref="M20:N20"/>
    <mergeCell ref="B15:C15"/>
    <mergeCell ref="D16:E16"/>
    <mergeCell ref="B30:C30"/>
    <mergeCell ref="D32:E32"/>
    <mergeCell ref="A93:D93"/>
    <mergeCell ref="J84:M84"/>
    <mergeCell ref="J93:M93"/>
    <mergeCell ref="A34:B34"/>
    <mergeCell ref="J34:N34"/>
    <mergeCell ref="A33:O33"/>
    <mergeCell ref="A4:N4"/>
    <mergeCell ref="A1:C2"/>
    <mergeCell ref="J35:K35"/>
    <mergeCell ref="M35:N35"/>
    <mergeCell ref="A48:B48"/>
    <mergeCell ref="D48:E48"/>
    <mergeCell ref="G48:H48"/>
    <mergeCell ref="J48:K48"/>
    <mergeCell ref="A47:K47"/>
    <mergeCell ref="D42:E42"/>
    <mergeCell ref="A5:B5"/>
    <mergeCell ref="D5:E5"/>
    <mergeCell ref="D14:E14"/>
    <mergeCell ref="A19:B19"/>
    <mergeCell ref="B43:C43"/>
    <mergeCell ref="D45:E45"/>
    <mergeCell ref="A127:M127"/>
    <mergeCell ref="A58:M58"/>
    <mergeCell ref="A60:H60"/>
    <mergeCell ref="J60:R60"/>
    <mergeCell ref="A59:R59"/>
    <mergeCell ref="A82:R82"/>
    <mergeCell ref="A83:H83"/>
    <mergeCell ref="J83:R83"/>
    <mergeCell ref="A104:R104"/>
    <mergeCell ref="A105:H105"/>
    <mergeCell ref="J105:R105"/>
    <mergeCell ref="E61:H61"/>
    <mergeCell ref="E71:H71"/>
    <mergeCell ref="A84:D84"/>
    <mergeCell ref="D107:G107"/>
    <mergeCell ref="D114:G114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RISULTATI</vt:lpstr>
      <vt:lpstr>Geometria</vt:lpstr>
      <vt:lpstr>Tabelle</vt:lpstr>
      <vt:lpstr>DATI IMPORTANTI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Pirini Casadei</dc:creator>
  <cp:lastModifiedBy>Alessandro Peripoli</cp:lastModifiedBy>
  <dcterms:created xsi:type="dcterms:W3CDTF">2019-03-20T08:44:00Z</dcterms:created>
  <dcterms:modified xsi:type="dcterms:W3CDTF">2019-06-14T01:45:28Z</dcterms:modified>
</cp:coreProperties>
</file>