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"/>
    </mc:Choice>
  </mc:AlternateContent>
  <xr:revisionPtr revIDLastSave="0" documentId="13_ncr:1_{00F0878E-C979-4819-97CC-840C16C5E1F5}" xr6:coauthVersionLast="47" xr6:coauthVersionMax="47" xr10:uidLastSave="{00000000-0000-0000-0000-000000000000}"/>
  <bookViews>
    <workbookView xWindow="-110" yWindow="-110" windowWidth="19420" windowHeight="10300" tabRatio="590" firstSheet="2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  <sheet name="Sheet1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F9" i="1"/>
  <c r="D9" i="1"/>
  <c r="A10" i="1"/>
  <c r="A11" i="1"/>
  <c r="J8" i="1"/>
  <c r="A8" i="1" s="1"/>
  <c r="J9" i="1"/>
  <c r="A9" i="1" s="1"/>
  <c r="I8" i="1"/>
  <c r="H8" i="1"/>
  <c r="F8" i="1"/>
  <c r="D8" i="1"/>
  <c r="I7" i="1" l="1"/>
  <c r="H7" i="1"/>
  <c r="F7" i="1"/>
  <c r="D7" i="1"/>
  <c r="F5" i="1"/>
  <c r="D5" i="1"/>
  <c r="J5" i="1" s="1"/>
  <c r="A5" i="1" s="1"/>
  <c r="B4" i="8"/>
  <c r="J2" i="1"/>
  <c r="A2" i="1" s="1"/>
  <c r="J3" i="1"/>
  <c r="J4" i="1"/>
  <c r="J6" i="1"/>
  <c r="A6" i="1" s="1"/>
  <c r="J12" i="1"/>
  <c r="J13" i="1"/>
  <c r="J14" i="1"/>
  <c r="C11" i="2" s="1"/>
  <c r="J15" i="1"/>
  <c r="FC15" i="2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B4" i="2" l="1"/>
  <c r="A4" i="1"/>
  <c r="B3" i="2"/>
  <c r="A3" i="1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D79" i="2"/>
  <c r="IL79" i="2"/>
  <c r="AO79" i="2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U61" i="8"/>
  <c r="IL61" i="2"/>
  <c r="FD61" i="2"/>
  <c r="BT61" i="2"/>
  <c r="AG61" i="2"/>
  <c r="BG61" i="8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61" i="2"/>
  <c r="A77" i="2"/>
  <c r="AL93" i="2"/>
  <c r="A125" i="2"/>
  <c r="AL37" i="2"/>
  <c r="AL53" i="2"/>
  <c r="AL69" i="2"/>
  <c r="A141" i="2"/>
  <c r="AL101" i="2"/>
  <c r="AL117" i="2"/>
  <c r="A133" i="2"/>
  <c r="AL165" i="2"/>
  <c r="AL181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7" i="1" s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FL192" i="2"/>
  <c r="AF192" i="2"/>
  <c r="A195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1" i="2" s="1"/>
  <c r="CY106" i="2"/>
  <c r="A109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CQ15" i="2"/>
  <c r="AH15" i="8"/>
  <c r="ID15" i="2"/>
  <c r="FB12" i="2"/>
  <c r="BI39" i="2"/>
  <c r="AM12" i="2"/>
  <c r="BE12" i="8" s="1"/>
  <c r="BJ56" i="2"/>
  <c r="DA12" i="2"/>
  <c r="E12" i="2"/>
  <c r="CQ12" i="2" s="1"/>
  <c r="DA11" i="2"/>
  <c r="D5" i="8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DR19" i="2"/>
  <c r="A51" i="2"/>
  <c r="A43" i="2"/>
  <c r="E7" i="2"/>
  <c r="D7" i="2"/>
  <c r="C7" i="2"/>
  <c r="AT9" i="8"/>
  <c r="BE11" i="8"/>
  <c r="D12" i="10"/>
  <c r="CZ11" i="2"/>
  <c r="V10" i="8"/>
  <c r="IY186" i="2"/>
  <c r="A39" i="2"/>
  <c r="BY88" i="2"/>
  <c r="BY48" i="2"/>
  <c r="AX39" i="2"/>
  <c r="D6" i="2"/>
  <c r="DR138" i="2"/>
  <c r="AW107" i="2"/>
  <c r="DP42" i="2"/>
  <c r="DR130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IV82" i="2"/>
  <c r="IW82" i="2" s="1"/>
  <c r="AY133" i="2"/>
  <c r="AX107" i="2"/>
  <c r="DR82" i="2"/>
  <c r="BJ135" i="2"/>
  <c r="BI95" i="2"/>
  <c r="AY100" i="2"/>
  <c r="DP122" i="2"/>
  <c r="AW139" i="2"/>
  <c r="AX139" i="2"/>
  <c r="IY43" i="2"/>
  <c r="DR42" i="2"/>
  <c r="DP82" i="2"/>
  <c r="AW59" i="2"/>
  <c r="BJ127" i="2"/>
  <c r="DR146" i="2"/>
  <c r="DP138" i="2"/>
  <c r="AY179" i="2"/>
  <c r="BJ79" i="2"/>
  <c r="DR34" i="2"/>
  <c r="DP146" i="2"/>
  <c r="AX163" i="2"/>
  <c r="AW51" i="2"/>
  <c r="DP130" i="2"/>
  <c r="DR170" i="2"/>
  <c r="AX59" i="2"/>
  <c r="C6" i="2"/>
  <c r="AX42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V88" i="2"/>
  <c r="IW88" i="2" s="1"/>
  <c r="DR109" i="2"/>
  <c r="IY167" i="2"/>
  <c r="IY151" i="2"/>
  <c r="IV135" i="2"/>
  <c r="IW135" i="2" s="1"/>
  <c r="DR69" i="2"/>
  <c r="AX60" i="2"/>
  <c r="IV119" i="2"/>
  <c r="IW119" i="2" s="1"/>
  <c r="DR53" i="2"/>
  <c r="IV71" i="2"/>
  <c r="IW71" i="2" s="1"/>
  <c r="AY117" i="2"/>
  <c r="AY149" i="2"/>
  <c r="AW76" i="2"/>
  <c r="AY51" i="2"/>
  <c r="AW42" i="2"/>
  <c r="DR164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W196" i="2"/>
  <c r="AX148" i="2"/>
  <c r="AY196" i="2"/>
  <c r="AW123" i="2"/>
  <c r="AW147" i="2"/>
  <c r="AX135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AY167" i="2"/>
  <c r="CK143" i="2"/>
  <c r="AL108" i="2"/>
  <c r="AX143" i="2"/>
  <c r="A148" i="2"/>
  <c r="DR120" i="2"/>
  <c r="AL172" i="2"/>
  <c r="AL52" i="2"/>
  <c r="AX167" i="2"/>
  <c r="BI45" i="2"/>
  <c r="AL84" i="2"/>
  <c r="AL164" i="2"/>
  <c r="AX151" i="2"/>
  <c r="BJ77" i="2"/>
  <c r="IV109" i="2"/>
  <c r="IW109" i="2" s="1"/>
  <c r="BY199" i="2"/>
  <c r="AX114" i="2"/>
  <c r="A80" i="2"/>
  <c r="BJ53" i="2"/>
  <c r="IY42" i="2"/>
  <c r="IV114" i="2"/>
  <c r="IW114" i="2" s="1"/>
  <c r="AY39" i="2"/>
  <c r="AW53" i="2"/>
  <c r="AY109" i="2"/>
  <c r="IY66" i="2"/>
  <c r="IY162" i="2"/>
  <c r="DP96" i="2"/>
  <c r="DP120" i="2"/>
  <c r="A88" i="2"/>
  <c r="AW101" i="2"/>
  <c r="AM4" i="2"/>
  <c r="V4" i="8" s="1"/>
  <c r="BY53" i="2"/>
  <c r="AW133" i="2"/>
  <c r="A47" i="2"/>
  <c r="AW156" i="2"/>
  <c r="IY178" i="2"/>
  <c r="IY122" i="2"/>
  <c r="DP71" i="2"/>
  <c r="AX156" i="2"/>
  <c r="AW93" i="2"/>
  <c r="BJ196" i="2"/>
  <c r="BJ69" i="2"/>
  <c r="BY85" i="2"/>
  <c r="BX69" i="2"/>
  <c r="AL34" i="2"/>
  <c r="DR48" i="2"/>
  <c r="AX53" i="2"/>
  <c r="IV146" i="2"/>
  <c r="IW146" i="2" s="1"/>
  <c r="IV98" i="2"/>
  <c r="IW98" i="2" s="1"/>
  <c r="AX77" i="2"/>
  <c r="AL104" i="2"/>
  <c r="AW117" i="2"/>
  <c r="BJ117" i="2"/>
  <c r="BX174" i="2"/>
  <c r="AX37" i="2"/>
  <c r="DP48" i="2"/>
  <c r="AW109" i="2"/>
  <c r="A56" i="2"/>
  <c r="IV74" i="2"/>
  <c r="IW74" i="2" s="1"/>
  <c r="IV59" i="2"/>
  <c r="IW59" i="2" s="1"/>
  <c r="IV170" i="2"/>
  <c r="IW170" i="2" s="1"/>
  <c r="E4" i="10"/>
  <c r="FB4" i="2" s="1"/>
  <c r="CK124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DR127" i="2"/>
  <c r="DP104" i="2"/>
  <c r="DP183" i="2"/>
  <c r="AX61" i="2"/>
  <c r="A151" i="2"/>
  <c r="AW140" i="2"/>
  <c r="AY173" i="2"/>
  <c r="CJ85" i="2"/>
  <c r="DA4" i="2"/>
  <c r="AW37" i="2"/>
  <c r="A175" i="2"/>
  <c r="DR119" i="2"/>
  <c r="DR96" i="2"/>
  <c r="AY61" i="2"/>
  <c r="AY189" i="2"/>
  <c r="BJ109" i="2"/>
  <c r="BJ85" i="2"/>
  <c r="CK92" i="2"/>
  <c r="BX93" i="2"/>
  <c r="IY52" i="2"/>
  <c r="AY50" i="2"/>
  <c r="AW50" i="2"/>
  <c r="DP111" i="2"/>
  <c r="A116" i="2"/>
  <c r="IV91" i="2"/>
  <c r="IW91" i="2" s="1"/>
  <c r="IY92" i="2"/>
  <c r="IV117" i="2"/>
  <c r="IW117" i="2" s="1"/>
  <c r="DP127" i="2"/>
  <c r="AL130" i="2"/>
  <c r="BJ140" i="2"/>
  <c r="CJ77" i="2"/>
  <c r="AX184" i="2"/>
  <c r="IV60" i="2"/>
  <c r="IW60" i="2" s="1"/>
  <c r="A58" i="2"/>
  <c r="DP119" i="2"/>
  <c r="BX130" i="2"/>
  <c r="IY187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36" i="2"/>
  <c r="A132" i="2"/>
  <c r="AL60" i="2"/>
  <c r="IY163" i="2"/>
  <c r="IY197" i="2"/>
  <c r="IY124" i="2"/>
  <c r="DP143" i="2"/>
  <c r="AY178" i="2"/>
  <c r="AW143" i="2"/>
  <c r="AW135" i="2"/>
  <c r="AL74" i="2"/>
  <c r="CJ35" i="2"/>
  <c r="BI52" i="2"/>
  <c r="IV148" i="2"/>
  <c r="IW148" i="2" s="1"/>
  <c r="IV40" i="2"/>
  <c r="IW40" i="2" s="1"/>
  <c r="IV108" i="2"/>
  <c r="IW108" i="2" s="1"/>
  <c r="AL76" i="2"/>
  <c r="A180" i="2"/>
  <c r="AY186" i="2"/>
  <c r="AL186" i="2"/>
  <c r="BY140" i="2"/>
  <c r="CK61" i="2"/>
  <c r="A42" i="2"/>
  <c r="DR183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Y127" i="2"/>
  <c r="CK115" i="2"/>
  <c r="A5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AY184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184" i="2"/>
  <c r="CK155" i="2"/>
  <c r="A82" i="2"/>
  <c r="BY200" i="2"/>
  <c r="BY112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CJ159" i="2"/>
  <c r="BY178" i="2"/>
  <c r="BY42" i="2"/>
  <c r="CJ55" i="2"/>
  <c r="BX66" i="2"/>
  <c r="AX34" i="2"/>
  <c r="IV149" i="2"/>
  <c r="IW149" i="2" s="1"/>
  <c r="BY146" i="2"/>
  <c r="BX101" i="2"/>
  <c r="BY77" i="2"/>
  <c r="BY50" i="2"/>
  <c r="BY37" i="2"/>
  <c r="CK175" i="2"/>
  <c r="BX194" i="2"/>
  <c r="BY172" i="2"/>
  <c r="BY116" i="2"/>
  <c r="CJ135" i="2"/>
  <c r="AX31" i="2"/>
  <c r="BY170" i="2"/>
  <c r="BI64" i="2"/>
  <c r="A35" i="2"/>
  <c r="AY48" i="2"/>
  <c r="AY191" i="2"/>
  <c r="A91" i="2"/>
  <c r="BY175" i="2"/>
  <c r="BY151" i="2"/>
  <c r="BY71" i="2"/>
  <c r="BY47" i="2"/>
  <c r="A200" i="2"/>
  <c r="AL83" i="2"/>
  <c r="BJ104" i="2"/>
  <c r="IV53" i="2"/>
  <c r="IW53" i="2" s="1"/>
  <c r="AX48" i="2"/>
  <c r="AY47" i="2"/>
  <c r="BY103" i="2"/>
  <c r="BY79" i="2"/>
  <c r="BI112" i="2"/>
  <c r="IY36" i="2"/>
  <c r="BY159" i="2"/>
  <c r="BY31" i="2"/>
  <c r="CJ58" i="2"/>
  <c r="AY90" i="2"/>
  <c r="AW87" i="2"/>
  <c r="BY111" i="2"/>
  <c r="BY87" i="2"/>
  <c r="DP19" i="2"/>
  <c r="A155" i="2"/>
  <c r="BY143" i="2"/>
  <c r="BY119" i="2"/>
  <c r="BY39" i="2"/>
  <c r="IY34" i="2"/>
  <c r="CK114" i="2"/>
  <c r="IV30" i="2"/>
  <c r="IW30" i="2" s="1"/>
  <c r="IV31" i="2"/>
  <c r="IW31" i="2" s="1"/>
  <c r="DS116" i="2"/>
  <c r="AX87" i="2"/>
  <c r="BX163" i="2"/>
  <c r="BY131" i="2"/>
  <c r="BX131" i="2"/>
  <c r="IY61" i="2"/>
  <c r="IV61" i="2"/>
  <c r="IW61" i="2" s="1"/>
  <c r="IY69" i="2"/>
  <c r="IV69" i="2"/>
  <c r="IW69" i="2" s="1"/>
  <c r="AY55" i="2"/>
  <c r="AX55" i="2"/>
  <c r="AX63" i="2"/>
  <c r="AY71" i="2"/>
  <c r="AX71" i="2"/>
  <c r="AY79" i="2"/>
  <c r="AX79" i="2"/>
  <c r="AY95" i="2"/>
  <c r="AX95" i="2"/>
  <c r="AW95" i="2"/>
  <c r="AW103" i="2"/>
  <c r="AW127" i="2"/>
  <c r="AY127" i="2"/>
  <c r="AX127" i="2"/>
  <c r="AY64" i="2"/>
  <c r="AW64" i="2"/>
  <c r="AW192" i="2"/>
  <c r="AX192" i="2"/>
  <c r="AW79" i="2"/>
  <c r="IV201" i="2"/>
  <c r="IW201" i="2" s="1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147" i="2"/>
  <c r="AL147" i="2"/>
  <c r="A171" i="2"/>
  <c r="A179" i="2"/>
  <c r="AL187" i="2"/>
  <c r="A187" i="2"/>
  <c r="CK171" i="2"/>
  <c r="A37" i="2"/>
  <c r="AY192" i="2"/>
  <c r="A59" i="2"/>
  <c r="A163" i="2"/>
  <c r="AW191" i="2"/>
  <c r="AW195" i="2"/>
  <c r="CJ163" i="2"/>
  <c r="CK163" i="2"/>
  <c r="CK123" i="2"/>
  <c r="CJ123" i="2"/>
  <c r="CJ107" i="2"/>
  <c r="CK107" i="2"/>
  <c r="CJ83" i="2"/>
  <c r="CK83" i="2"/>
  <c r="CJ43" i="2"/>
  <c r="CK43" i="2"/>
  <c r="AX64" i="2"/>
  <c r="IY55" i="2"/>
  <c r="BX58" i="2"/>
  <c r="E3" i="2"/>
  <c r="BJ138" i="2"/>
  <c r="BY186" i="2"/>
  <c r="BY122" i="2"/>
  <c r="CK186" i="2"/>
  <c r="CK146" i="2"/>
  <c r="D3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L2" i="2"/>
  <c r="AW31" i="2"/>
  <c r="AX108" i="2"/>
  <c r="AX84" i="2"/>
  <c r="A101" i="2"/>
  <c r="IV72" i="2"/>
  <c r="IW72" i="2" s="1"/>
  <c r="A93" i="2"/>
  <c r="A69" i="2"/>
  <c r="AW60" i="2"/>
  <c r="AW124" i="2"/>
  <c r="AL141" i="2"/>
  <c r="CJ120" i="2"/>
  <c r="CJ104" i="2"/>
  <c r="A53" i="2"/>
  <c r="AL45" i="2"/>
  <c r="AY44" i="2"/>
  <c r="AY92" i="2"/>
  <c r="IV103" i="2"/>
  <c r="IW103" i="2" s="1"/>
  <c r="IV87" i="2"/>
  <c r="IW87" i="2" s="1"/>
  <c r="A165" i="2"/>
  <c r="A173" i="2"/>
  <c r="DR180" i="2"/>
  <c r="AY172" i="2"/>
  <c r="AX162" i="2"/>
  <c r="AW82" i="2"/>
  <c r="AW84" i="2"/>
  <c r="AW164" i="2"/>
  <c r="AL77" i="2"/>
  <c r="AL125" i="2"/>
  <c r="AW98" i="2"/>
  <c r="CJ200" i="2"/>
  <c r="CJ119" i="2"/>
  <c r="CJ103" i="2"/>
  <c r="IV48" i="2"/>
  <c r="IW48" i="2" s="1"/>
  <c r="AX44" i="2"/>
  <c r="AX36" i="2"/>
  <c r="A61" i="2"/>
  <c r="IV191" i="2"/>
  <c r="IW191" i="2" s="1"/>
  <c r="IV159" i="2"/>
  <c r="IW159" i="2" s="1"/>
  <c r="IV143" i="2"/>
  <c r="IW143" i="2" s="1"/>
  <c r="A157" i="2"/>
  <c r="A181" i="2"/>
  <c r="DP180" i="2"/>
  <c r="AX98" i="2"/>
  <c r="CK199" i="2"/>
  <c r="CK71" i="2"/>
  <c r="CJ184" i="2"/>
  <c r="CJ87" i="2"/>
  <c r="CJ63" i="2"/>
  <c r="CJ48" i="2"/>
  <c r="IV111" i="2"/>
  <c r="IW111" i="2" s="1"/>
  <c r="AX43" i="2"/>
  <c r="AY116" i="2"/>
  <c r="IV127" i="2"/>
  <c r="IW127" i="2" s="1"/>
  <c r="AY164" i="2"/>
  <c r="AW92" i="2"/>
  <c r="AW116" i="2"/>
  <c r="AY82" i="2"/>
  <c r="CK151" i="2"/>
  <c r="AY43" i="2"/>
  <c r="AY36" i="2"/>
  <c r="AW108" i="2"/>
  <c r="AX124" i="2"/>
  <c r="AX76" i="2"/>
  <c r="IV120" i="2"/>
  <c r="IW120" i="2" s="1"/>
  <c r="A117" i="2"/>
  <c r="AY162" i="2"/>
  <c r="AW172" i="2"/>
  <c r="AL133" i="2"/>
  <c r="CJ127" i="2"/>
  <c r="CJ31" i="2"/>
  <c r="IV95" i="2"/>
  <c r="IW95" i="2" s="1"/>
  <c r="IV79" i="2"/>
  <c r="IW79" i="2" s="1"/>
  <c r="CK95" i="2"/>
  <c r="CJ192" i="2"/>
  <c r="CJ56" i="2"/>
  <c r="CJ40" i="2"/>
  <c r="IY35" i="2"/>
  <c r="A63" i="2"/>
  <c r="AX149" i="2"/>
  <c r="AX125" i="2"/>
  <c r="AW173" i="2"/>
  <c r="AL95" i="2"/>
  <c r="AW69" i="2"/>
  <c r="AY69" i="2"/>
  <c r="IV39" i="2"/>
  <c r="IW39" i="2" s="1"/>
  <c r="IV51" i="2"/>
  <c r="IW51" i="2" s="1"/>
  <c r="A2" i="2"/>
  <c r="AX69" i="2"/>
  <c r="A127" i="2"/>
  <c r="A167" i="2"/>
  <c r="A103" i="2"/>
  <c r="CJ172" i="2"/>
  <c r="CK172" i="2"/>
  <c r="CJ148" i="2"/>
  <c r="CJ132" i="2"/>
  <c r="CK132" i="2"/>
  <c r="CK116" i="2"/>
  <c r="CJ116" i="2"/>
  <c r="CJ108" i="2"/>
  <c r="CK108" i="2"/>
  <c r="CJ100" i="2"/>
  <c r="CJ68" i="2"/>
  <c r="CK68" i="2"/>
  <c r="CJ44" i="2"/>
  <c r="AW189" i="2"/>
  <c r="A191" i="2"/>
  <c r="A79" i="2"/>
  <c r="A143" i="2"/>
  <c r="AL143" i="2"/>
  <c r="AY35" i="2"/>
  <c r="AW35" i="2"/>
  <c r="A87" i="2"/>
  <c r="AX85" i="2"/>
  <c r="A1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AY181" i="2"/>
  <c r="AW181" i="2"/>
  <c r="A111" i="2"/>
  <c r="A71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IY189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09" i="2"/>
  <c r="DS31" i="2"/>
  <c r="DS71" i="2"/>
  <c r="E2" i="2"/>
  <c r="D2" i="2"/>
  <c r="C2" i="2"/>
  <c r="DR66" i="2" l="1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O7" i="2" l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4" i="2"/>
  <c r="AL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N7" i="2" l="1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AX13" i="2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S7" i="2" l="1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A6" i="2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142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T49" i="2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12" i="1"/>
  <c r="A7" i="2"/>
  <c r="AL7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21" i="2" l="1"/>
  <c r="EQ21" i="2" s="1"/>
  <c r="DT43" i="2"/>
  <c r="DT94" i="2"/>
  <c r="DT4" i="2"/>
  <c r="EB4" i="2" s="1"/>
  <c r="DT107" i="2"/>
  <c r="DT157" i="2"/>
  <c r="DT48" i="2"/>
  <c r="EV48" i="2" s="1"/>
  <c r="DT141" i="2"/>
  <c r="DT173" i="2"/>
  <c r="DT159" i="2"/>
  <c r="ES159" i="2" s="1"/>
  <c r="EU159" i="2" s="1"/>
  <c r="DT147" i="2"/>
  <c r="DT154" i="2"/>
  <c r="DT137" i="2"/>
  <c r="EA137" i="2" s="1"/>
  <c r="ET137" i="2" s="1"/>
  <c r="DT168" i="2"/>
  <c r="DT198" i="2"/>
  <c r="DT108" i="2"/>
  <c r="EI108" i="2" s="1"/>
  <c r="DT132" i="2"/>
  <c r="DT72" i="2"/>
  <c r="DT85" i="2"/>
  <c r="EB85" i="2" s="1"/>
  <c r="DT30" i="2"/>
  <c r="DT175" i="2"/>
  <c r="DT97" i="2"/>
  <c r="DT199" i="2"/>
  <c r="DT26" i="2"/>
  <c r="DT162" i="2"/>
  <c r="EV162" i="2" s="1"/>
  <c r="DT135" i="2"/>
  <c r="DT67" i="2"/>
  <c r="DT165" i="2"/>
  <c r="EH165" i="2" s="1"/>
  <c r="DT192" i="2"/>
  <c r="DT127" i="2"/>
  <c r="DT25" i="2"/>
  <c r="EC25" i="2" s="1"/>
  <c r="DT129" i="2"/>
  <c r="DT59" i="2"/>
  <c r="DT47" i="2"/>
  <c r="EQ47" i="2" s="1"/>
  <c r="DT184" i="2"/>
  <c r="DT73" i="2"/>
  <c r="DT106" i="2"/>
  <c r="EV106" i="2" s="1"/>
  <c r="DT150" i="2"/>
  <c r="DT131" i="2"/>
  <c r="DT86" i="2"/>
  <c r="EQ86" i="2" s="1"/>
  <c r="DT75" i="2"/>
  <c r="DT155" i="2"/>
  <c r="DT158" i="2"/>
  <c r="EH158" i="2" s="1"/>
  <c r="DT197" i="2"/>
  <c r="EI197" i="2" s="1"/>
  <c r="DT80" i="2"/>
  <c r="DT124" i="2"/>
  <c r="DT23" i="2"/>
  <c r="DT22" i="2"/>
  <c r="DT93" i="2"/>
  <c r="ES93" i="2" s="1"/>
  <c r="EU93" i="2" s="1"/>
  <c r="DT62" i="2"/>
  <c r="DT50" i="2"/>
  <c r="DT174" i="2"/>
  <c r="EJ174" i="2" s="1"/>
  <c r="DT183" i="2"/>
  <c r="DT152" i="2"/>
  <c r="DT74" i="2"/>
  <c r="EP74" i="2" s="1"/>
  <c r="DT88" i="2"/>
  <c r="DT45" i="2"/>
  <c r="DT53" i="2"/>
  <c r="DT91" i="2"/>
  <c r="DT29" i="2"/>
  <c r="DT35" i="2"/>
  <c r="DT136" i="2"/>
  <c r="EH136" i="2" s="1"/>
  <c r="DT78" i="2"/>
  <c r="DT95" i="2"/>
  <c r="EQ95" i="2" s="1"/>
  <c r="DT143" i="2"/>
  <c r="DT109" i="2"/>
  <c r="DT116" i="2"/>
  <c r="EB116" i="2" s="1"/>
  <c r="DT98" i="2"/>
  <c r="DT194" i="2"/>
  <c r="DT105" i="2"/>
  <c r="EJ105" i="2" s="1"/>
  <c r="DT42" i="2"/>
  <c r="EH42" i="2" s="1"/>
  <c r="DT122" i="2"/>
  <c r="DT40" i="2"/>
  <c r="DX40" i="2" s="1"/>
  <c r="DY40" i="2" s="1"/>
  <c r="DT182" i="2"/>
  <c r="DT193" i="2"/>
  <c r="DT69" i="2"/>
  <c r="DT99" i="2"/>
  <c r="DT139" i="2"/>
  <c r="JH7" i="2"/>
  <c r="JI7" i="2" s="1"/>
  <c r="JJ7" i="2" s="1"/>
  <c r="BG7" i="8"/>
  <c r="IY7" i="2" s="1"/>
  <c r="AV7" i="8"/>
  <c r="IL7" i="2" s="1"/>
  <c r="DT58" i="2"/>
  <c r="DT201" i="2"/>
  <c r="DT171" i="2"/>
  <c r="DT103" i="2"/>
  <c r="DX103" i="2" s="1"/>
  <c r="DY103" i="2" s="1"/>
  <c r="DT181" i="2"/>
  <c r="DT191" i="2"/>
  <c r="DT130" i="2"/>
  <c r="EA130" i="2" s="1"/>
  <c r="ET130" i="2" s="1"/>
  <c r="DT145" i="2"/>
  <c r="DT66" i="2"/>
  <c r="DT87" i="2"/>
  <c r="DV87" i="2" s="1"/>
  <c r="DT55" i="2"/>
  <c r="DT70" i="2"/>
  <c r="DT164" i="2"/>
  <c r="DW164" i="2" s="1"/>
  <c r="DT9" i="2"/>
  <c r="DT186" i="2"/>
  <c r="DT161" i="2"/>
  <c r="EJ161" i="2" s="1"/>
  <c r="DT60" i="2"/>
  <c r="DT79" i="2"/>
  <c r="DT189" i="2"/>
  <c r="DT44" i="2"/>
  <c r="DT125" i="2"/>
  <c r="DT71" i="2"/>
  <c r="EK71" i="2" s="1"/>
  <c r="DT28" i="2"/>
  <c r="DT121" i="2"/>
  <c r="DT111" i="2"/>
  <c r="DT64" i="2"/>
  <c r="DT179" i="2"/>
  <c r="DT82" i="2"/>
  <c r="DU82" i="2" s="1"/>
  <c r="DT100" i="2"/>
  <c r="DT18" i="2"/>
  <c r="DT166" i="2"/>
  <c r="DT68" i="2"/>
  <c r="DT123" i="2"/>
  <c r="DT190" i="2"/>
  <c r="EH190" i="2" s="1"/>
  <c r="DT117" i="2"/>
  <c r="DT167" i="2"/>
  <c r="DT20" i="2"/>
  <c r="DT84" i="2"/>
  <c r="DT77" i="2"/>
  <c r="DT89" i="2"/>
  <c r="DT163" i="2"/>
  <c r="DT112" i="2"/>
  <c r="DT76" i="2"/>
  <c r="EO76" i="2" s="1"/>
  <c r="DT38" i="2"/>
  <c r="DT180" i="2"/>
  <c r="DT115" i="2"/>
  <c r="EV115" i="2" s="1"/>
  <c r="DT39" i="2"/>
  <c r="DT34" i="2"/>
  <c r="DT149" i="2"/>
  <c r="DT90" i="2"/>
  <c r="DT83" i="2"/>
  <c r="DT15" i="2"/>
  <c r="EF15" i="2" s="1"/>
  <c r="DT144" i="2"/>
  <c r="DT81" i="2"/>
  <c r="DT31" i="2"/>
  <c r="DW31" i="2" s="1"/>
  <c r="DT126" i="2"/>
  <c r="DT110" i="2"/>
  <c r="DT133" i="2"/>
  <c r="EC133" i="2" s="1"/>
  <c r="DT101" i="2"/>
  <c r="DT177" i="2"/>
  <c r="DT54" i="2"/>
  <c r="EG54" i="2" s="1"/>
  <c r="DT41" i="2"/>
  <c r="DT65" i="2"/>
  <c r="DT196" i="2"/>
  <c r="EB196" i="2" s="1"/>
  <c r="DT17" i="2"/>
  <c r="DT128" i="2"/>
  <c r="DT134" i="2"/>
  <c r="EP134" i="2" s="1"/>
  <c r="DT172" i="2"/>
  <c r="DT37" i="2"/>
  <c r="DT200" i="2"/>
  <c r="DU200" i="2" s="1"/>
  <c r="DT188" i="2"/>
  <c r="DT16" i="2"/>
  <c r="DT36" i="2"/>
  <c r="EN36" i="2" s="1"/>
  <c r="DT120" i="2"/>
  <c r="DT195" i="2"/>
  <c r="DT151" i="2"/>
  <c r="EL151" i="2" s="1"/>
  <c r="DT63" i="2"/>
  <c r="DT153" i="2"/>
  <c r="DT146" i="2"/>
  <c r="EC146" i="2" s="1"/>
  <c r="DT19" i="2"/>
  <c r="DT13" i="2"/>
  <c r="DT32" i="2"/>
  <c r="DV32" i="2" s="1"/>
  <c r="DT156" i="2"/>
  <c r="DT140" i="2"/>
  <c r="DT118" i="2"/>
  <c r="EG118" i="2" s="1"/>
  <c r="DT102" i="2"/>
  <c r="DT176" i="2"/>
  <c r="DT104" i="2"/>
  <c r="DW104" i="2" s="1"/>
  <c r="DT14" i="2"/>
  <c r="DT52" i="2"/>
  <c r="DT27" i="2"/>
  <c r="EF27" i="2" s="1"/>
  <c r="DT46" i="2"/>
  <c r="DT185" i="2"/>
  <c r="DT57" i="2"/>
  <c r="DX57" i="2" s="1"/>
  <c r="DY57" i="2" s="1"/>
  <c r="DT113" i="2"/>
  <c r="DT187" i="2"/>
  <c r="DT33" i="2"/>
  <c r="EF33" i="2" s="1"/>
  <c r="DT114" i="2"/>
  <c r="DT170" i="2"/>
  <c r="DT56" i="2"/>
  <c r="DV56" i="2" s="1"/>
  <c r="DT169" i="2"/>
  <c r="DT51" i="2"/>
  <c r="DT138" i="2"/>
  <c r="DT61" i="2"/>
  <c r="DT160" i="2"/>
  <c r="DT92" i="2"/>
  <c r="DT148" i="2"/>
  <c r="DT96" i="2"/>
  <c r="DT178" i="2"/>
  <c r="ED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S198" i="2"/>
  <c r="EU198" i="2" s="1"/>
  <c r="EQ198" i="2"/>
  <c r="EA198" i="2"/>
  <c r="ET198" i="2" s="1"/>
  <c r="DX198" i="2"/>
  <c r="DY198" i="2" s="1"/>
  <c r="EP198" i="2"/>
  <c r="DW198" i="2"/>
  <c r="ER198" i="2"/>
  <c r="EL198" i="2"/>
  <c r="DU198" i="2"/>
  <c r="EN198" i="2"/>
  <c r="EI198" i="2"/>
  <c r="EK26" i="2"/>
  <c r="EH26" i="2"/>
  <c r="EL26" i="2"/>
  <c r="EF26" i="2"/>
  <c r="EC26" i="2"/>
  <c r="ER94" i="2"/>
  <c r="EM94" i="2"/>
  <c r="EG94" i="2"/>
  <c r="EK94" i="2"/>
  <c r="EQ94" i="2"/>
  <c r="DU94" i="2"/>
  <c r="ES94" i="2"/>
  <c r="EU94" i="2" s="1"/>
  <c r="EA94" i="2"/>
  <c r="ET94" i="2" s="1"/>
  <c r="EE94" i="2"/>
  <c r="EB94" i="2"/>
  <c r="EN94" i="2"/>
  <c r="ED94" i="2"/>
  <c r="DV94" i="2"/>
  <c r="EI94" i="2"/>
  <c r="EC94" i="2"/>
  <c r="DX94" i="2"/>
  <c r="DY94" i="2" s="1"/>
  <c r="EJ94" i="2"/>
  <c r="EL94" i="2"/>
  <c r="EF94" i="2"/>
  <c r="EH94" i="2"/>
  <c r="EV94" i="2"/>
  <c r="EP94" i="2"/>
  <c r="DW94" i="2"/>
  <c r="DZ94" i="2"/>
  <c r="EO94" i="2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EV183" i="2"/>
  <c r="DZ183" i="2"/>
  <c r="EH30" i="2"/>
  <c r="EN30" i="2"/>
  <c r="EF30" i="2"/>
  <c r="EO30" i="2"/>
  <c r="EM30" i="2"/>
  <c r="EK30" i="2"/>
  <c r="DZ30" i="2"/>
  <c r="EB30" i="2"/>
  <c r="EA30" i="2"/>
  <c r="ET30" i="2" s="1"/>
  <c r="EG30" i="2"/>
  <c r="EL30" i="2"/>
  <c r="EQ30" i="2"/>
  <c r="ED30" i="2"/>
  <c r="EI30" i="2"/>
  <c r="DW30" i="2"/>
  <c r="ER30" i="2"/>
  <c r="DW35" i="2"/>
  <c r="EQ182" i="2"/>
  <c r="EG182" i="2"/>
  <c r="EV136" i="2"/>
  <c r="ED136" i="2"/>
  <c r="EL193" i="2"/>
  <c r="EN193" i="2"/>
  <c r="DX193" i="2"/>
  <c r="DY193" i="2" s="1"/>
  <c r="DV193" i="2"/>
  <c r="EE78" i="2"/>
  <c r="EF78" i="2"/>
  <c r="EG78" i="2"/>
  <c r="DW69" i="2"/>
  <c r="EL42" i="2"/>
  <c r="ED42" i="2"/>
  <c r="EG129" i="2"/>
  <c r="EM129" i="2"/>
  <c r="EB129" i="2"/>
  <c r="EE129" i="2"/>
  <c r="EN129" i="2"/>
  <c r="DV129" i="2"/>
  <c r="DW169" i="2"/>
  <c r="EV169" i="2"/>
  <c r="EC51" i="2"/>
  <c r="EF51" i="2"/>
  <c r="EM51" i="2"/>
  <c r="EV51" i="2"/>
  <c r="EO61" i="2"/>
  <c r="EV61" i="2"/>
  <c r="DV61" i="2"/>
  <c r="H173" i="9"/>
  <c r="EQ155" i="2"/>
  <c r="DU155" i="2"/>
  <c r="DV155" i="2"/>
  <c r="DU197" i="2"/>
  <c r="EN197" i="2"/>
  <c r="EA197" i="2"/>
  <c r="ET197" i="2" s="1"/>
  <c r="EV197" i="2"/>
  <c r="EI22" i="2"/>
  <c r="EM22" i="2"/>
  <c r="EF22" i="2"/>
  <c r="EO22" i="2"/>
  <c r="EB62" i="2"/>
  <c r="ED62" i="2"/>
  <c r="EM62" i="2"/>
  <c r="EO62" i="2"/>
  <c r="EJ62" i="2"/>
  <c r="DZ62" i="2"/>
  <c r="EH174" i="2"/>
  <c r="EO127" i="2"/>
  <c r="ES127" i="2"/>
  <c r="EU127" i="2" s="1"/>
  <c r="DU127" i="2"/>
  <c r="EI127" i="2"/>
  <c r="EA127" i="2"/>
  <c r="ET127" i="2" s="1"/>
  <c r="EB127" i="2"/>
  <c r="EK127" i="2"/>
  <c r="EN184" i="2"/>
  <c r="DV184" i="2"/>
  <c r="ER184" i="2"/>
  <c r="EG184" i="2"/>
  <c r="EB184" i="2"/>
  <c r="EJ184" i="2"/>
  <c r="DX184" i="2"/>
  <c r="DY184" i="2" s="1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DX73" i="2"/>
  <c r="DY73" i="2" s="1"/>
  <c r="EM73" i="2"/>
  <c r="ED73" i="2"/>
  <c r="EF73" i="2"/>
  <c r="DZ73" i="2"/>
  <c r="EP73" i="2"/>
  <c r="EJ25" i="2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EP150" i="2"/>
  <c r="DZ150" i="2"/>
  <c r="EF150" i="2"/>
  <c r="DU150" i="2"/>
  <c r="DX150" i="2"/>
  <c r="DY150" i="2" s="1"/>
  <c r="EI150" i="2"/>
  <c r="EH150" i="2"/>
  <c r="EA150" i="2"/>
  <c r="ET150" i="2" s="1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R175" i="2"/>
  <c r="EI175" i="2"/>
  <c r="EN175" i="2"/>
  <c r="ED175" i="2"/>
  <c r="EO175" i="2"/>
  <c r="DW175" i="2"/>
  <c r="EK175" i="2"/>
  <c r="EH175" i="2"/>
  <c r="EB175" i="2"/>
  <c r="EF175" i="2"/>
  <c r="EA175" i="2"/>
  <c r="ET175" i="2" s="1"/>
  <c r="DU175" i="2"/>
  <c r="ES175" i="2"/>
  <c r="EU175" i="2" s="1"/>
  <c r="EL175" i="2"/>
  <c r="DX175" i="2"/>
  <c r="DY175" i="2" s="1"/>
  <c r="EM175" i="2"/>
  <c r="EG175" i="2"/>
  <c r="EJ175" i="2"/>
  <c r="DV175" i="2"/>
  <c r="EV175" i="2"/>
  <c r="EE175" i="2"/>
  <c r="EP175" i="2"/>
  <c r="EC175" i="2"/>
  <c r="EQ175" i="2"/>
  <c r="DZ175" i="2"/>
  <c r="EV131" i="2"/>
  <c r="EP131" i="2"/>
  <c r="ER131" i="2"/>
  <c r="EK131" i="2"/>
  <c r="EO131" i="2"/>
  <c r="DX131" i="2"/>
  <c r="DY131" i="2" s="1"/>
  <c r="ES131" i="2"/>
  <c r="EU131" i="2" s="1"/>
  <c r="EL131" i="2"/>
  <c r="ED131" i="2"/>
  <c r="DU131" i="2"/>
  <c r="DZ131" i="2"/>
  <c r="EH160" i="2"/>
  <c r="EV160" i="2"/>
  <c r="EB160" i="2"/>
  <c r="EQ160" i="2"/>
  <c r="EO160" i="2"/>
  <c r="EJ160" i="2"/>
  <c r="DU160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J122" i="2"/>
  <c r="DW122" i="2"/>
  <c r="EI122" i="2"/>
  <c r="EQ122" i="2"/>
  <c r="EE122" i="2"/>
  <c r="DV122" i="2"/>
  <c r="DX122" i="2"/>
  <c r="DY122" i="2" s="1"/>
  <c r="EB122" i="2"/>
  <c r="ED147" i="2"/>
  <c r="DU147" i="2"/>
  <c r="DW147" i="2"/>
  <c r="EP147" i="2"/>
  <c r="DX147" i="2"/>
  <c r="DY147" i="2" s="1"/>
  <c r="EO147" i="2"/>
  <c r="EN147" i="2"/>
  <c r="ER147" i="2"/>
  <c r="EL147" i="2"/>
  <c r="EK147" i="2"/>
  <c r="EH147" i="2"/>
  <c r="DV147" i="2"/>
  <c r="EM147" i="2"/>
  <c r="EB147" i="2"/>
  <c r="EV147" i="2"/>
  <c r="DZ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N70" i="2"/>
  <c r="EI70" i="2"/>
  <c r="EV70" i="2"/>
  <c r="EQ70" i="2"/>
  <c r="DZ70" i="2"/>
  <c r="EP70" i="2"/>
  <c r="DU70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EC186" i="2"/>
  <c r="EE186" i="2"/>
  <c r="EK186" i="2"/>
  <c r="EG186" i="2"/>
  <c r="EH186" i="2"/>
  <c r="DV186" i="2"/>
  <c r="EN186" i="2"/>
  <c r="EI186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H79" i="2"/>
  <c r="DV79" i="2"/>
  <c r="EV79" i="2"/>
  <c r="EE79" i="2"/>
  <c r="EN79" i="2"/>
  <c r="EO79" i="2"/>
  <c r="EC79" i="2"/>
  <c r="EQ79" i="2"/>
  <c r="EM79" i="2"/>
  <c r="DZ79" i="2"/>
  <c r="EP79" i="2"/>
  <c r="ED44" i="2"/>
  <c r="EI44" i="2"/>
  <c r="EE44" i="2"/>
  <c r="ER44" i="2"/>
  <c r="EN44" i="2"/>
  <c r="EP44" i="2"/>
  <c r="EF44" i="2"/>
  <c r="EA44" i="2"/>
  <c r="ET44" i="2" s="1"/>
  <c r="EO44" i="2"/>
  <c r="DZ44" i="2"/>
  <c r="EB44" i="2"/>
  <c r="EL44" i="2"/>
  <c r="DW44" i="2"/>
  <c r="EC44" i="2"/>
  <c r="EK44" i="2"/>
  <c r="EQ44" i="2"/>
  <c r="EJ44" i="2"/>
  <c r="EG44" i="2"/>
  <c r="EV44" i="2"/>
  <c r="EM44" i="2"/>
  <c r="DV44" i="2"/>
  <c r="ES44" i="2"/>
  <c r="EU44" i="2" s="1"/>
  <c r="EH44" i="2"/>
  <c r="DX44" i="2"/>
  <c r="DY44" i="2" s="1"/>
  <c r="DU44" i="2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N28" i="2"/>
  <c r="EQ28" i="2"/>
  <c r="ER28" i="2"/>
  <c r="EF28" i="2"/>
  <c r="EH28" i="2"/>
  <c r="DX28" i="2"/>
  <c r="DY28" i="2" s="1"/>
  <c r="DW28" i="2"/>
  <c r="ED28" i="2"/>
  <c r="EL28" i="2"/>
  <c r="EG28" i="2"/>
  <c r="DU28" i="2"/>
  <c r="EE28" i="2"/>
  <c r="EC28" i="2"/>
  <c r="EM28" i="2"/>
  <c r="EK28" i="2"/>
  <c r="EO28" i="2"/>
  <c r="EA28" i="2"/>
  <c r="ET28" i="2" s="1"/>
  <c r="EI28" i="2"/>
  <c r="EV28" i="2"/>
  <c r="DV28" i="2"/>
  <c r="ES28" i="2"/>
  <c r="EU28" i="2" s="1"/>
  <c r="EB28" i="2"/>
  <c r="EP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EM18" i="2"/>
  <c r="EC18" i="2"/>
  <c r="DW18" i="2"/>
  <c r="EA18" i="2"/>
  <c r="ET18" i="2" s="1"/>
  <c r="DU18" i="2"/>
  <c r="ES18" i="2"/>
  <c r="EU18" i="2" s="1"/>
  <c r="EQ18" i="2"/>
  <c r="EE18" i="2"/>
  <c r="DX18" i="2"/>
  <c r="DY18" i="2" s="1"/>
  <c r="EL18" i="2"/>
  <c r="EO18" i="2"/>
  <c r="EB18" i="2"/>
  <c r="DV18" i="2"/>
  <c r="ED18" i="2"/>
  <c r="DZ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C96" i="2"/>
  <c r="EM96" i="2"/>
  <c r="EI96" i="2"/>
  <c r="EV96" i="2"/>
  <c r="EJ96" i="2"/>
  <c r="ED96" i="2"/>
  <c r="EF96" i="2"/>
  <c r="EE96" i="2"/>
  <c r="EG96" i="2"/>
  <c r="EA96" i="2"/>
  <c r="ET96" i="2" s="1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B109" i="2"/>
  <c r="DW109" i="2"/>
  <c r="EL109" i="2"/>
  <c r="EK109" i="2"/>
  <c r="ER109" i="2"/>
  <c r="EN109" i="2"/>
  <c r="EJ109" i="2"/>
  <c r="EV109" i="2"/>
  <c r="EG109" i="2"/>
  <c r="EP109" i="2"/>
  <c r="EA109" i="2"/>
  <c r="ET109" i="2" s="1"/>
  <c r="EH109" i="2"/>
  <c r="ES109" i="2"/>
  <c r="EU109" i="2" s="1"/>
  <c r="EO109" i="2"/>
  <c r="DX109" i="2"/>
  <c r="DY109" i="2" s="1"/>
  <c r="EM109" i="2"/>
  <c r="EF109" i="2"/>
  <c r="EE109" i="2"/>
  <c r="DU109" i="2"/>
  <c r="ED109" i="2"/>
  <c r="DV109" i="2"/>
  <c r="EC109" i="2"/>
  <c r="EI109" i="2"/>
  <c r="EQ109" i="2"/>
  <c r="DZ109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S110" i="2"/>
  <c r="EU110" i="2" s="1"/>
  <c r="DU110" i="2"/>
  <c r="EE110" i="2"/>
  <c r="DZ110" i="2"/>
  <c r="EK110" i="2"/>
  <c r="EL110" i="2"/>
  <c r="EQ110" i="2"/>
  <c r="EJ110" i="2"/>
  <c r="ED110" i="2"/>
  <c r="EN110" i="2"/>
  <c r="DV110" i="2"/>
  <c r="EF110" i="2"/>
  <c r="EC110" i="2"/>
  <c r="DW110" i="2"/>
  <c r="DX110" i="2"/>
  <c r="DY110" i="2" s="1"/>
  <c r="EM110" i="2"/>
  <c r="EO110" i="2"/>
  <c r="EH110" i="2"/>
  <c r="EB110" i="2"/>
  <c r="EA110" i="2"/>
  <c r="ET110" i="2" s="1"/>
  <c r="EG110" i="2"/>
  <c r="EI110" i="2"/>
  <c r="EP110" i="2"/>
  <c r="EV110" i="2"/>
  <c r="ER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V172" i="2"/>
  <c r="EQ172" i="2"/>
  <c r="EE172" i="2"/>
  <c r="EJ172" i="2"/>
  <c r="EB172" i="2"/>
  <c r="EO172" i="2"/>
  <c r="ED172" i="2"/>
  <c r="DU172" i="2"/>
  <c r="DV172" i="2"/>
  <c r="ES172" i="2"/>
  <c r="EU172" i="2" s="1"/>
  <c r="EL172" i="2"/>
  <c r="EK172" i="2"/>
  <c r="EH172" i="2"/>
  <c r="EC172" i="2"/>
  <c r="EM172" i="2"/>
  <c r="ER172" i="2"/>
  <c r="EN172" i="2"/>
  <c r="DX172" i="2"/>
  <c r="DY172" i="2" s="1"/>
  <c r="DW172" i="2"/>
  <c r="EA172" i="2"/>
  <c r="ET172" i="2" s="1"/>
  <c r="EF172" i="2"/>
  <c r="EG172" i="2"/>
  <c r="EI172" i="2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V46" i="2"/>
  <c r="EO46" i="2"/>
  <c r="EH46" i="2"/>
  <c r="DZ46" i="2"/>
  <c r="ED46" i="2"/>
  <c r="ER46" i="2"/>
  <c r="EM46" i="2"/>
  <c r="DX46" i="2"/>
  <c r="DY46" i="2" s="1"/>
  <c r="DW46" i="2"/>
  <c r="EE46" i="2"/>
  <c r="EC46" i="2"/>
  <c r="EF46" i="2"/>
  <c r="EN46" i="2"/>
  <c r="EJ46" i="2"/>
  <c r="EQ46" i="2"/>
  <c r="EB46" i="2"/>
  <c r="EG46" i="2"/>
  <c r="ES46" i="2"/>
  <c r="EU46" i="2" s="1"/>
  <c r="EL46" i="2"/>
  <c r="EA46" i="2"/>
  <c r="ET46" i="2" s="1"/>
  <c r="EI46" i="2"/>
  <c r="DU46" i="2"/>
  <c r="EK46" i="2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DV140" i="2"/>
  <c r="EL140" i="2"/>
  <c r="EH140" i="2"/>
  <c r="EA140" i="2"/>
  <c r="ET140" i="2" s="1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L2" i="9" s="1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O21" i="2" l="1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M2" i="9" s="1"/>
  <c r="DV5" i="2"/>
  <c r="N2" i="9" s="1"/>
  <c r="DW5" i="2"/>
  <c r="DX5" i="2" s="1"/>
  <c r="O2" i="9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3" i="1"/>
  <c r="BI12" i="2"/>
  <c r="AQ12" i="2" s="1"/>
  <c r="IY9" i="2"/>
  <c r="EY19" i="2"/>
  <c r="EY18" i="2"/>
  <c r="M34" i="9" s="1"/>
  <c r="EY20" i="2"/>
  <c r="L16" i="9"/>
  <c r="IO3" i="2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24" i="9" l="1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P2" i="9" s="1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7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BM2" i="2" l="1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4" i="2"/>
  <c r="AL14" i="2"/>
  <c r="A18" i="1"/>
  <c r="A19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11" i="2"/>
  <c r="BJ13" i="2"/>
  <c r="BJ12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0" i="2" l="1"/>
  <c r="BJ9" i="2"/>
  <c r="BM9" i="2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Q2" i="9" s="1"/>
  <c r="EK5" i="2"/>
  <c r="EM5" i="2" s="1"/>
  <c r="R2" i="9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CT3" i="2"/>
  <c r="B16" i="5" s="1"/>
  <c r="A13" i="2"/>
  <c r="AL13" i="2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I4" i="2" l="1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EY31" i="2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5" i="2" l="1"/>
  <c r="CT5" i="2"/>
  <c r="B18" i="5" s="1"/>
  <c r="BB5" i="2" s="1"/>
  <c r="CT12" i="2"/>
  <c r="CT23" i="2"/>
  <c r="EY4" i="2"/>
  <c r="EY11" i="2" s="1"/>
  <c r="EY27" i="2" s="1"/>
  <c r="EY7" i="2"/>
  <c r="EY14" i="2" s="1"/>
  <c r="EY6" i="2"/>
  <c r="EY13" i="2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EY30" i="2"/>
  <c r="B13" i="9"/>
  <c r="EY28" i="2"/>
  <c r="Q17" i="9"/>
  <c r="CT14" i="2"/>
  <c r="CT6" i="2"/>
  <c r="B19" i="5" s="1"/>
  <c r="BB6" i="2" s="1"/>
  <c r="Q13" i="9" l="1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12" i="2"/>
  <c r="AJ23" i="2"/>
  <c r="CY18" i="2"/>
  <c r="CY14" i="2"/>
  <c r="CY25" i="2"/>
  <c r="CY23" i="2"/>
  <c r="AJ19" i="2"/>
  <c r="AJ16" i="2"/>
  <c r="CY12" i="2"/>
  <c r="CY21" i="2"/>
  <c r="AJ17" i="2"/>
  <c r="AJ15" i="2"/>
  <c r="AJ22" i="2"/>
  <c r="CY20" i="2"/>
  <c r="CY22" i="2"/>
  <c r="AJ20" i="2"/>
  <c r="AJ14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32" i="1" l="1"/>
  <c r="CY13" i="2" s="1"/>
  <c r="CY5" i="2"/>
  <c r="G33" i="9" s="1"/>
  <c r="CY26" i="2"/>
  <c r="CY19" i="2"/>
  <c r="AJ25" i="2"/>
  <c r="CY15" i="2"/>
  <c r="CY16" i="2"/>
  <c r="AJ13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J160" i="5" l="1"/>
  <c r="CY8" i="2"/>
  <c r="A32" i="2"/>
  <c r="AL32" i="2"/>
  <c r="F122" i="5"/>
  <c r="E129" i="5"/>
  <c r="F78" i="5"/>
  <c r="H92" i="5"/>
  <c r="I102" i="5"/>
  <c r="I77" i="5"/>
  <c r="J24" i="5"/>
  <c r="CY10" i="2"/>
  <c r="AJ10" i="2"/>
  <c r="CY9" i="2"/>
  <c r="A31" i="2"/>
  <c r="AL31" i="2"/>
  <c r="AL30" i="2"/>
  <c r="A30" i="2"/>
  <c r="I121" i="5"/>
  <c r="AJ9" i="2"/>
  <c r="H68" i="5"/>
  <c r="E31" i="5"/>
  <c r="G171" i="5"/>
  <c r="H35" i="5"/>
  <c r="G135" i="5"/>
  <c r="AJ6" i="2"/>
  <c r="F77" i="5"/>
  <c r="H115" i="5"/>
  <c r="J102" i="5"/>
  <c r="H102" i="5"/>
  <c r="E97" i="5"/>
  <c r="E116" i="5"/>
  <c r="F42" i="5"/>
  <c r="E66" i="5"/>
  <c r="F38" i="5"/>
  <c r="G41" i="5"/>
  <c r="F95" i="5"/>
  <c r="J34" i="5"/>
  <c r="F166" i="5"/>
  <c r="F86" i="5"/>
  <c r="AJ7" i="2"/>
  <c r="CY7" i="2"/>
  <c r="AJ8" i="2"/>
  <c r="I175" i="5"/>
  <c r="E45" i="5"/>
  <c r="G98" i="5"/>
  <c r="G174" i="5"/>
  <c r="F154" i="5"/>
  <c r="H154" i="5"/>
  <c r="G93" i="5"/>
  <c r="H139" i="5"/>
  <c r="F83" i="5"/>
  <c r="J81" i="5"/>
  <c r="I176" i="5"/>
  <c r="E126" i="5"/>
  <c r="I85" i="5"/>
  <c r="J62" i="5"/>
  <c r="I161" i="5"/>
  <c r="J166" i="5"/>
  <c r="F168" i="5"/>
  <c r="G140" i="5"/>
  <c r="H52" i="5"/>
  <c r="I157" i="5"/>
  <c r="I130" i="5"/>
  <c r="J173" i="5"/>
  <c r="G72" i="5"/>
  <c r="H133" i="5"/>
  <c r="E120" i="5"/>
  <c r="I133" i="5"/>
  <c r="I55" i="5"/>
  <c r="I46" i="5"/>
  <c r="E165" i="5"/>
  <c r="E62" i="5"/>
  <c r="E47" i="5"/>
  <c r="I116" i="5"/>
  <c r="G182" i="5"/>
  <c r="E35" i="5"/>
  <c r="H144" i="5"/>
  <c r="H162" i="5"/>
  <c r="E95" i="5"/>
  <c r="AJ5" i="2"/>
  <c r="CY6" i="2"/>
  <c r="E157" i="5"/>
  <c r="AJ4" i="2"/>
  <c r="CY4" i="2"/>
  <c r="H64" i="5"/>
  <c r="CY3" i="2"/>
  <c r="AJ3" i="2"/>
  <c r="G130" i="5"/>
  <c r="E188" i="5"/>
  <c r="G60" i="5"/>
  <c r="H176" i="5"/>
  <c r="I164" i="5"/>
  <c r="E121" i="5"/>
  <c r="J140" i="5"/>
  <c r="I29" i="5"/>
  <c r="F134" i="5"/>
  <c r="E104" i="5"/>
  <c r="E92" i="5"/>
  <c r="G152" i="5"/>
  <c r="J114" i="5"/>
  <c r="E190" i="5"/>
  <c r="H45" i="5"/>
  <c r="J149" i="5"/>
  <c r="F144" i="5"/>
  <c r="J46" i="5"/>
  <c r="G29" i="5"/>
  <c r="H41" i="5"/>
  <c r="F43" i="5"/>
  <c r="I69" i="5"/>
  <c r="H116" i="5"/>
  <c r="H81" i="5"/>
  <c r="E38" i="5"/>
  <c r="F108" i="5"/>
  <c r="I135" i="5"/>
  <c r="G45" i="5"/>
  <c r="J64" i="5"/>
  <c r="E79" i="5"/>
  <c r="E36" i="5"/>
  <c r="E201" i="5"/>
  <c r="E150" i="5"/>
  <c r="G114" i="5"/>
  <c r="E182" i="5"/>
  <c r="I40" i="5"/>
  <c r="G64" i="5"/>
  <c r="G158" i="5"/>
  <c r="E117" i="5"/>
  <c r="G128" i="5"/>
  <c r="F175" i="5"/>
  <c r="J4" i="5"/>
  <c r="G172" i="5"/>
  <c r="I172" i="5"/>
  <c r="F59" i="5"/>
  <c r="I36" i="5"/>
  <c r="G47" i="5"/>
  <c r="F66" i="5"/>
  <c r="G105" i="5"/>
  <c r="E112" i="5"/>
  <c r="F53" i="5"/>
  <c r="J36" i="5"/>
  <c r="E136" i="5"/>
  <c r="I62" i="5"/>
  <c r="E137" i="5"/>
  <c r="J161" i="5"/>
  <c r="F56" i="5"/>
  <c r="F121" i="5"/>
  <c r="H56" i="5"/>
  <c r="J164" i="5"/>
  <c r="G85" i="5"/>
  <c r="F137" i="5"/>
  <c r="G189" i="5"/>
  <c r="I155" i="5"/>
  <c r="G61" i="5"/>
  <c r="I90" i="5"/>
  <c r="I117" i="5"/>
  <c r="G51" i="5"/>
  <c r="I57" i="5"/>
  <c r="G159" i="5"/>
  <c r="F123" i="5"/>
  <c r="I76" i="5"/>
  <c r="G161" i="5"/>
  <c r="AJ2" i="2"/>
  <c r="CY2" i="2"/>
  <c r="BB3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E32" i="5"/>
  <c r="I34" i="5"/>
  <c r="J15" i="5"/>
  <c r="H86" i="5"/>
  <c r="E41" i="5"/>
  <c r="H61" i="5"/>
  <c r="H151" i="5"/>
  <c r="E156" i="5"/>
  <c r="I65" i="5"/>
  <c r="G81" i="5"/>
  <c r="I97" i="5"/>
  <c r="H149" i="5"/>
  <c r="H197" i="5"/>
  <c r="E119" i="5"/>
  <c r="F46" i="5"/>
  <c r="H180" i="5"/>
  <c r="H128" i="5"/>
  <c r="I167" i="5"/>
  <c r="H108" i="5"/>
  <c r="I110" i="5"/>
  <c r="H155" i="5"/>
  <c r="J49" i="5"/>
  <c r="F75" i="5"/>
  <c r="J159" i="5"/>
  <c r="H76" i="5"/>
  <c r="J145" i="5"/>
  <c r="F115" i="5"/>
  <c r="E172" i="5"/>
  <c r="H42" i="5"/>
  <c r="E160" i="5"/>
  <c r="I173" i="5"/>
  <c r="F81" i="5"/>
  <c r="J68" i="5"/>
  <c r="I52" i="5"/>
  <c r="I134" i="5"/>
  <c r="J75" i="5"/>
  <c r="E166" i="5"/>
  <c r="G145" i="5"/>
  <c r="I89" i="5"/>
  <c r="H37" i="5"/>
  <c r="H198" i="5"/>
  <c r="H159" i="5"/>
  <c r="I177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J99" i="5"/>
  <c r="H143" i="5"/>
  <c r="E168" i="5"/>
  <c r="F178" i="5"/>
  <c r="G107" i="5"/>
  <c r="E141" i="5"/>
  <c r="I93" i="5"/>
  <c r="G86" i="5"/>
  <c r="E180" i="5"/>
  <c r="H85" i="5"/>
  <c r="F129" i="5"/>
  <c r="E74" i="5"/>
  <c r="I48" i="5"/>
  <c r="G112" i="5"/>
  <c r="F90" i="5"/>
  <c r="J57" i="5"/>
  <c r="H167" i="5"/>
  <c r="I39" i="5"/>
  <c r="F183" i="5"/>
  <c r="J17" i="5"/>
  <c r="G58" i="5"/>
  <c r="J108" i="5"/>
  <c r="I51" i="5"/>
  <c r="I136" i="5"/>
  <c r="F197" i="5"/>
  <c r="H183" i="5"/>
  <c r="H135" i="5"/>
  <c r="I98" i="5"/>
  <c r="J157" i="5"/>
  <c r="F139" i="5"/>
  <c r="E44" i="5"/>
  <c r="I84" i="5"/>
  <c r="G90" i="5"/>
  <c r="J29" i="5"/>
  <c r="H114" i="5"/>
  <c r="H173" i="5"/>
  <c r="F100" i="5"/>
  <c r="G99" i="5"/>
  <c r="J121" i="5"/>
  <c r="F157" i="5"/>
  <c r="F31" i="5"/>
  <c r="I43" i="5"/>
  <c r="E96" i="5"/>
  <c r="F187" i="5"/>
  <c r="G55" i="5"/>
  <c r="H112" i="5"/>
  <c r="G180" i="5"/>
  <c r="H44" i="5"/>
  <c r="J184" i="5"/>
  <c r="G76" i="5"/>
  <c r="J122" i="5"/>
  <c r="E65" i="5"/>
  <c r="H191" i="5"/>
  <c r="H49" i="5"/>
  <c r="G50" i="5"/>
  <c r="E56" i="5"/>
  <c r="G170" i="5"/>
  <c r="J93" i="5"/>
  <c r="I188" i="5"/>
  <c r="F171" i="5"/>
  <c r="G59" i="5"/>
  <c r="J40" i="5"/>
  <c r="G89" i="5"/>
  <c r="I53" i="5"/>
  <c r="G57" i="5"/>
  <c r="J69" i="5"/>
  <c r="F60" i="5"/>
  <c r="F70" i="5"/>
  <c r="E159" i="5"/>
  <c r="I66" i="5"/>
  <c r="G151" i="5"/>
  <c r="I33" i="5"/>
  <c r="H172" i="5"/>
  <c r="I196" i="5"/>
  <c r="E167" i="5"/>
  <c r="F96" i="5"/>
  <c r="G70" i="5"/>
  <c r="I54" i="5"/>
  <c r="H107" i="5"/>
  <c r="H99" i="5"/>
  <c r="G32" i="5"/>
  <c r="J126" i="5"/>
  <c r="E51" i="5"/>
  <c r="G134" i="5"/>
  <c r="J104" i="5"/>
  <c r="H97" i="5"/>
  <c r="E122" i="5"/>
  <c r="F126" i="5"/>
  <c r="F57" i="5"/>
  <c r="E163" i="5"/>
  <c r="G178" i="5"/>
  <c r="H190" i="5"/>
  <c r="J141" i="5"/>
  <c r="G168" i="5"/>
  <c r="J158" i="5"/>
  <c r="H110" i="5"/>
  <c r="E88" i="5"/>
  <c r="G156" i="5"/>
  <c r="J38" i="5"/>
  <c r="I163" i="5"/>
  <c r="F107" i="5"/>
  <c r="G94" i="5"/>
  <c r="CY11" i="2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J80" i="5"/>
  <c r="H160" i="5"/>
  <c r="E103" i="5"/>
  <c r="E178" i="5"/>
  <c r="G167" i="5"/>
  <c r="H60" i="5"/>
  <c r="H120" i="5"/>
  <c r="J23" i="5"/>
  <c r="J83" i="5"/>
  <c r="H71" i="5"/>
  <c r="E183" i="5"/>
  <c r="H34" i="5"/>
  <c r="J198" i="5"/>
  <c r="H113" i="5"/>
  <c r="E90" i="5"/>
  <c r="E106" i="5"/>
  <c r="H123" i="5"/>
  <c r="J103" i="5"/>
  <c r="J37" i="5"/>
  <c r="I184" i="5"/>
  <c r="J25" i="5"/>
  <c r="H199" i="5"/>
  <c r="F40" i="5"/>
  <c r="J54" i="5"/>
  <c r="I30" i="5"/>
  <c r="G75" i="5"/>
  <c r="I83" i="5"/>
  <c r="J119" i="5"/>
  <c r="G165" i="5"/>
  <c r="J123" i="5"/>
  <c r="F89" i="5"/>
  <c r="J65" i="5"/>
  <c r="J22" i="5"/>
  <c r="J61" i="5"/>
  <c r="J6" i="5"/>
  <c r="F65" i="5"/>
  <c r="J142" i="5"/>
  <c r="I95" i="5"/>
  <c r="H95" i="5"/>
  <c r="F149" i="5"/>
  <c r="J33" i="5"/>
  <c r="E85" i="5"/>
  <c r="J39" i="5"/>
  <c r="H184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E72" i="5"/>
  <c r="F48" i="5"/>
  <c r="G184" i="5"/>
  <c r="I128" i="5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F74" i="5"/>
  <c r="F161" i="5"/>
  <c r="E130" i="5"/>
  <c r="G115" i="5"/>
  <c r="F145" i="5"/>
  <c r="H196" i="5"/>
  <c r="I151" i="5"/>
  <c r="F164" i="5"/>
  <c r="G137" i="5"/>
  <c r="G123" i="5"/>
  <c r="J53" i="5"/>
  <c r="F199" i="5"/>
  <c r="F152" i="5"/>
  <c r="H72" i="5"/>
  <c r="G186" i="5"/>
  <c r="J28" i="5"/>
  <c r="J35" i="5"/>
  <c r="F67" i="5"/>
  <c r="I107" i="5"/>
  <c r="E177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J60" i="5"/>
  <c r="J179" i="5"/>
  <c r="I79" i="5"/>
  <c r="H104" i="5"/>
  <c r="J156" i="5"/>
  <c r="F51" i="5"/>
  <c r="I120" i="5"/>
  <c r="F33" i="5"/>
  <c r="J56" i="5"/>
  <c r="H47" i="5"/>
  <c r="J51" i="5"/>
  <c r="F94" i="5"/>
  <c r="G40" i="5"/>
  <c r="F201" i="5"/>
  <c r="F44" i="5"/>
  <c r="J55" i="5"/>
  <c r="I156" i="5"/>
  <c r="J91" i="5"/>
  <c r="J171" i="5"/>
  <c r="H77" i="5"/>
  <c r="F173" i="5"/>
  <c r="J79" i="5"/>
  <c r="F91" i="5"/>
  <c r="E145" i="5"/>
  <c r="J106" i="5"/>
  <c r="J21" i="5"/>
  <c r="F143" i="5"/>
  <c r="H152" i="5"/>
  <c r="G126" i="5"/>
  <c r="E52" i="5"/>
  <c r="E198" i="5"/>
  <c r="H39" i="5"/>
  <c r="J101" i="5"/>
  <c r="I94" i="5"/>
  <c r="E196" i="5"/>
  <c r="E134" i="5"/>
  <c r="E64" i="5"/>
  <c r="E37" i="5"/>
  <c r="J139" i="5"/>
  <c r="J100" i="5"/>
  <c r="G122" i="5"/>
  <c r="I49" i="5"/>
  <c r="H38" i="5"/>
  <c r="F198" i="5"/>
  <c r="E40" i="5"/>
  <c r="I70" i="5"/>
  <c r="I190" i="5"/>
  <c r="J201" i="5"/>
  <c r="I37" i="5"/>
  <c r="J197" i="5"/>
  <c r="G127" i="5"/>
  <c r="I146" i="5"/>
  <c r="J88" i="5"/>
  <c r="H50" i="5"/>
  <c r="F101" i="5"/>
  <c r="G102" i="5"/>
  <c r="I147" i="5"/>
  <c r="J183" i="5"/>
  <c r="F84" i="5"/>
  <c r="F88" i="5"/>
  <c r="I104" i="5"/>
  <c r="E61" i="5"/>
  <c r="F147" i="5"/>
  <c r="J58" i="5"/>
  <c r="G196" i="5"/>
  <c r="F188" i="5"/>
  <c r="G108" i="5"/>
  <c r="H78" i="5"/>
  <c r="I88" i="5"/>
  <c r="E158" i="5"/>
  <c r="F103" i="5"/>
  <c r="G110" i="5"/>
  <c r="F131" i="5"/>
  <c r="J8" i="5"/>
  <c r="E162" i="5"/>
  <c r="G82" i="5"/>
  <c r="H30" i="5"/>
  <c r="E68" i="5"/>
  <c r="E75" i="5"/>
  <c r="J147" i="5"/>
  <c r="E189" i="5"/>
  <c r="F120" i="5"/>
  <c r="G77" i="5"/>
  <c r="E200" i="5"/>
  <c r="J190" i="5"/>
  <c r="I182" i="5"/>
  <c r="I32" i="5"/>
  <c r="I168" i="5"/>
  <c r="J129" i="5"/>
  <c r="I201" i="5"/>
  <c r="F192" i="5"/>
  <c r="I186" i="5"/>
  <c r="H174" i="5"/>
  <c r="J105" i="5"/>
  <c r="F85" i="5"/>
  <c r="J178" i="5"/>
  <c r="E39" i="5"/>
  <c r="E67" i="5"/>
  <c r="G191" i="5"/>
  <c r="H147" i="5"/>
  <c r="F140" i="5"/>
  <c r="J18" i="5"/>
  <c r="J134" i="5"/>
  <c r="G54" i="5"/>
  <c r="G106" i="5"/>
  <c r="E80" i="5"/>
  <c r="H111" i="5"/>
  <c r="F73" i="5"/>
  <c r="E195" i="5"/>
  <c r="I115" i="5"/>
  <c r="F49" i="5"/>
  <c r="H187" i="5"/>
  <c r="I47" i="5"/>
  <c r="E110" i="5"/>
  <c r="I100" i="5"/>
  <c r="I67" i="5"/>
  <c r="H146" i="5"/>
  <c r="E48" i="5"/>
  <c r="H106" i="5"/>
  <c r="F158" i="5"/>
  <c r="J188" i="5"/>
  <c r="G124" i="5"/>
  <c r="F61" i="5"/>
  <c r="J127" i="5"/>
  <c r="E42" i="5"/>
  <c r="E125" i="5"/>
  <c r="F153" i="5"/>
  <c r="G195" i="5"/>
  <c r="I56" i="5"/>
  <c r="I200" i="5"/>
  <c r="J31" i="5"/>
  <c r="F130" i="5"/>
  <c r="G150" i="5"/>
  <c r="E100" i="5"/>
  <c r="G56" i="5"/>
  <c r="G125" i="5"/>
  <c r="H168" i="5"/>
  <c r="H126" i="5"/>
  <c r="J47" i="5"/>
  <c r="J153" i="5"/>
  <c r="E34" i="5"/>
  <c r="I131" i="5"/>
  <c r="E169" i="5"/>
  <c r="G188" i="5"/>
  <c r="J44" i="5"/>
  <c r="E171" i="5"/>
  <c r="J195" i="5"/>
  <c r="J74" i="5"/>
  <c r="G193" i="5"/>
  <c r="G199" i="5"/>
  <c r="H98" i="5"/>
  <c r="E170" i="5"/>
  <c r="F195" i="5"/>
  <c r="F39" i="5"/>
  <c r="J12" i="5"/>
  <c r="J13" i="5"/>
  <c r="E153" i="5"/>
  <c r="E199" i="5"/>
  <c r="H119" i="5"/>
  <c r="F191" i="5"/>
  <c r="G136" i="5"/>
  <c r="H105" i="5"/>
  <c r="E71" i="5"/>
  <c r="J3" i="5"/>
  <c r="F102" i="5"/>
  <c r="H54" i="5"/>
  <c r="I153" i="5"/>
  <c r="H75" i="5"/>
  <c r="G160" i="5"/>
  <c r="G49" i="5"/>
  <c r="E152" i="5"/>
  <c r="I187" i="5"/>
  <c r="F45" i="5"/>
  <c r="I197" i="5"/>
  <c r="J165" i="5"/>
  <c r="J70" i="5"/>
  <c r="H51" i="5"/>
  <c r="I99" i="5"/>
  <c r="I78" i="5"/>
  <c r="F159" i="5"/>
  <c r="H182" i="5"/>
  <c r="I75" i="5"/>
  <c r="G194" i="5"/>
  <c r="E84" i="5"/>
  <c r="E192" i="5"/>
  <c r="J14" i="5"/>
  <c r="I105" i="5"/>
  <c r="E175" i="5"/>
  <c r="E33" i="5"/>
  <c r="E197" i="5"/>
  <c r="I192" i="5"/>
  <c r="G153" i="5"/>
  <c r="E143" i="5"/>
  <c r="G52" i="5"/>
  <c r="E132" i="5"/>
  <c r="F155" i="5"/>
  <c r="F118" i="5"/>
  <c r="I38" i="5"/>
  <c r="E99" i="5"/>
  <c r="H122" i="5"/>
  <c r="J71" i="5"/>
  <c r="H129" i="5"/>
  <c r="J109" i="5"/>
  <c r="H158" i="5"/>
  <c r="G142" i="5"/>
  <c r="G63" i="5"/>
  <c r="F29" i="5"/>
  <c r="I126" i="5"/>
  <c r="E53" i="5"/>
  <c r="H103" i="5"/>
  <c r="I169" i="5"/>
  <c r="J187" i="5"/>
  <c r="G148" i="5"/>
  <c r="J125" i="5"/>
  <c r="F136" i="5"/>
  <c r="E191" i="5"/>
  <c r="E46" i="5"/>
  <c r="G133" i="5"/>
  <c r="I82" i="5"/>
  <c r="F52" i="5"/>
  <c r="G155" i="5"/>
  <c r="I122" i="5"/>
  <c r="J87" i="5"/>
  <c r="J7" i="5"/>
  <c r="G96" i="5"/>
  <c r="J154" i="5"/>
  <c r="G44" i="5"/>
  <c r="I101" i="5"/>
  <c r="H57" i="5"/>
  <c r="I129" i="5"/>
  <c r="I125" i="5"/>
  <c r="I60" i="5"/>
  <c r="H177" i="5"/>
  <c r="E144" i="5"/>
  <c r="H82" i="5"/>
  <c r="J82" i="5"/>
  <c r="E193" i="5"/>
  <c r="H55" i="5"/>
  <c r="J135" i="5"/>
  <c r="H200" i="5"/>
  <c r="J78" i="5"/>
  <c r="J27" i="5"/>
  <c r="I45" i="5"/>
  <c r="I68" i="5"/>
  <c r="J175" i="5"/>
  <c r="J72" i="5"/>
  <c r="J130" i="5"/>
  <c r="F68" i="5"/>
  <c r="F106" i="5"/>
  <c r="H179" i="5"/>
  <c r="F200" i="5"/>
  <c r="H58" i="5"/>
  <c r="H117" i="5"/>
  <c r="I180" i="5"/>
  <c r="E54" i="5"/>
  <c r="E139" i="5"/>
  <c r="F141" i="5"/>
  <c r="H65" i="5"/>
  <c r="H91" i="5"/>
  <c r="J84" i="5"/>
  <c r="F116" i="5"/>
  <c r="E59" i="5"/>
  <c r="G143" i="5"/>
  <c r="H80" i="5"/>
  <c r="G139" i="5"/>
  <c r="J85" i="5"/>
  <c r="I150" i="5"/>
  <c r="H96" i="5"/>
  <c r="G129" i="5"/>
  <c r="J111" i="5"/>
  <c r="F37" i="5"/>
  <c r="F151" i="5"/>
  <c r="G53" i="5"/>
  <c r="H171" i="5"/>
  <c r="H69" i="5"/>
  <c r="E135" i="5"/>
  <c r="J50" i="5"/>
  <c r="H83" i="5"/>
  <c r="F117" i="5"/>
  <c r="F114" i="5"/>
  <c r="J115" i="5"/>
  <c r="F112" i="5"/>
  <c r="F127" i="5"/>
  <c r="H118" i="5"/>
  <c r="G100" i="5"/>
  <c r="F54" i="5"/>
  <c r="E109" i="5"/>
  <c r="J116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J92" i="5"/>
  <c r="J186" i="5"/>
  <c r="F111" i="5"/>
  <c r="I73" i="5"/>
  <c r="J10" i="5"/>
  <c r="I111" i="5"/>
  <c r="H131" i="5"/>
  <c r="H189" i="5"/>
  <c r="G62" i="5"/>
  <c r="J168" i="5"/>
  <c r="I170" i="5"/>
  <c r="H93" i="5"/>
  <c r="H46" i="5"/>
  <c r="I31" i="5"/>
  <c r="H88" i="5"/>
  <c r="E57" i="5"/>
  <c r="E63" i="5"/>
  <c r="I74" i="5"/>
  <c r="G177" i="5"/>
  <c r="E81" i="5"/>
  <c r="F34" i="5"/>
  <c r="I174" i="5"/>
  <c r="H33" i="5"/>
  <c r="I165" i="5"/>
  <c r="I109" i="5"/>
  <c r="J167" i="5"/>
  <c r="H137" i="5"/>
  <c r="G71" i="5"/>
  <c r="E94" i="5"/>
  <c r="G117" i="5"/>
  <c r="I50" i="5"/>
  <c r="I103" i="5"/>
  <c r="I127" i="5"/>
  <c r="E140" i="5"/>
  <c r="H62" i="5"/>
  <c r="J174" i="5"/>
  <c r="J133" i="5"/>
  <c r="G185" i="5"/>
  <c r="E50" i="5"/>
  <c r="H192" i="5"/>
  <c r="E43" i="5"/>
  <c r="F179" i="5"/>
  <c r="I86" i="5"/>
  <c r="J43" i="5"/>
  <c r="F87" i="5"/>
  <c r="G83" i="5"/>
  <c r="J9" i="5"/>
  <c r="J143" i="5"/>
  <c r="J63" i="5"/>
  <c r="H164" i="5"/>
  <c r="G116" i="5"/>
  <c r="G157" i="5"/>
  <c r="E146" i="5"/>
  <c r="E83" i="5"/>
  <c r="G39" i="5"/>
  <c r="F133" i="5"/>
  <c r="H87" i="5"/>
  <c r="J128" i="5"/>
  <c r="G179" i="5"/>
  <c r="H31" i="5"/>
  <c r="F196" i="5"/>
  <c r="E173" i="5"/>
  <c r="I191" i="5"/>
  <c r="F63" i="5"/>
  <c r="H36" i="5"/>
  <c r="G109" i="5"/>
  <c r="J20" i="5"/>
  <c r="J194" i="5"/>
  <c r="J2" i="5"/>
  <c r="E149" i="5"/>
  <c r="G164" i="5"/>
  <c r="F185" i="5"/>
  <c r="F142" i="5"/>
  <c r="F132" i="5"/>
  <c r="I141" i="5"/>
  <c r="I194" i="5"/>
  <c r="I193" i="5"/>
  <c r="H109" i="5"/>
  <c r="H157" i="5"/>
  <c r="J52" i="5"/>
  <c r="J131" i="5"/>
  <c r="H195" i="5"/>
  <c r="F181" i="5"/>
  <c r="F47" i="5"/>
  <c r="I138" i="5"/>
  <c r="H63" i="5"/>
  <c r="J169" i="5"/>
  <c r="J89" i="5"/>
  <c r="H32" i="5"/>
  <c r="G190" i="5"/>
  <c r="E55" i="5"/>
  <c r="F71" i="5"/>
  <c r="E29" i="5"/>
  <c r="G132" i="5"/>
  <c r="E78" i="5"/>
  <c r="F124" i="5"/>
  <c r="G69" i="5"/>
  <c r="H121" i="5"/>
  <c r="J144" i="5"/>
  <c r="J146" i="5"/>
  <c r="E128" i="5"/>
  <c r="G198" i="5"/>
  <c r="J59" i="5"/>
  <c r="I81" i="5"/>
  <c r="E91" i="5"/>
  <c r="J177" i="5"/>
  <c r="E124" i="5"/>
  <c r="J118" i="5"/>
  <c r="F186" i="5"/>
  <c r="E194" i="5"/>
  <c r="F180" i="5"/>
  <c r="H194" i="5"/>
  <c r="H169" i="5"/>
  <c r="G181" i="5"/>
  <c r="E147" i="5"/>
  <c r="G33" i="5"/>
  <c r="G95" i="5"/>
  <c r="E93" i="5"/>
  <c r="I183" i="5"/>
  <c r="I91" i="5"/>
  <c r="G80" i="5"/>
  <c r="H185" i="5"/>
  <c r="G166" i="5"/>
  <c r="J67" i="5"/>
  <c r="F176" i="5"/>
  <c r="J124" i="5"/>
  <c r="J76" i="5"/>
  <c r="H175" i="5"/>
  <c r="E127" i="5"/>
  <c r="F98" i="5"/>
  <c r="G101" i="5"/>
  <c r="H125" i="5"/>
  <c r="H178" i="5"/>
  <c r="G37" i="5"/>
  <c r="G183" i="5"/>
  <c r="I198" i="5"/>
  <c r="J41" i="5"/>
  <c r="F97" i="5"/>
  <c r="I114" i="5"/>
  <c r="H53" i="5"/>
  <c r="I185" i="5"/>
  <c r="E69" i="5"/>
  <c r="F119" i="5"/>
  <c r="I166" i="5"/>
  <c r="G119" i="5"/>
  <c r="G146" i="5"/>
  <c r="F182" i="5"/>
  <c r="H90" i="5"/>
  <c r="F92" i="5"/>
  <c r="E101" i="5"/>
  <c r="F50" i="5"/>
  <c r="E114" i="5"/>
  <c r="H193" i="5"/>
  <c r="E73" i="5"/>
  <c r="I137" i="5"/>
  <c r="I142" i="5"/>
  <c r="G38" i="5"/>
  <c r="F169" i="5"/>
  <c r="G154" i="5"/>
  <c r="F113" i="5"/>
  <c r="F32" i="5"/>
  <c r="F62" i="5"/>
  <c r="G138" i="5"/>
  <c r="J77" i="5"/>
  <c r="F167" i="5"/>
  <c r="E148" i="5"/>
  <c r="I154" i="5"/>
  <c r="H48" i="5"/>
  <c r="G87" i="5"/>
  <c r="H156" i="5"/>
  <c r="I123" i="5"/>
  <c r="J98" i="5"/>
  <c r="G147" i="5"/>
  <c r="F170" i="5"/>
  <c r="F93" i="5"/>
  <c r="E87" i="5"/>
  <c r="H150" i="5"/>
  <c r="G200" i="5"/>
  <c r="G175" i="5"/>
  <c r="E154" i="5"/>
  <c r="G35" i="5"/>
  <c r="E58" i="5"/>
  <c r="H130" i="5"/>
  <c r="J152" i="5"/>
  <c r="H67" i="5"/>
  <c r="E131" i="5"/>
  <c r="I199" i="5"/>
  <c r="E115" i="5"/>
  <c r="H84" i="5"/>
  <c r="H132" i="5"/>
  <c r="F148" i="5"/>
  <c r="E142" i="5"/>
  <c r="E181" i="5"/>
  <c r="G30" i="5"/>
  <c r="H141" i="5"/>
  <c r="J110" i="5"/>
  <c r="J151" i="5"/>
  <c r="E123" i="5"/>
  <c r="G111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H201" i="5"/>
  <c r="E174" i="5"/>
  <c r="J45" i="5"/>
  <c r="G113" i="5"/>
  <c r="E186" i="5"/>
  <c r="H188" i="5"/>
  <c r="F82" i="5"/>
  <c r="H163" i="5"/>
  <c r="J155" i="5"/>
  <c r="H148" i="5"/>
  <c r="F172" i="5"/>
  <c r="I171" i="5"/>
  <c r="J182" i="5"/>
  <c r="G66" i="5"/>
  <c r="G163" i="5"/>
  <c r="J192" i="5"/>
  <c r="E89" i="5"/>
  <c r="H142" i="5"/>
  <c r="H166" i="5"/>
  <c r="J112" i="5"/>
  <c r="G46" i="5"/>
  <c r="E161" i="5"/>
  <c r="E76" i="5"/>
  <c r="AL29" i="2"/>
  <c r="A29" i="2"/>
  <c r="CY29" i="2"/>
  <c r="AJ29" i="2"/>
  <c r="AK29" i="2" s="1"/>
  <c r="K33" i="9"/>
  <c r="I33" i="9"/>
  <c r="H33" i="9"/>
  <c r="J33" i="9"/>
  <c r="G28" i="9"/>
  <c r="AK23" i="2"/>
  <c r="AK15" i="2"/>
  <c r="I31" i="9"/>
  <c r="K32" i="9"/>
  <c r="J28" i="9"/>
  <c r="K26" i="9"/>
  <c r="G25" i="9"/>
  <c r="K25" i="9"/>
  <c r="AK25" i="2"/>
  <c r="J27" i="9"/>
  <c r="K27" i="9"/>
  <c r="H26" i="9"/>
  <c r="K28" i="9"/>
  <c r="AK12" i="2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AK16" i="2"/>
  <c r="J31" i="9"/>
  <c r="H28" i="9"/>
  <c r="J25" i="9"/>
  <c r="J32" i="9"/>
  <c r="K29" i="9"/>
  <c r="AK22" i="2"/>
  <c r="AK17" i="2"/>
  <c r="AK26" i="2"/>
  <c r="G26" i="9"/>
  <c r="K31" i="9"/>
  <c r="I26" i="9"/>
  <c r="I29" i="9"/>
  <c r="I32" i="9"/>
  <c r="AK14" i="2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AK13" i="2" l="1"/>
  <c r="K24" i="9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G12" i="9"/>
  <c r="AK10" i="2"/>
  <c r="J13" i="9"/>
  <c r="H13" i="9"/>
  <c r="I12" i="9"/>
  <c r="K13" i="9"/>
  <c r="I13" i="9"/>
  <c r="G13" i="9"/>
  <c r="H12" i="9"/>
  <c r="J12" i="9"/>
  <c r="K12" i="9"/>
  <c r="J11" i="9"/>
  <c r="H11" i="9"/>
  <c r="K11" i="9"/>
  <c r="G11" i="9"/>
  <c r="I11" i="9"/>
  <c r="K10" i="9"/>
  <c r="AK9" i="2"/>
  <c r="AK8" i="2"/>
  <c r="I10" i="9"/>
  <c r="H10" i="9"/>
  <c r="G10" i="9"/>
  <c r="J10" i="9"/>
  <c r="H9" i="9"/>
  <c r="AK7" i="2"/>
  <c r="K9" i="9"/>
  <c r="J9" i="9"/>
  <c r="I9" i="9"/>
  <c r="G9" i="9"/>
  <c r="AK6" i="2"/>
  <c r="I8" i="9"/>
  <c r="K8" i="9"/>
  <c r="J8" i="9"/>
  <c r="H8" i="9"/>
  <c r="G8" i="9"/>
  <c r="G6" i="9"/>
  <c r="K7" i="9"/>
  <c r="AK5" i="2"/>
  <c r="K6" i="9"/>
  <c r="H6" i="9"/>
  <c r="G7" i="9"/>
  <c r="J6" i="9"/>
  <c r="I7" i="9"/>
  <c r="J7" i="9"/>
  <c r="I6" i="9"/>
  <c r="H7" i="9"/>
  <c r="AK3" i="2"/>
  <c r="H4" i="9"/>
  <c r="AK4" i="2"/>
  <c r="I5" i="9"/>
  <c r="H5" i="9"/>
  <c r="G5" i="9"/>
  <c r="J5" i="9"/>
  <c r="K5" i="9"/>
  <c r="AK2" i="2"/>
  <c r="E11" i="5" s="1"/>
  <c r="AK11" i="2"/>
  <c r="H2" i="9"/>
  <c r="K4" i="9"/>
  <c r="G4" i="9"/>
  <c r="J4" i="9"/>
  <c r="I4" i="9"/>
  <c r="J3" i="9"/>
  <c r="G2" i="9"/>
  <c r="J2" i="9"/>
  <c r="I2" i="9"/>
  <c r="K2" i="9"/>
  <c r="I3" i="9"/>
  <c r="K3" i="9"/>
  <c r="G3" i="9"/>
  <c r="H3" i="9"/>
  <c r="F28" i="5"/>
  <c r="H28" i="5"/>
  <c r="G28" i="5"/>
  <c r="E28" i="5"/>
  <c r="I28" i="5"/>
  <c r="G27" i="5"/>
  <c r="I27" i="5"/>
  <c r="G21" i="5"/>
  <c r="I13" i="5"/>
  <c r="H23" i="5"/>
  <c r="E13" i="5"/>
  <c r="E25" i="5"/>
  <c r="I16" i="5"/>
  <c r="G19" i="5"/>
  <c r="I24" i="5"/>
  <c r="F14" i="5"/>
  <c r="E17" i="5"/>
  <c r="F27" i="5"/>
  <c r="H27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H17" i="5"/>
  <c r="F20" i="5"/>
  <c r="H24" i="5"/>
  <c r="G12" i="5"/>
  <c r="H21" i="5"/>
  <c r="G18" i="5"/>
  <c r="H25" i="5"/>
  <c r="F12" i="5"/>
  <c r="I26" i="5"/>
  <c r="E27" i="5"/>
  <c r="F25" i="5"/>
  <c r="F16" i="5"/>
  <c r="G17" i="5"/>
  <c r="G24" i="5"/>
  <c r="H15" i="5"/>
  <c r="H18" i="5"/>
  <c r="I14" i="5"/>
  <c r="G13" i="5"/>
  <c r="H14" i="5"/>
  <c r="E12" i="5"/>
  <c r="H19" i="5"/>
  <c r="F19" i="5"/>
  <c r="G20" i="5"/>
  <c r="F13" i="5"/>
  <c r="E20" i="5"/>
  <c r="E26" i="5"/>
  <c r="G23" i="5"/>
  <c r="I10" i="5"/>
  <c r="E18" i="5"/>
  <c r="F23" i="5"/>
  <c r="F26" i="5"/>
  <c r="F21" i="5"/>
  <c r="H13" i="5"/>
  <c r="F24" i="5"/>
  <c r="F18" i="5"/>
  <c r="E22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10" i="5" l="1"/>
  <c r="G10" i="5"/>
  <c r="F10" i="5"/>
  <c r="H10" i="5"/>
  <c r="G11" i="5"/>
  <c r="H11" i="5"/>
  <c r="F11" i="5"/>
  <c r="I9" i="5"/>
  <c r="E9" i="5"/>
  <c r="H9" i="5"/>
  <c r="G9" i="5"/>
  <c r="F9" i="5"/>
  <c r="I2" i="5"/>
  <c r="E6" i="5"/>
  <c r="H8" i="5"/>
  <c r="E7" i="5"/>
  <c r="I6" i="5"/>
  <c r="H7" i="5"/>
  <c r="G6" i="5"/>
  <c r="I8" i="5"/>
  <c r="G8" i="5"/>
  <c r="G7" i="5"/>
  <c r="I7" i="5"/>
  <c r="F7" i="5"/>
  <c r="F8" i="5"/>
  <c r="E8" i="5"/>
  <c r="F6" i="5"/>
  <c r="H6" i="5"/>
  <c r="F5" i="5"/>
  <c r="H5" i="5"/>
  <c r="I5" i="5"/>
  <c r="E5" i="5"/>
  <c r="G5" i="5"/>
  <c r="E2" i="5"/>
  <c r="G4" i="5"/>
  <c r="F3" i="5"/>
  <c r="H3" i="5"/>
  <c r="I3" i="5"/>
  <c r="H4" i="5"/>
  <c r="I4" i="5"/>
  <c r="G3" i="5"/>
  <c r="F4" i="5"/>
  <c r="E4" i="5"/>
  <c r="E3" i="5"/>
  <c r="F2" i="5"/>
  <c r="G2" i="5"/>
  <c r="H2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<sst xmlns="http://schemas.openxmlformats.org/spreadsheetml/2006/main" count="872" uniqueCount="352">
  <si>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</si>
  <si>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</si>
  <si>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</si>
  <si>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</si>
  <si>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</si>
  <si>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</si>
  <si>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</si>
  <si>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</si>
  <si>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</si>
  <si>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</si>
  <si>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</si>
  <si>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</si>
  <si>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 xml:space="preserve"> Partaourides et al. 2020_audio_Eng_IE_GRU</t>
  </si>
  <si>
    <t>No</t>
  </si>
  <si>
    <t>English</t>
  </si>
  <si>
    <t>Outcome 1</t>
  </si>
  <si>
    <t>Outcome 2</t>
  </si>
  <si>
    <t>Total</t>
  </si>
  <si>
    <t>Zhang(2022)_audio_Eng_IE_DA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</si>
  <si>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</si>
  <si>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</si>
  <si>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Zhang(2022)_audio_Eng_MELD_DAG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</si>
  <si>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</si>
  <si>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</si>
  <si>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 xml:space="preserve">Hsu et al. </t>
  </si>
  <si>
    <t>Yes</t>
  </si>
  <si>
    <t>Chinese</t>
  </si>
  <si>
    <t>Xie et al.</t>
  </si>
  <si>
    <t>Mustaqim et al. (B)</t>
  </si>
  <si>
    <t>Mustaqim et al. (A)</t>
  </si>
  <si>
    <t>Van et al.</t>
  </si>
  <si>
    <t>Jamil(2017)_audio_Malay_Custom_RF</t>
  </si>
  <si>
    <t>Malay</t>
  </si>
  <si>
    <t>Liu et al. 2021_audio_ENG_IE_Bi_LSTM_GCN</t>
  </si>
  <si>
    <t xml:space="preserve">Galanis et al. </t>
  </si>
  <si>
    <t>Greek</t>
  </si>
  <si>
    <t>Added Jun2023</t>
  </si>
  <si>
    <t>Do not include (see summary table Ioannis, last entry)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</si>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</sst>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0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49" fontId="13" fillId="38" borderId="0" xfId="10" applyNumberFormat="1" applyFill="1">
      <protection locked="0"/>
    </xf>
    <xf numFmtId="0" fontId="26" fillId="39" borderId="0" xfId="0" applyFont="1" applyFill="1"/>
    <xf numFmtId="1" fontId="13" fillId="39" borderId="0" xfId="12" applyNumberFormat="1" applyFill="1"/>
    <xf numFmtId="49" fontId="13" fillId="39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1" fontId="0" fillId="39" borderId="0" xfId="0" applyNumberFormat="1" applyFill="1"/>
    <xf numFmtId="1" fontId="13" fillId="38" borderId="0" xfId="10" applyNumberFormat="1" applyFill="1">
      <protection locked="0"/>
    </xf>
    <xf numFmtId="0" fontId="0" fillId="38" borderId="0" xfId="0" applyFill="1"/>
    <xf numFmtId="49" fontId="27" fillId="9" borderId="0" xfId="10" applyNumberFormat="1" applyFont="1">
      <protection locked="0"/>
    </xf>
    <xf numFmtId="0" fontId="13" fillId="37" borderId="0" xfId="10" applyFill="1">
      <protection locked="0"/>
    </xf>
    <xf numFmtId="2" fontId="13" fillId="40" borderId="0" xfId="12" applyFill="1"/>
    <xf numFmtId="1" fontId="13" fillId="37" borderId="0" xfId="10" applyNumberFormat="1" applyFill="1">
      <protection locked="0"/>
    </xf>
    <xf numFmtId="0" fontId="2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0.19782671485310896</c:v>
                </c:pt>
                <c:pt idx="1">
                  <c:v>6.920290653656723E-2</c:v>
                </c:pt>
                <c:pt idx="2">
                  <c:v>0.23585097170983974</c:v>
                </c:pt>
                <c:pt idx="3">
                  <c:v>0.2604002486782126</c:v>
                </c:pt>
                <c:pt idx="4">
                  <c:v>0.23671915822227155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0.27658616637938271</c:v>
                  </c:pt>
                  <c:pt idx="4">
                    <c:v>0.64994774229784247</c:v>
                  </c:pt>
                  <c:pt idx="5">
                    <c:v>#N/A</c:v>
                  </c:pt>
                  <c:pt idx="6">
                    <c:v>0.242119207677432</c:v>
                  </c:pt>
                  <c:pt idx="7">
                    <c:v>0.2375618841900482</c:v>
                  </c:pt>
                  <c:pt idx="8">
                    <c:v>0.24268534348882642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0.19378037575697143</c:v>
                  </c:pt>
                  <c:pt idx="4">
                    <c:v>0.35616589737337717</c:v>
                  </c:pt>
                  <c:pt idx="5">
                    <c:v>#N/A</c:v>
                  </c:pt>
                  <c:pt idx="6">
                    <c:v>0.17478720164889672</c:v>
                  </c:pt>
                  <c:pt idx="7">
                    <c:v>0.17421804779174793</c:v>
                  </c:pt>
                  <c:pt idx="8">
                    <c:v>0.17529861615531367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0.19782671485310896</c:v>
                </c:pt>
                <c:pt idx="4">
                  <c:v>6.920290653656723E-2</c:v>
                </c:pt>
                <c:pt idx="5">
                  <c:v>0</c:v>
                </c:pt>
                <c:pt idx="6">
                  <c:v>0.23585097170983974</c:v>
                </c:pt>
                <c:pt idx="7">
                  <c:v>0.2604002486782126</c:v>
                </c:pt>
                <c:pt idx="8">
                  <c:v>0.23671915822227155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0.27658616637938271</c:v>
                  </c:pt>
                  <c:pt idx="4">
                    <c:v>0.64994774229784247</c:v>
                  </c:pt>
                  <c:pt idx="5">
                    <c:v>#N/A</c:v>
                  </c:pt>
                  <c:pt idx="6">
                    <c:v>0.242119207677432</c:v>
                  </c:pt>
                  <c:pt idx="7">
                    <c:v>0.2375618841900482</c:v>
                  </c:pt>
                  <c:pt idx="8">
                    <c:v>0.24268534348882642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0.19378037575697143</c:v>
                  </c:pt>
                  <c:pt idx="4">
                    <c:v>0.35616589737337717</c:v>
                  </c:pt>
                  <c:pt idx="5">
                    <c:v>#N/A</c:v>
                  </c:pt>
                  <c:pt idx="6">
                    <c:v>0.17478720164889672</c:v>
                  </c:pt>
                  <c:pt idx="7">
                    <c:v>0.17421804779174793</c:v>
                  </c:pt>
                  <c:pt idx="8">
                    <c:v>0.17529861615531367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0.19782671485310896</c:v>
                </c:pt>
                <c:pt idx="4">
                  <c:v>6.920290653656723E-2</c:v>
                </c:pt>
                <c:pt idx="5">
                  <c:v>0</c:v>
                </c:pt>
                <c:pt idx="6">
                  <c:v>0.23585097170983974</c:v>
                </c:pt>
                <c:pt idx="7">
                  <c:v>0.2604002486782126</c:v>
                </c:pt>
                <c:pt idx="8">
                  <c:v>0.23671915822227155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0.27658615506905815</c:v>
                  </c:pt>
                  <c:pt idx="4">
                    <c:v>0.64994773672495432</c:v>
                  </c:pt>
                  <c:pt idx="5">
                    <c:v>#N/A</c:v>
                  </c:pt>
                  <c:pt idx="6">
                    <c:v>0.24211919644421209</c:v>
                  </c:pt>
                  <c:pt idx="7">
                    <c:v>0.23756187325011624</c:v>
                  </c:pt>
                  <c:pt idx="8">
                    <c:v>0.24268532812775279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0.19378037020517225</c:v>
                  </c:pt>
                  <c:pt idx="4">
                    <c:v>0.35616589569986795</c:v>
                  </c:pt>
                  <c:pt idx="5">
                    <c:v>#N/A</c:v>
                  </c:pt>
                  <c:pt idx="6">
                    <c:v>0.17478719579473073</c:v>
                  </c:pt>
                  <c:pt idx="7">
                    <c:v>0.17421804190809037</c:v>
                  </c:pt>
                  <c:pt idx="8">
                    <c:v>0.17529860814053644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3</c:v>
                </c:pt>
                <c:pt idx="5">
                  <c:v>#N/A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8.6269273507275979E-2</c:v>
                </c:pt>
                <c:pt idx="5">
                  <c:v>0</c:v>
                </c:pt>
                <c:pt idx="6">
                  <c:v>0.29401499161948724</c:v>
                </c:pt>
                <c:pt idx="7">
                  <c:v>0.32461845027727276</c:v>
                </c:pt>
                <c:pt idx="8">
                  <c:v>0.29509728459596407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0.27658615506905815</c:v>
                  </c:pt>
                  <c:pt idx="4">
                    <c:v>0.64994773672495432</c:v>
                  </c:pt>
                  <c:pt idx="5">
                    <c:v>#N/A</c:v>
                  </c:pt>
                  <c:pt idx="6">
                    <c:v>0.24211919644421209</c:v>
                  </c:pt>
                  <c:pt idx="7">
                    <c:v>0.23756187325011624</c:v>
                  </c:pt>
                  <c:pt idx="8">
                    <c:v>0.24268532812775279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0.19378037020517225</c:v>
                  </c:pt>
                  <c:pt idx="4">
                    <c:v>0.35616589569986795</c:v>
                  </c:pt>
                  <c:pt idx="5">
                    <c:v>#N/A</c:v>
                  </c:pt>
                  <c:pt idx="6">
                    <c:v>0.17478719579473073</c:v>
                  </c:pt>
                  <c:pt idx="7">
                    <c:v>0.17421804190809037</c:v>
                  </c:pt>
                  <c:pt idx="8">
                    <c:v>0.17529860814053644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3</c:v>
                </c:pt>
                <c:pt idx="5">
                  <c:v>#N/A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8.6269273507275979E-2</c:v>
                </c:pt>
                <c:pt idx="5">
                  <c:v>0</c:v>
                </c:pt>
                <c:pt idx="6">
                  <c:v>0.29401499161948724</c:v>
                </c:pt>
                <c:pt idx="7">
                  <c:v>0.32461845027727276</c:v>
                </c:pt>
                <c:pt idx="8">
                  <c:v>0.29509728459596407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2.6215895610913403E-2</c:v>
                </c:pt>
                <c:pt idx="4">
                  <c:v>4.5072115384615381E-3</c:v>
                </c:pt>
                <c:pt idx="5">
                  <c:v>#N/A</c:v>
                </c:pt>
                <c:pt idx="6">
                  <c:v>3.4522176497485138E-2</c:v>
                </c:pt>
                <c:pt idx="7">
                  <c:v>3.7494284407864654E-2</c:v>
                </c:pt>
                <c:pt idx="8">
                  <c:v>4.0105313547151751E-2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1.7126909518213867E-2</c:v>
                </c:pt>
                <c:pt idx="4">
                  <c:v>3.5549132947976878E-3</c:v>
                </c:pt>
                <c:pt idx="5">
                  <c:v>#N/A</c:v>
                </c:pt>
                <c:pt idx="6">
                  <c:v>2.1979665071770335E-2</c:v>
                </c:pt>
                <c:pt idx="7">
                  <c:v>2.4820574162679427E-2</c:v>
                </c:pt>
                <c:pt idx="8">
                  <c:v>2.5699168556311415E-2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30.357706900430522</c:v>
                </c:pt>
                <c:pt idx="4">
                  <c:v>10.619604914608828</c:v>
                </c:pt>
                <c:pt idx="5">
                  <c:v>0</c:v>
                </c:pt>
                <c:pt idx="6">
                  <c:v>36.192759287669702</c:v>
                </c:pt>
                <c:pt idx="7">
                  <c:v>39.959994442824183</c:v>
                </c:pt>
                <c:pt idx="8">
                  <c:v>36.325987763403539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4.0105313547151751E-2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4.0105313547151751E-2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4.0105313547151751E-2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2.6337361264916353E-2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-2.7294380217561778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-2.776445105197793</c:v>
                </c:pt>
                <c:pt idx="1">
                  <c:v>-5.5058831269539708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2.776445105197793</c:v>
                </c:pt>
                <c:pt idx="1">
                  <c:v>4.7007083441615194E-2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5.5097828360499408</c:v>
                </c:pt>
                <c:pt idx="4">
                  <c:v>3.2587735291991109</c:v>
                </c:pt>
                <c:pt idx="5">
                  <c:v>#N/A</c:v>
                </c:pt>
                <c:pt idx="6">
                  <c:v>6.0160418289494713</c:v>
                </c:pt>
                <c:pt idx="7">
                  <c:v>6.3213918121584731</c:v>
                </c:pt>
                <c:pt idx="8">
                  <c:v>6.0271044261240023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-2.3967854740923187</c:v>
                </c:pt>
                <c:pt idx="4">
                  <c:v>-0.77657928023410261</c:v>
                </c:pt>
                <c:pt idx="5">
                  <c:v>#N/A</c:v>
                </c:pt>
                <c:pt idx="6">
                  <c:v>-2.79379888791973</c:v>
                </c:pt>
                <c:pt idx="7">
                  <c:v>-2.6903658281433533</c:v>
                </c:pt>
                <c:pt idx="8">
                  <c:v>-2.7721469988937613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-0.43500543404549424</c:v>
                </c:pt>
                <c:pt idx="4">
                  <c:v>-0.23830415746164413</c:v>
                </c:pt>
                <c:pt idx="5">
                  <c:v>#N/A</c:v>
                </c:pt>
                <c:pt idx="6">
                  <c:v>-0.46439153306345715</c:v>
                </c:pt>
                <c:pt idx="7">
                  <c:v>-0.42559706914049256</c:v>
                </c:pt>
                <c:pt idx="8">
                  <c:v>-0.45994673443488249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0.18149535648793691</c:v>
                </c:pt>
                <c:pt idx="4">
                  <c:v>0.30686391399704416</c:v>
                </c:pt>
                <c:pt idx="5">
                  <c:v>#N/A</c:v>
                </c:pt>
                <c:pt idx="6">
                  <c:v>0.16622224852027354</c:v>
                </c:pt>
                <c:pt idx="7">
                  <c:v>0.15819301029191302</c:v>
                </c:pt>
                <c:pt idx="8">
                  <c:v>0.16591715180270977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-1.4541669914415294</c:v>
                </c:pt>
                <c:pt idx="1">
                  <c:v>-0.43177801706681374</c:v>
                </c:pt>
                <c:pt idx="2">
                  <c:v>0.59061095730790192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0.36823669679645299</c:v>
                </c:pt>
                <c:pt idx="1">
                  <c:v>0</c:v>
                </c:pt>
                <c:pt idx="2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-0.43177801706681374</c:v>
                </c:pt>
                <c:pt idx="1">
                  <c:v>-0.43177801706681374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0.33755030539674857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0.33755030539674857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0.48877641111466941</c:v>
                </c:pt>
                <c:pt idx="4">
                  <c:v>1.150349380376009</c:v>
                </c:pt>
                <c:pt idx="5">
                  <c:v>#N/A</c:v>
                </c:pt>
                <c:pt idx="6">
                  <c:v>-1.1503493803760083</c:v>
                </c:pt>
                <c:pt idx="7">
                  <c:v>0</c:v>
                </c:pt>
                <c:pt idx="8">
                  <c:v>-0.4887764111146693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-2.3967854740923187</c:v>
                </c:pt>
                <c:pt idx="4">
                  <c:v>-0.77657928023410261</c:v>
                </c:pt>
                <c:pt idx="5">
                  <c:v>#N/A</c:v>
                </c:pt>
                <c:pt idx="6">
                  <c:v>-2.79379888791973</c:v>
                </c:pt>
                <c:pt idx="7">
                  <c:v>-2.6903658281433533</c:v>
                </c:pt>
                <c:pt idx="8">
                  <c:v>-2.7721469988937613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-1.1503493803760083</c:v>
                </c:pt>
                <c:pt idx="1">
                  <c:v>1.150349380376009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-3.207851532907938</c:v>
                </c:pt>
                <c:pt idx="1">
                  <c:v>-1.3640190548053677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-1.1503493803760083</c:v>
                </c:pt>
                <c:pt idx="1">
                  <c:v>1.150349380376009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-2.2859352938566531</c:v>
                </c:pt>
                <c:pt idx="1">
                  <c:v>-2.2859352938566531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1343025</xdr:colOff>
      <xdr:row>0</xdr:row>
      <xdr:rowOff>0</xdr:rowOff>
    </xdr:from>
    <xdr:to>
      <xdr:col>11</xdr:col>
      <xdr:colOff>4381500</xdr:colOff>
      <xdr:row>201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0</xdr:row>
      <xdr:rowOff>-9525</xdr:rowOff>
    </xdr:from>
    <xdr:to>
      <xdr:col>13</xdr:col>
      <xdr:colOff>161925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opLeftCell="B1" zoomScaleNormal="100" workbookViewId="0">
      <pane ySplit="1" topLeftCell="A2" activePane="bottomLeft" state="frozen"/>
      <selection pane="bottomLeft" activeCell="C13" sqref="C1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 t="str">
        <f t="shared" ref="A2:A11" si="0">IF(AND(Sufficient_data="Yes",Include_study?="Yes"),1,"")</f>
        <v/>
      </c>
      <c r="B2" s="108" t="s">
        <v>12</v>
      </c>
      <c r="C2" s="5" t="s">
        <v>13</v>
      </c>
      <c r="D2" s="27">
        <v>56.8</v>
      </c>
      <c r="E2" s="27"/>
      <c r="F2" s="27">
        <v>64.790000000000006</v>
      </c>
      <c r="G2" s="27"/>
      <c r="H2" s="27">
        <v>3344</v>
      </c>
      <c r="I2" s="27">
        <v>4036</v>
      </c>
      <c r="J2" s="3" t="str">
        <f t="shared" ref="J2:J36" si="1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3" x14ac:dyDescent="0.35">
      <c r="A3" s="6" t="str">
        <f t="shared" si="0"/>
        <v/>
      </c>
      <c r="B3" s="108" t="s">
        <v>18</v>
      </c>
      <c r="C3" s="5" t="s">
        <v>13</v>
      </c>
      <c r="D3" s="27">
        <v>62.43</v>
      </c>
      <c r="E3" s="27"/>
      <c r="F3" s="27">
        <v>72.599999999999994</v>
      </c>
      <c r="G3" s="27"/>
      <c r="H3" s="27">
        <v>3397</v>
      </c>
      <c r="I3" s="27">
        <v>4036</v>
      </c>
      <c r="J3" s="3" t="str">
        <f t="shared" si="1"/>
        <v>Yes</v>
      </c>
      <c r="K3" s="5" t="s">
        <v>14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 ht="13" x14ac:dyDescent="0.35">
      <c r="A4" s="6" t="str">
        <f t="shared" si="0"/>
        <v/>
      </c>
      <c r="B4" s="108" t="s">
        <v>21</v>
      </c>
      <c r="C4" s="5" t="s">
        <v>13</v>
      </c>
      <c r="D4" s="27">
        <v>60.9</v>
      </c>
      <c r="E4" s="27"/>
      <c r="F4" s="27">
        <v>47.8</v>
      </c>
      <c r="G4" s="27"/>
      <c r="H4" s="27">
        <v>10380</v>
      </c>
      <c r="I4" s="93">
        <v>3328</v>
      </c>
      <c r="J4" s="3" t="str">
        <f t="shared" si="1"/>
        <v>Yes</v>
      </c>
      <c r="K4" s="5" t="s">
        <v>14</v>
      </c>
      <c r="L4" s="27"/>
      <c r="N4" s="2" t="s">
        <v>22</v>
      </c>
      <c r="O4" s="3" t="s">
        <v>5</v>
      </c>
      <c r="P4" s="3" t="s">
        <v>6</v>
      </c>
      <c r="Q4" s="3" t="s">
        <v>23</v>
      </c>
      <c r="S4" s="92"/>
      <c r="T4" s="92"/>
    </row>
    <row r="5" spans="1:20" x14ac:dyDescent="0.3">
      <c r="A5" s="6">
        <f t="shared" si="0"/>
        <v>1</v>
      </c>
      <c r="B5" s="94" t="s">
        <v>24</v>
      </c>
      <c r="C5" s="5" t="s">
        <v>25</v>
      </c>
      <c r="D5" s="27">
        <f>0.583*100</f>
        <v>58.3</v>
      </c>
      <c r="E5" s="27"/>
      <c r="F5" s="27">
        <f>0.663*100</f>
        <v>66.3</v>
      </c>
      <c r="G5" s="27"/>
      <c r="H5" s="27">
        <v>3404</v>
      </c>
      <c r="I5" s="27">
        <v>2529</v>
      </c>
      <c r="J5" s="3" t="str">
        <f t="shared" si="1"/>
        <v>Yes</v>
      </c>
      <c r="K5" s="5" t="s">
        <v>26</v>
      </c>
      <c r="L5" s="27"/>
      <c r="S5" s="92"/>
      <c r="T5" s="92"/>
    </row>
    <row r="6" spans="1:20" x14ac:dyDescent="0.3">
      <c r="A6" s="6">
        <f t="shared" si="0"/>
        <v>1</v>
      </c>
      <c r="B6" s="94" t="s">
        <v>27</v>
      </c>
      <c r="C6" s="5" t="s">
        <v>25</v>
      </c>
      <c r="D6" s="27">
        <v>36.9</v>
      </c>
      <c r="E6" s="27"/>
      <c r="F6" s="27">
        <v>15</v>
      </c>
      <c r="G6" s="27"/>
      <c r="H6" s="27">
        <v>10380</v>
      </c>
      <c r="I6" s="27">
        <v>3328</v>
      </c>
      <c r="J6" s="3" t="str">
        <f t="shared" si="1"/>
        <v>Yes</v>
      </c>
      <c r="K6" s="5" t="s">
        <v>14</v>
      </c>
      <c r="L6" s="27"/>
      <c r="S6" s="92"/>
      <c r="T6" s="92"/>
    </row>
    <row r="7" spans="1:20" x14ac:dyDescent="0.3">
      <c r="A7" s="6" t="str">
        <f t="shared" si="0"/>
        <v/>
      </c>
      <c r="B7" s="108" t="s">
        <v>28</v>
      </c>
      <c r="C7" s="5" t="s">
        <v>13</v>
      </c>
      <c r="D7" s="27">
        <f>((0.98+0.68)/2)*100</f>
        <v>83</v>
      </c>
      <c r="E7" s="27"/>
      <c r="F7" s="27">
        <f>((0.91+0.73)/2)*100</f>
        <v>82</v>
      </c>
      <c r="G7" s="27"/>
      <c r="H7" s="27">
        <f>1708+1636</f>
        <v>3344</v>
      </c>
      <c r="I7" s="27">
        <f>1103+1084</f>
        <v>2187</v>
      </c>
      <c r="J7" s="3" t="str">
        <f t="shared" si="1"/>
        <v>Yes</v>
      </c>
      <c r="K7" s="5" t="s">
        <v>14</v>
      </c>
      <c r="L7" s="27"/>
      <c r="S7" s="92"/>
      <c r="T7" s="92"/>
    </row>
    <row r="8" spans="1:20" x14ac:dyDescent="0.3">
      <c r="A8" s="6">
        <f t="shared" si="0"/>
        <v>1</v>
      </c>
      <c r="B8" s="12" t="s">
        <v>29</v>
      </c>
      <c r="C8" s="5" t="s">
        <v>25</v>
      </c>
      <c r="D8" s="27">
        <f>((0.51+0.96)/2)*100</f>
        <v>73.5</v>
      </c>
      <c r="E8" s="27"/>
      <c r="F8" s="27">
        <f>((0.7+0.81)/2)*100</f>
        <v>75.5</v>
      </c>
      <c r="G8" s="27"/>
      <c r="H8" s="27">
        <f>1708+1636</f>
        <v>3344</v>
      </c>
      <c r="I8" s="27">
        <f>1103+1084</f>
        <v>2187</v>
      </c>
      <c r="J8" s="3" t="str">
        <f t="shared" si="1"/>
        <v>Yes</v>
      </c>
      <c r="K8" s="5" t="s">
        <v>14</v>
      </c>
      <c r="L8" s="27"/>
      <c r="S8" s="92"/>
      <c r="T8" s="92"/>
    </row>
    <row r="9" spans="1:20" s="107" customFormat="1" x14ac:dyDescent="0.3">
      <c r="A9" s="6">
        <f t="shared" si="0"/>
        <v>1</v>
      </c>
      <c r="B9" s="12" t="s">
        <v>28</v>
      </c>
      <c r="C9" s="109" t="s">
        <v>25</v>
      </c>
      <c r="D9" s="27">
        <f>((0.98+0.68)/2)*100</f>
        <v>83</v>
      </c>
      <c r="E9" s="27"/>
      <c r="F9" s="27">
        <f>((0.91+0.73)/2)*100</f>
        <v>82</v>
      </c>
      <c r="G9" s="27"/>
      <c r="H9" s="27">
        <f>1708+1636</f>
        <v>3344</v>
      </c>
      <c r="I9" s="27">
        <f>1103+1084</f>
        <v>2187</v>
      </c>
      <c r="J9" s="110" t="str">
        <f t="shared" si="1"/>
        <v>Yes</v>
      </c>
      <c r="K9" s="109" t="s">
        <v>14</v>
      </c>
      <c r="L9" s="106"/>
    </row>
    <row r="10" spans="1:20" s="107" customFormat="1" x14ac:dyDescent="0.3">
      <c r="A10" s="6">
        <f t="shared" si="0"/>
        <v>1</v>
      </c>
      <c r="B10" s="94" t="s">
        <v>30</v>
      </c>
      <c r="C10" s="109" t="s">
        <v>25</v>
      </c>
      <c r="D10" s="111">
        <v>68</v>
      </c>
      <c r="E10" s="111"/>
      <c r="F10" s="111">
        <v>83.78</v>
      </c>
      <c r="G10" s="111"/>
      <c r="H10" s="111">
        <v>2646</v>
      </c>
      <c r="I10" s="111">
        <v>2089</v>
      </c>
      <c r="J10" s="110" t="s">
        <v>25</v>
      </c>
      <c r="K10" s="109" t="s">
        <v>14</v>
      </c>
      <c r="L10" s="106"/>
    </row>
    <row r="11" spans="1:20" s="107" customFormat="1" x14ac:dyDescent="0.3">
      <c r="A11" s="6" t="str">
        <f t="shared" si="0"/>
        <v/>
      </c>
      <c r="B11" s="94" t="s">
        <v>31</v>
      </c>
      <c r="C11" s="109" t="s">
        <v>13</v>
      </c>
      <c r="D11" s="111">
        <v>70.37</v>
      </c>
      <c r="E11" s="111"/>
      <c r="F11" s="111">
        <v>71.52</v>
      </c>
      <c r="G11" s="111"/>
      <c r="H11" s="111">
        <v>28</v>
      </c>
      <c r="I11" s="111">
        <v>62</v>
      </c>
      <c r="J11" s="110" t="s">
        <v>25</v>
      </c>
      <c r="K11" s="109" t="s">
        <v>32</v>
      </c>
      <c r="L11" s="106"/>
    </row>
    <row r="12" spans="1:20" s="104" customFormat="1" x14ac:dyDescent="0.3">
      <c r="A12" s="99" t="str">
        <f>IF(AND(Sufficient_data="Yes",Include_study?="Yes"),COUNT(A$2:A8)+1,"")</f>
        <v/>
      </c>
      <c r="B12" s="100" t="s">
        <v>33</v>
      </c>
      <c r="C12" s="101" t="s">
        <v>13</v>
      </c>
      <c r="D12" s="102">
        <v>63.6</v>
      </c>
      <c r="E12" s="102"/>
      <c r="F12" s="102">
        <v>58.2</v>
      </c>
      <c r="G12" s="102"/>
      <c r="H12" s="102">
        <v>3319</v>
      </c>
      <c r="I12" s="102">
        <v>2212</v>
      </c>
      <c r="J12" s="103" t="str">
        <f t="shared" si="1"/>
        <v>Yes</v>
      </c>
      <c r="K12" s="101" t="s">
        <v>14</v>
      </c>
      <c r="L12" s="102"/>
      <c r="S12" s="105"/>
      <c r="T12" s="105"/>
    </row>
    <row r="13" spans="1:20" x14ac:dyDescent="0.3">
      <c r="A13" s="6" t="str">
        <f>IF(AND(Sufficient_data="Yes",Include_study?="Yes"),COUNT(A$2:A12)+1,"")</f>
        <v/>
      </c>
      <c r="B13" s="12" t="s">
        <v>34</v>
      </c>
      <c r="C13" s="5" t="s">
        <v>13</v>
      </c>
      <c r="D13" s="27">
        <v>82.35</v>
      </c>
      <c r="E13" s="27"/>
      <c r="F13" s="27">
        <v>80</v>
      </c>
      <c r="G13" s="27"/>
      <c r="H13" s="27">
        <v>383</v>
      </c>
      <c r="I13" s="27">
        <v>1013</v>
      </c>
      <c r="J13" s="3" t="str">
        <f t="shared" si="1"/>
        <v>Yes</v>
      </c>
      <c r="K13" s="5" t="s">
        <v>35</v>
      </c>
      <c r="L13" s="27"/>
      <c r="S13" s="92"/>
      <c r="T13" s="92"/>
    </row>
    <row r="14" spans="1:20" x14ac:dyDescent="0.3">
      <c r="A14" s="6"/>
      <c r="B14" s="97" t="s">
        <v>36</v>
      </c>
      <c r="C14" s="5"/>
      <c r="D14" s="27"/>
      <c r="E14" s="27"/>
      <c r="F14" s="27"/>
      <c r="G14" s="27"/>
      <c r="H14" s="27"/>
      <c r="I14" s="27"/>
      <c r="J14" s="3" t="str">
        <f t="shared" si="1"/>
        <v>No</v>
      </c>
      <c r="K14" s="5"/>
      <c r="L14" s="27"/>
      <c r="S14" s="92"/>
      <c r="T14" s="92"/>
    </row>
    <row r="15" spans="1:20" ht="14.5" x14ac:dyDescent="0.35">
      <c r="A15" s="6"/>
      <c r="B15" s="98" t="s">
        <v>37</v>
      </c>
      <c r="C15" s="5"/>
      <c r="D15" s="27"/>
      <c r="E15" s="27"/>
      <c r="F15" s="27"/>
      <c r="G15" s="27"/>
      <c r="H15" s="27"/>
      <c r="I15" s="27"/>
      <c r="J15" s="3" t="str">
        <f t="shared" si="1"/>
        <v>No</v>
      </c>
      <c r="K15" s="5"/>
      <c r="L15" s="27"/>
      <c r="S15" s="92"/>
      <c r="T15" s="92"/>
    </row>
    <row r="16" spans="1:20" x14ac:dyDescent="0.3">
      <c r="A16" s="6"/>
      <c r="B16" s="12"/>
      <c r="C16" s="5"/>
      <c r="D16" s="27"/>
      <c r="E16" s="27"/>
      <c r="F16" s="27"/>
      <c r="G16" s="27"/>
      <c r="H16" s="27"/>
      <c r="I16" s="27"/>
      <c r="J16" s="3" t="str">
        <f t="shared" si="1"/>
        <v>No</v>
      </c>
      <c r="K16" s="5"/>
      <c r="L16" s="27"/>
      <c r="S16" s="92"/>
      <c r="T16" s="92"/>
    </row>
    <row r="17" spans="1:12" x14ac:dyDescent="0.3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1"/>
        <v>No</v>
      </c>
      <c r="K17" s="5"/>
      <c r="L17" s="27"/>
    </row>
    <row r="18" spans="1:12" x14ac:dyDescent="0.3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1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1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1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1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1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1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1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1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1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1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1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1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13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13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13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13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13</v>
      </c>
      <c r="D37" s="27"/>
      <c r="E37" s="27"/>
      <c r="F37" s="27"/>
      <c r="G37" s="27"/>
      <c r="H37" s="5"/>
      <c r="I37" s="5"/>
      <c r="J37" s="3" t="str">
        <f t="shared" ref="J37:J68" si="2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13</v>
      </c>
      <c r="D38" s="27"/>
      <c r="E38" s="27"/>
      <c r="F38" s="27"/>
      <c r="G38" s="27"/>
      <c r="H38" s="5"/>
      <c r="I38" s="5"/>
      <c r="J38" s="3" t="str">
        <f t="shared" si="2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13</v>
      </c>
      <c r="D39" s="27"/>
      <c r="E39" s="27"/>
      <c r="F39" s="27"/>
      <c r="G39" s="27"/>
      <c r="H39" s="5"/>
      <c r="I39" s="5"/>
      <c r="J39" s="3" t="str">
        <f t="shared" si="2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13</v>
      </c>
      <c r="D40" s="27"/>
      <c r="E40" s="27"/>
      <c r="F40" s="27"/>
      <c r="G40" s="27"/>
      <c r="H40" s="5"/>
      <c r="I40" s="5"/>
      <c r="J40" s="3" t="str">
        <f t="shared" si="2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13</v>
      </c>
      <c r="D41" s="27"/>
      <c r="E41" s="27"/>
      <c r="F41" s="27"/>
      <c r="G41" s="27"/>
      <c r="H41" s="5"/>
      <c r="I41" s="5"/>
      <c r="J41" s="3" t="str">
        <f t="shared" si="2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13</v>
      </c>
      <c r="D42" s="27"/>
      <c r="E42" s="27"/>
      <c r="F42" s="27"/>
      <c r="G42" s="27"/>
      <c r="H42" s="5"/>
      <c r="I42" s="5"/>
      <c r="J42" s="3" t="str">
        <f t="shared" si="2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13</v>
      </c>
      <c r="D43" s="27"/>
      <c r="E43" s="27"/>
      <c r="F43" s="27"/>
      <c r="G43" s="27"/>
      <c r="H43" s="5"/>
      <c r="I43" s="5"/>
      <c r="J43" s="3" t="str">
        <f t="shared" si="2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13</v>
      </c>
      <c r="D44" s="27"/>
      <c r="E44" s="27"/>
      <c r="F44" s="27"/>
      <c r="G44" s="27"/>
      <c r="H44" s="5"/>
      <c r="I44" s="5"/>
      <c r="J44" s="3" t="str">
        <f t="shared" si="2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13</v>
      </c>
      <c r="D45" s="27"/>
      <c r="E45" s="27"/>
      <c r="F45" s="27"/>
      <c r="G45" s="27"/>
      <c r="H45" s="5"/>
      <c r="I45" s="5"/>
      <c r="J45" s="3" t="str">
        <f t="shared" si="2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13</v>
      </c>
      <c r="D46" s="27"/>
      <c r="E46" s="27"/>
      <c r="F46" s="27"/>
      <c r="G46" s="27"/>
      <c r="H46" s="5"/>
      <c r="I46" s="5"/>
      <c r="J46" s="3" t="str">
        <f t="shared" si="2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13</v>
      </c>
      <c r="D47" s="27"/>
      <c r="E47" s="27"/>
      <c r="F47" s="27"/>
      <c r="G47" s="27"/>
      <c r="H47" s="5"/>
      <c r="I47" s="5"/>
      <c r="J47" s="3" t="str">
        <f t="shared" si="2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13</v>
      </c>
      <c r="D48" s="27"/>
      <c r="E48" s="27"/>
      <c r="F48" s="27"/>
      <c r="G48" s="27"/>
      <c r="H48" s="5"/>
      <c r="I48" s="5"/>
      <c r="J48" s="3" t="str">
        <f t="shared" si="2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13</v>
      </c>
      <c r="D49" s="27"/>
      <c r="E49" s="27"/>
      <c r="F49" s="27"/>
      <c r="G49" s="27"/>
      <c r="H49" s="5"/>
      <c r="I49" s="5"/>
      <c r="J49" s="3" t="str">
        <f t="shared" si="2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13</v>
      </c>
      <c r="D50" s="27"/>
      <c r="E50" s="27"/>
      <c r="F50" s="27"/>
      <c r="G50" s="27"/>
      <c r="H50" s="5"/>
      <c r="I50" s="5"/>
      <c r="J50" s="3" t="str">
        <f t="shared" si="2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13</v>
      </c>
      <c r="D51" s="27"/>
      <c r="E51" s="27"/>
      <c r="F51" s="27"/>
      <c r="G51" s="27"/>
      <c r="H51" s="5"/>
      <c r="I51" s="5"/>
      <c r="J51" s="3" t="str">
        <f t="shared" si="2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13</v>
      </c>
      <c r="D52" s="27"/>
      <c r="E52" s="27"/>
      <c r="F52" s="27"/>
      <c r="G52" s="27"/>
      <c r="H52" s="5"/>
      <c r="I52" s="5"/>
      <c r="J52" s="3" t="str">
        <f t="shared" si="2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13</v>
      </c>
      <c r="D53" s="27"/>
      <c r="E53" s="27"/>
      <c r="F53" s="27"/>
      <c r="G53" s="27"/>
      <c r="H53" s="5"/>
      <c r="I53" s="5"/>
      <c r="J53" s="3" t="str">
        <f t="shared" si="2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13</v>
      </c>
      <c r="D54" s="27"/>
      <c r="E54" s="27"/>
      <c r="F54" s="27"/>
      <c r="G54" s="27"/>
      <c r="H54" s="5"/>
      <c r="I54" s="5"/>
      <c r="J54" s="3" t="str">
        <f t="shared" si="2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13</v>
      </c>
      <c r="D55" s="27"/>
      <c r="E55" s="27"/>
      <c r="F55" s="27"/>
      <c r="G55" s="27"/>
      <c r="H55" s="5"/>
      <c r="I55" s="5"/>
      <c r="J55" s="3" t="str">
        <f t="shared" si="2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13</v>
      </c>
      <c r="D56" s="27"/>
      <c r="E56" s="27"/>
      <c r="F56" s="27"/>
      <c r="G56" s="27"/>
      <c r="H56" s="5"/>
      <c r="I56" s="5"/>
      <c r="J56" s="3" t="str">
        <f t="shared" si="2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13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13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13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13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13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13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13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13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13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13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13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13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13</v>
      </c>
      <c r="D69" s="5"/>
      <c r="E69" s="5"/>
      <c r="F69" s="5"/>
      <c r="G69" s="5"/>
      <c r="H69" s="5"/>
      <c r="I69" s="5"/>
      <c r="J69" s="3" t="str">
        <f t="shared" ref="J69:J100" si="3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13</v>
      </c>
      <c r="D70" s="5"/>
      <c r="E70" s="5"/>
      <c r="F70" s="5"/>
      <c r="G70" s="5"/>
      <c r="H70" s="5"/>
      <c r="I70" s="5"/>
      <c r="J70" s="3" t="str">
        <f t="shared" si="3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13</v>
      </c>
      <c r="D71" s="5"/>
      <c r="E71" s="5"/>
      <c r="F71" s="5"/>
      <c r="G71" s="5"/>
      <c r="H71" s="5"/>
      <c r="I71" s="5"/>
      <c r="J71" s="3" t="str">
        <f t="shared" si="3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13</v>
      </c>
      <c r="D72" s="5"/>
      <c r="E72" s="5"/>
      <c r="F72" s="5"/>
      <c r="G72" s="5"/>
      <c r="H72" s="5"/>
      <c r="I72" s="5"/>
      <c r="J72" s="3" t="str">
        <f t="shared" si="3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13</v>
      </c>
      <c r="D73" s="5"/>
      <c r="E73" s="5"/>
      <c r="F73" s="5"/>
      <c r="G73" s="5"/>
      <c r="H73" s="5"/>
      <c r="I73" s="5"/>
      <c r="J73" s="3" t="str">
        <f t="shared" si="3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13</v>
      </c>
      <c r="D74" s="5"/>
      <c r="E74" s="5"/>
      <c r="F74" s="5"/>
      <c r="G74" s="5"/>
      <c r="H74" s="5"/>
      <c r="I74" s="5"/>
      <c r="J74" s="3" t="str">
        <f t="shared" si="3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13</v>
      </c>
      <c r="D75" s="5"/>
      <c r="E75" s="5"/>
      <c r="F75" s="5"/>
      <c r="G75" s="5"/>
      <c r="H75" s="5"/>
      <c r="I75" s="5"/>
      <c r="J75" s="3" t="str">
        <f t="shared" si="3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13</v>
      </c>
      <c r="D76" s="5"/>
      <c r="E76" s="5"/>
      <c r="F76" s="5"/>
      <c r="G76" s="5"/>
      <c r="H76" s="5"/>
      <c r="I76" s="5"/>
      <c r="J76" s="3" t="str">
        <f t="shared" si="3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13</v>
      </c>
      <c r="D77" s="5"/>
      <c r="E77" s="5"/>
      <c r="F77" s="5"/>
      <c r="G77" s="5"/>
      <c r="H77" s="5"/>
      <c r="I77" s="5"/>
      <c r="J77" s="3" t="str">
        <f t="shared" si="3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13</v>
      </c>
      <c r="D78" s="5"/>
      <c r="E78" s="5"/>
      <c r="F78" s="5"/>
      <c r="G78" s="5"/>
      <c r="H78" s="5"/>
      <c r="I78" s="5"/>
      <c r="J78" s="3" t="str">
        <f t="shared" si="3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13</v>
      </c>
      <c r="D79" s="5"/>
      <c r="E79" s="5"/>
      <c r="F79" s="5"/>
      <c r="G79" s="5"/>
      <c r="H79" s="5"/>
      <c r="I79" s="5"/>
      <c r="J79" s="3" t="str">
        <f t="shared" si="3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13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13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13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13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13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13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13</v>
      </c>
      <c r="D86" s="5"/>
      <c r="E86" s="5"/>
      <c r="F86" s="5"/>
      <c r="G86" s="5"/>
      <c r="H86" s="5"/>
      <c r="I86" s="5"/>
      <c r="J86" s="3" t="str">
        <f t="shared" si="3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13</v>
      </c>
      <c r="D87" s="5"/>
      <c r="E87" s="5"/>
      <c r="F87" s="5"/>
      <c r="G87" s="5"/>
      <c r="H87" s="5"/>
      <c r="I87" s="5"/>
      <c r="J87" s="3" t="str">
        <f t="shared" si="3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13</v>
      </c>
      <c r="D88" s="5"/>
      <c r="E88" s="5"/>
      <c r="F88" s="5"/>
      <c r="G88" s="5"/>
      <c r="H88" s="5"/>
      <c r="I88" s="5"/>
      <c r="J88" s="3" t="str">
        <f t="shared" si="3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13</v>
      </c>
      <c r="D89" s="5"/>
      <c r="E89" s="5"/>
      <c r="F89" s="5"/>
      <c r="G89" s="5"/>
      <c r="H89" s="5"/>
      <c r="I89" s="5"/>
      <c r="J89" s="3" t="str">
        <f t="shared" si="3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13</v>
      </c>
      <c r="D90" s="5"/>
      <c r="E90" s="5"/>
      <c r="F90" s="5"/>
      <c r="G90" s="5"/>
      <c r="H90" s="5"/>
      <c r="I90" s="5"/>
      <c r="J90" s="3" t="str">
        <f t="shared" si="3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13</v>
      </c>
      <c r="D91" s="5"/>
      <c r="E91" s="5"/>
      <c r="F91" s="5"/>
      <c r="G91" s="5"/>
      <c r="H91" s="5"/>
      <c r="I91" s="5"/>
      <c r="J91" s="3" t="str">
        <f t="shared" si="3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13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13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13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13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13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13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13</v>
      </c>
      <c r="D98" s="5"/>
      <c r="E98" s="5"/>
      <c r="F98" s="5"/>
      <c r="G98" s="5"/>
      <c r="H98" s="5"/>
      <c r="I98" s="5"/>
      <c r="J98" s="3" t="str">
        <f t="shared" si="3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13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13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13</v>
      </c>
      <c r="D101" s="5"/>
      <c r="E101" s="5"/>
      <c r="F101" s="5"/>
      <c r="G101" s="5"/>
      <c r="H101" s="5"/>
      <c r="I101" s="5"/>
      <c r="J101" s="3" t="str">
        <f t="shared" ref="J101:J132" si="4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13</v>
      </c>
      <c r="D102" s="5"/>
      <c r="E102" s="5"/>
      <c r="F102" s="5"/>
      <c r="G102" s="5"/>
      <c r="H102" s="5"/>
      <c r="I102" s="5"/>
      <c r="J102" s="3" t="str">
        <f t="shared" si="4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13</v>
      </c>
      <c r="D103" s="5"/>
      <c r="E103" s="5"/>
      <c r="F103" s="5"/>
      <c r="G103" s="5"/>
      <c r="H103" s="5"/>
      <c r="I103" s="5"/>
      <c r="J103" s="3" t="str">
        <f t="shared" si="4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13</v>
      </c>
      <c r="D104" s="5"/>
      <c r="E104" s="5"/>
      <c r="F104" s="5"/>
      <c r="G104" s="5"/>
      <c r="H104" s="5"/>
      <c r="I104" s="5"/>
      <c r="J104" s="3" t="str">
        <f t="shared" si="4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13</v>
      </c>
      <c r="D105" s="5"/>
      <c r="E105" s="5"/>
      <c r="F105" s="5"/>
      <c r="G105" s="5"/>
      <c r="H105" s="5"/>
      <c r="I105" s="5"/>
      <c r="J105" s="3" t="str">
        <f t="shared" si="4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13</v>
      </c>
      <c r="D106" s="5"/>
      <c r="E106" s="5"/>
      <c r="F106" s="5"/>
      <c r="G106" s="5"/>
      <c r="H106" s="5"/>
      <c r="I106" s="5"/>
      <c r="J106" s="3" t="str">
        <f t="shared" si="4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13</v>
      </c>
      <c r="D107" s="5"/>
      <c r="E107" s="5"/>
      <c r="F107" s="5"/>
      <c r="G107" s="5"/>
      <c r="H107" s="5"/>
      <c r="I107" s="5"/>
      <c r="J107" s="3" t="str">
        <f t="shared" si="4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13</v>
      </c>
      <c r="D108" s="27"/>
      <c r="E108" s="27"/>
      <c r="F108" s="27"/>
      <c r="G108" s="27"/>
      <c r="H108" s="5"/>
      <c r="I108" s="5"/>
      <c r="J108" s="3" t="str">
        <f t="shared" si="4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13</v>
      </c>
      <c r="D109" s="27"/>
      <c r="E109" s="27"/>
      <c r="F109" s="27"/>
      <c r="G109" s="27"/>
      <c r="H109" s="5"/>
      <c r="I109" s="5"/>
      <c r="J109" s="3" t="str">
        <f t="shared" si="4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13</v>
      </c>
      <c r="D110" s="27"/>
      <c r="E110" s="27"/>
      <c r="F110" s="27"/>
      <c r="G110" s="27"/>
      <c r="H110" s="5"/>
      <c r="I110" s="5"/>
      <c r="J110" s="3" t="str">
        <f t="shared" si="4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13</v>
      </c>
      <c r="D111" s="27"/>
      <c r="E111" s="27"/>
      <c r="F111" s="27"/>
      <c r="G111" s="27"/>
      <c r="H111" s="5"/>
      <c r="I111" s="5"/>
      <c r="J111" s="3" t="str">
        <f t="shared" si="4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13</v>
      </c>
      <c r="D112" s="27"/>
      <c r="E112" s="27"/>
      <c r="F112" s="27"/>
      <c r="G112" s="27"/>
      <c r="H112" s="5"/>
      <c r="I112" s="5"/>
      <c r="J112" s="3" t="str">
        <f t="shared" si="4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13</v>
      </c>
      <c r="D113" s="27"/>
      <c r="E113" s="27"/>
      <c r="F113" s="27"/>
      <c r="G113" s="27"/>
      <c r="H113" s="5"/>
      <c r="I113" s="5"/>
      <c r="J113" s="3" t="str">
        <f t="shared" si="4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13</v>
      </c>
      <c r="D114" s="27"/>
      <c r="E114" s="27"/>
      <c r="F114" s="27"/>
      <c r="G114" s="27"/>
      <c r="H114" s="5"/>
      <c r="I114" s="5"/>
      <c r="J114" s="3" t="str">
        <f t="shared" si="4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13</v>
      </c>
      <c r="D115" s="27"/>
      <c r="E115" s="27"/>
      <c r="F115" s="27"/>
      <c r="G115" s="27"/>
      <c r="H115" s="5"/>
      <c r="I115" s="5"/>
      <c r="J115" s="3" t="str">
        <f t="shared" si="4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13</v>
      </c>
      <c r="D116" s="27"/>
      <c r="E116" s="27"/>
      <c r="F116" s="27"/>
      <c r="G116" s="27"/>
      <c r="H116" s="5"/>
      <c r="I116" s="5"/>
      <c r="J116" s="3" t="str">
        <f t="shared" si="4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13</v>
      </c>
      <c r="D117" s="27"/>
      <c r="E117" s="27"/>
      <c r="F117" s="27"/>
      <c r="G117" s="27"/>
      <c r="H117" s="5"/>
      <c r="I117" s="5"/>
      <c r="J117" s="3" t="str">
        <f t="shared" si="4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13</v>
      </c>
      <c r="D118" s="27"/>
      <c r="E118" s="27"/>
      <c r="F118" s="27"/>
      <c r="G118" s="27"/>
      <c r="H118" s="5"/>
      <c r="I118" s="5"/>
      <c r="J118" s="3" t="str">
        <f t="shared" si="4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ref="J133:J164" si="5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5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5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5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25</v>
      </c>
      <c r="D137" s="5"/>
      <c r="E137" s="5"/>
      <c r="F137" s="5"/>
      <c r="G137" s="5"/>
      <c r="H137" s="5"/>
      <c r="I137" s="5"/>
      <c r="J137" s="3" t="str">
        <f t="shared" si="5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25</v>
      </c>
      <c r="D138" s="5"/>
      <c r="E138" s="5"/>
      <c r="F138" s="5"/>
      <c r="G138" s="5"/>
      <c r="H138" s="5"/>
      <c r="I138" s="5"/>
      <c r="J138" s="3" t="str">
        <f t="shared" si="5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25</v>
      </c>
      <c r="D139" s="5"/>
      <c r="E139" s="5"/>
      <c r="F139" s="5"/>
      <c r="G139" s="5"/>
      <c r="H139" s="5"/>
      <c r="I139" s="5"/>
      <c r="J139" s="3" t="str">
        <f t="shared" si="5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25</v>
      </c>
      <c r="D140" s="5"/>
      <c r="E140" s="5"/>
      <c r="F140" s="5"/>
      <c r="G140" s="5"/>
      <c r="H140" s="5"/>
      <c r="I140" s="5"/>
      <c r="J140" s="3" t="str">
        <f t="shared" si="5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25</v>
      </c>
      <c r="D141" s="5"/>
      <c r="E141" s="5"/>
      <c r="F141" s="5"/>
      <c r="G141" s="5"/>
      <c r="H141" s="5"/>
      <c r="I141" s="5"/>
      <c r="J141" s="3" t="str">
        <f t="shared" si="5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25</v>
      </c>
      <c r="D142" s="5"/>
      <c r="E142" s="5"/>
      <c r="F142" s="5"/>
      <c r="G142" s="5"/>
      <c r="H142" s="5"/>
      <c r="I142" s="5"/>
      <c r="J142" s="3" t="str">
        <f t="shared" si="5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25</v>
      </c>
      <c r="D143" s="5"/>
      <c r="E143" s="5"/>
      <c r="F143" s="5"/>
      <c r="G143" s="5"/>
      <c r="H143" s="5"/>
      <c r="I143" s="5"/>
      <c r="J143" s="3" t="str">
        <f t="shared" si="5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25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25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25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25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25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25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25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25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25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25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25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25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25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25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25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25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25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25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25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25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25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25</v>
      </c>
      <c r="D165" s="5"/>
      <c r="E165" s="5"/>
      <c r="F165" s="5"/>
      <c r="G165" s="5"/>
      <c r="H165" s="5"/>
      <c r="I165" s="5"/>
      <c r="J165" s="3" t="str">
        <f t="shared" ref="J165:J196" si="6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25</v>
      </c>
      <c r="D166" s="5"/>
      <c r="E166" s="5"/>
      <c r="F166" s="5"/>
      <c r="G166" s="5"/>
      <c r="H166" s="5"/>
      <c r="I166" s="5"/>
      <c r="J166" s="3" t="str">
        <f t="shared" si="6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25</v>
      </c>
      <c r="D167" s="5"/>
      <c r="E167" s="5"/>
      <c r="F167" s="5"/>
      <c r="G167" s="5"/>
      <c r="H167" s="5"/>
      <c r="I167" s="5"/>
      <c r="J167" s="3" t="str">
        <f t="shared" si="6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25</v>
      </c>
      <c r="D168" s="5"/>
      <c r="E168" s="5"/>
      <c r="F168" s="5"/>
      <c r="G168" s="5"/>
      <c r="H168" s="5"/>
      <c r="I168" s="5"/>
      <c r="J168" s="3" t="str">
        <f t="shared" si="6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25</v>
      </c>
      <c r="D169" s="5"/>
      <c r="E169" s="5"/>
      <c r="F169" s="5"/>
      <c r="G169" s="5"/>
      <c r="H169" s="5"/>
      <c r="I169" s="5"/>
      <c r="J169" s="3" t="str">
        <f t="shared" si="6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25</v>
      </c>
      <c r="D170" s="5"/>
      <c r="E170" s="5"/>
      <c r="F170" s="5"/>
      <c r="G170" s="5"/>
      <c r="H170" s="5"/>
      <c r="I170" s="5"/>
      <c r="J170" s="3" t="str">
        <f t="shared" si="6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25</v>
      </c>
      <c r="D171" s="5"/>
      <c r="E171" s="5"/>
      <c r="F171" s="5"/>
      <c r="G171" s="5"/>
      <c r="H171" s="5"/>
      <c r="I171" s="5"/>
      <c r="J171" s="3" t="str">
        <f t="shared" si="6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25</v>
      </c>
      <c r="D172" s="5"/>
      <c r="E172" s="5"/>
      <c r="F172" s="5"/>
      <c r="G172" s="5"/>
      <c r="H172" s="5"/>
      <c r="I172" s="5"/>
      <c r="J172" s="3" t="str">
        <f t="shared" si="6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25</v>
      </c>
      <c r="D173" s="5"/>
      <c r="E173" s="5"/>
      <c r="F173" s="5"/>
      <c r="G173" s="5"/>
      <c r="H173" s="5"/>
      <c r="I173" s="5"/>
      <c r="J173" s="3" t="str">
        <f t="shared" si="6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25</v>
      </c>
      <c r="D174" s="5"/>
      <c r="E174" s="5"/>
      <c r="F174" s="5"/>
      <c r="G174" s="5"/>
      <c r="H174" s="5"/>
      <c r="I174" s="5"/>
      <c r="J174" s="3" t="str">
        <f t="shared" si="6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25</v>
      </c>
      <c r="D175" s="5"/>
      <c r="E175" s="5"/>
      <c r="F175" s="5"/>
      <c r="G175" s="5"/>
      <c r="H175" s="5"/>
      <c r="I175" s="5"/>
      <c r="J175" s="3" t="str">
        <f t="shared" si="6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25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25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25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25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25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25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25</v>
      </c>
      <c r="D182" s="5"/>
      <c r="E182" s="5"/>
      <c r="F182" s="5"/>
      <c r="G182" s="5"/>
      <c r="H182" s="5"/>
      <c r="I182" s="5"/>
      <c r="J182" s="3" t="str">
        <f t="shared" si="6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25</v>
      </c>
      <c r="D183" s="5"/>
      <c r="E183" s="5"/>
      <c r="F183" s="5"/>
      <c r="G183" s="5"/>
      <c r="H183" s="5"/>
      <c r="I183" s="5"/>
      <c r="J183" s="3" t="str">
        <f t="shared" si="6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25</v>
      </c>
      <c r="D184" s="5"/>
      <c r="E184" s="5"/>
      <c r="F184" s="5"/>
      <c r="G184" s="5"/>
      <c r="H184" s="5"/>
      <c r="I184" s="5"/>
      <c r="J184" s="3" t="str">
        <f t="shared" si="6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25</v>
      </c>
      <c r="D185" s="5"/>
      <c r="E185" s="5"/>
      <c r="F185" s="5"/>
      <c r="G185" s="5"/>
      <c r="H185" s="5"/>
      <c r="I185" s="5"/>
      <c r="J185" s="3" t="str">
        <f t="shared" si="6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25</v>
      </c>
      <c r="D186" s="5"/>
      <c r="E186" s="5"/>
      <c r="F186" s="5"/>
      <c r="G186" s="5"/>
      <c r="H186" s="5"/>
      <c r="I186" s="5"/>
      <c r="J186" s="3" t="str">
        <f t="shared" si="6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25</v>
      </c>
      <c r="D187" s="5"/>
      <c r="E187" s="5"/>
      <c r="F187" s="5"/>
      <c r="G187" s="5"/>
      <c r="H187" s="5"/>
      <c r="I187" s="5"/>
      <c r="J187" s="3" t="str">
        <f t="shared" si="6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25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25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25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25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25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25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25</v>
      </c>
      <c r="D194" s="5"/>
      <c r="E194" s="5"/>
      <c r="F194" s="5"/>
      <c r="G194" s="5"/>
      <c r="H194" s="5"/>
      <c r="I194" s="5"/>
      <c r="J194" s="3" t="str">
        <f t="shared" si="6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25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25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25</v>
      </c>
      <c r="D197" s="5"/>
      <c r="E197" s="5"/>
      <c r="F197" s="5"/>
      <c r="G197" s="5"/>
      <c r="H197" s="5"/>
      <c r="I197" s="5"/>
      <c r="J197" s="3" t="str">
        <f t="shared" ref="J197:J204" si="7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25</v>
      </c>
      <c r="D198" s="5"/>
      <c r="E198" s="5"/>
      <c r="F198" s="5"/>
      <c r="G198" s="5"/>
      <c r="H198" s="5"/>
      <c r="I198" s="5"/>
      <c r="J198" s="3" t="str">
        <f t="shared" si="7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25</v>
      </c>
      <c r="D199" s="5"/>
      <c r="E199" s="5"/>
      <c r="F199" s="5"/>
      <c r="G199" s="5"/>
      <c r="H199" s="5"/>
      <c r="I199" s="5"/>
      <c r="J199" s="3" t="str">
        <f t="shared" si="7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25</v>
      </c>
      <c r="D200" s="5"/>
      <c r="E200" s="5"/>
      <c r="F200" s="5"/>
      <c r="G200" s="5"/>
      <c r="H200" s="5"/>
      <c r="I200" s="5"/>
      <c r="J200" s="3" t="str">
        <f t="shared" si="7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25</v>
      </c>
      <c r="D201" s="5"/>
      <c r="E201" s="5"/>
      <c r="F201" s="5"/>
      <c r="G201" s="5"/>
      <c r="H201" s="5"/>
      <c r="I201" s="5"/>
      <c r="J201" s="3" t="str">
        <f t="shared" si="7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25</v>
      </c>
      <c r="D202" s="5"/>
      <c r="E202" s="5"/>
      <c r="F202" s="5"/>
      <c r="G202" s="5"/>
      <c r="H202" s="5"/>
      <c r="I202" s="5"/>
      <c r="J202" s="3" t="str">
        <f t="shared" si="7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25</v>
      </c>
      <c r="D203" s="5"/>
      <c r="E203" s="5"/>
      <c r="F203" s="5"/>
      <c r="G203" s="5"/>
      <c r="H203" s="5"/>
      <c r="I203" s="5"/>
      <c r="J203" s="3" t="str">
        <f t="shared" si="7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25</v>
      </c>
      <c r="D204" s="73"/>
      <c r="E204" s="73"/>
      <c r="F204" s="73"/>
      <c r="G204" s="73"/>
      <c r="H204" s="73"/>
      <c r="I204" s="73"/>
      <c r="J204" s="3" t="str">
        <f t="shared" si="7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B1" zoomScaleNormal="100" workbookViewId="0">
      <pane ySplit="1" topLeftCell="A2" activePane="bottomLeft" state="frozen"/>
      <selection pane="bottomLeft" activeCell="E2" sqref="E2:I6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9" t="s">
        <v>38</v>
      </c>
      <c r="B1" s="119"/>
      <c r="D1" s="1" t="s">
        <v>39</v>
      </c>
      <c r="E1" s="1" t="s">
        <v>1</v>
      </c>
      <c r="F1" s="1" t="str">
        <f>IF(Present_Effect_size_measure&lt;&gt;"",Present_Effect_size_measure,"")</f>
        <v>Odds Ratio</v>
      </c>
      <c r="G1" s="1" t="s">
        <v>40</v>
      </c>
      <c r="H1" s="1" t="s">
        <v>41</v>
      </c>
      <c r="I1" s="1" t="s">
        <v>42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43</v>
      </c>
      <c r="B2" s="5" t="s">
        <v>44</v>
      </c>
      <c r="D2" s="47">
        <v>1</v>
      </c>
      <c r="E2" s="16" t="str">
        <f>IF(Number&lt;=COUNT(Entry_number),INDEX(Lookup_table,MATCH(Number,Calculations!AK:AK,0),3),"")</f>
        <v xml:space="preserve">Hsu et al. </v>
      </c>
      <c r="F2" s="4">
        <f>IF(Ranked_number&lt;=COUNT(Entry_number),INDEX(Lookup_table,MATCH(Number,Calculations!AK:AK,0),5),"")</f>
        <v>0.64726114982194338</v>
      </c>
      <c r="G2" s="4">
        <f>IF(Ranked_number&lt;=COUNT(Entry_number),INDEX(Lookup_table,MATCH(Number,Calculations!AK:AK,0),9),"")</f>
        <v>0.45348077406497195</v>
      </c>
      <c r="H2" s="4">
        <f>IF(Ranked_number&lt;=COUNT(Entry_number),INDEX(Lookup_table,MATCH(Number,Calculations!AK:AK,0),10),"")</f>
        <v>0.9238473162013261</v>
      </c>
      <c r="I2" s="8">
        <f>IF(D2&lt;=COUNT(Entry_number),INDEX(Lookup_table,MATCH(Number,Calculations!AK:AK,0),11),"")</f>
        <v>0.19782671485310896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45</v>
      </c>
      <c r="M2" s="120" t="s">
        <v>46</v>
      </c>
      <c r="O2" s="121" t="s">
        <v>47</v>
      </c>
    </row>
    <row r="3" spans="1:15" x14ac:dyDescent="0.3">
      <c r="A3" s="3" t="s">
        <v>48</v>
      </c>
      <c r="B3" s="29">
        <v>0.95</v>
      </c>
      <c r="D3" s="48">
        <v>2</v>
      </c>
      <c r="E3" s="16" t="str">
        <f>IF(Number&lt;=COUNT(Entry_number),INDEX(Lookup_table,MATCH(Number,Calculations!AK:AK,0),3),"")</f>
        <v>Xie et al.</v>
      </c>
      <c r="F3" s="4">
        <f>IF(Ranked_number&lt;=COUNT(Entry_number),INDEX(Lookup_table,MATCH(Number,Calculations!AK:AK,0),5),"")</f>
        <v>0.7879629898192998</v>
      </c>
      <c r="G3" s="4">
        <f>IF(Ranked_number&lt;=COUNT(Entry_number),INDEX(Lookup_table,MATCH(Number,Calculations!AK:AK,0),9),"")</f>
        <v>0.43179709244592263</v>
      </c>
      <c r="H3" s="4">
        <f>IF(Ranked_number&lt;=COUNT(Entry_number),INDEX(Lookup_table,MATCH(Number,Calculations!AK:AK,0),10),"")</f>
        <v>1.4379107321171423</v>
      </c>
      <c r="I3" s="8">
        <f>IF(D3&lt;=COUNT(Entry_number),INDEX(Lookup_table,MATCH(Number,Calculations!AK:AK,0),11),"")</f>
        <v>6.920290653656723E-2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0"/>
      <c r="O3" s="121"/>
    </row>
    <row r="4" spans="1:15" x14ac:dyDescent="0.3">
      <c r="D4" s="48">
        <v>3</v>
      </c>
      <c r="E4" s="16" t="str">
        <f>IF(Number&lt;=COUNT(Entry_number),INDEX(Lookup_table,MATCH(Number,Calculations!AK:AK,0),3),"")</f>
        <v>Mustaqim et al. (A)</v>
      </c>
      <c r="F4" s="4">
        <f>IF(Ranked_number&lt;=COUNT(Entry_number),INDEX(Lookup_table,MATCH(Number,Calculations!AK:AK,0),5),"")</f>
        <v>0.62851742093428009</v>
      </c>
      <c r="G4" s="4">
        <f>IF(Ranked_number&lt;=COUNT(Entry_number),INDEX(Lookup_table,MATCH(Number,Calculations!AK:AK,0),9),"")</f>
        <v>0.45373021928538337</v>
      </c>
      <c r="H4" s="4">
        <f>IF(Ranked_number&lt;=COUNT(Entry_number),INDEX(Lookup_table,MATCH(Number,Calculations!AK:AK,0),10),"")</f>
        <v>0.87063662861171209</v>
      </c>
      <c r="I4" s="8">
        <f>IF(D4&lt;=COUNT(Entry_number),INDEX(Lookup_table,MATCH(Number,Calculations!AK:AK,0),11),"")</f>
        <v>0.23585097170983974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49</v>
      </c>
      <c r="M4" s="120"/>
      <c r="O4" s="121"/>
    </row>
    <row r="5" spans="1:15" x14ac:dyDescent="0.3">
      <c r="A5" s="119" t="s">
        <v>50</v>
      </c>
      <c r="B5" s="119"/>
      <c r="D5" s="48">
        <v>4</v>
      </c>
      <c r="E5" s="16" t="str">
        <f>IF(Number&lt;=COUNT(Entry_number),INDEX(Lookup_table,MATCH(Number,Calculations!AK:AK,0),3),"")</f>
        <v>Mustaqim et al. (B)</v>
      </c>
      <c r="F5" s="4">
        <f>IF(Ranked_number&lt;=COUNT(Entry_number),INDEX(Lookup_table,MATCH(Number,Calculations!AK:AK,0),5),"")</f>
        <v>0.65337955587467555</v>
      </c>
      <c r="G5" s="4">
        <f>IF(Ranked_number&lt;=COUNT(Entry_number),INDEX(Lookup_table,MATCH(Number,Calculations!AK:AK,0),9),"")</f>
        <v>0.47916150808292762</v>
      </c>
      <c r="H5" s="4">
        <f>IF(Ranked_number&lt;=COUNT(Entry_number),INDEX(Lookup_table,MATCH(Number,Calculations!AK:AK,0),10),"")</f>
        <v>0.89094144006472376</v>
      </c>
      <c r="I5" s="8">
        <f>IF(D5&lt;=COUNT(Entry_number),INDEX(Lookup_table,MATCH(Number,Calculations!AK:AK,0),11),"")</f>
        <v>0.2604002486782126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0"/>
      <c r="O5" s="121"/>
    </row>
    <row r="6" spans="1:15" x14ac:dyDescent="0.3">
      <c r="A6" s="3" t="s">
        <v>51</v>
      </c>
      <c r="B6" s="5" t="s">
        <v>52</v>
      </c>
      <c r="D6" s="48">
        <v>5</v>
      </c>
      <c r="E6" s="16" t="str">
        <f>IF(Number&lt;=COUNT(Entry_number),INDEX(Lookup_table,MATCH(Number,Calculations!AK:AK,0),3),"")</f>
        <v>Van et al.</v>
      </c>
      <c r="F6" s="4">
        <f>IF(Ranked_number&lt;=COUNT(Entry_number),INDEX(Lookup_table,MATCH(Number,Calculations!AK:AK,0),5),"")</f>
        <v>0.63131727208261468</v>
      </c>
      <c r="G6" s="4">
        <f>IF(Ranked_number&lt;=COUNT(Entry_number),INDEX(Lookup_table,MATCH(Number,Calculations!AK:AK,0),9),"")</f>
        <v>0.45601865592730101</v>
      </c>
      <c r="H6" s="4">
        <f>IF(Ranked_number&lt;=COUNT(Entry_number),INDEX(Lookup_table,MATCH(Number,Calculations!AK:AK,0),10),"")</f>
        <v>0.8740026155714411</v>
      </c>
      <c r="I6" s="8">
        <f>IF(D6&lt;=COUNT(Entry_number),INDEX(Lookup_table,MATCH(Number,Calculations!AK:AK,0),11),"")</f>
        <v>0.23671915822227155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53</v>
      </c>
      <c r="M6" s="120"/>
      <c r="O6" s="121"/>
    </row>
    <row r="7" spans="1:15" x14ac:dyDescent="0.3">
      <c r="A7" s="3" t="s">
        <v>54</v>
      </c>
      <c r="B7" s="5" t="s">
        <v>55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56</v>
      </c>
      <c r="M7" s="120"/>
      <c r="O7" s="121"/>
    </row>
    <row r="8" spans="1:15" x14ac:dyDescent="0.3">
      <c r="A8" s="3" t="s">
        <v>57</v>
      </c>
      <c r="B8" s="5" t="s">
        <v>55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0"/>
      <c r="O8" s="121"/>
    </row>
    <row r="9" spans="1:15" x14ac:dyDescent="0.3">
      <c r="A9" s="3" t="s">
        <v>58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0"/>
      <c r="O9" s="121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0"/>
      <c r="O10" s="121"/>
    </row>
    <row r="11" spans="1:15" x14ac:dyDescent="0.3">
      <c r="A11" s="119" t="s">
        <v>59</v>
      </c>
      <c r="B11" s="119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0"/>
      <c r="O11" s="121"/>
    </row>
    <row r="12" spans="1:15" x14ac:dyDescent="0.3">
      <c r="A12" s="3" t="s">
        <v>60</v>
      </c>
      <c r="B12" s="5" t="s">
        <v>45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0"/>
      <c r="O12" s="121"/>
    </row>
    <row r="13" spans="1:15" x14ac:dyDescent="0.3">
      <c r="A13" s="3" t="s">
        <v>61</v>
      </c>
      <c r="B13" s="5" t="s">
        <v>62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0"/>
      <c r="O13" s="121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0"/>
      <c r="O14" s="121"/>
    </row>
    <row r="15" spans="1:15" x14ac:dyDescent="0.3">
      <c r="A15" s="119" t="s">
        <v>63</v>
      </c>
      <c r="B15" s="119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0"/>
      <c r="O15" s="121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0.64935350608337739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0"/>
      <c r="O16" s="121"/>
    </row>
    <row r="17" spans="1:15" x14ac:dyDescent="0.3">
      <c r="A17" s="3" t="s">
        <v>40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0.60149723380792341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0"/>
      <c r="O17" s="121"/>
    </row>
    <row r="18" spans="1:15" x14ac:dyDescent="0.3">
      <c r="A18" s="3" t="s">
        <v>41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0.70101731506453424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0"/>
      <c r="O18" s="121"/>
    </row>
    <row r="19" spans="1:15" x14ac:dyDescent="0.3">
      <c r="A19" s="3" t="s">
        <v>64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0.60149723380792341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0"/>
      <c r="O19" s="121"/>
    </row>
    <row r="20" spans="1:15" x14ac:dyDescent="0.3">
      <c r="A20" s="3" t="s">
        <v>65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0.70101731506453424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0"/>
      <c r="O20" s="121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0"/>
      <c r="O21" s="121"/>
    </row>
    <row r="22" spans="1:15" x14ac:dyDescent="0.3">
      <c r="A22" s="3" t="s">
        <v>66</v>
      </c>
      <c r="B22" s="4">
        <f>IF(B16&lt;&gt;"",IF(Weighting_method="Inverse variance",Z_value,IF(Weighting_method="Mantel-Haenszel",Z_value_MH,IF(Weighting_method="Peto",Z_value_Peto,""))),"")</f>
        <v>-15.659367350125761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0"/>
      <c r="O22" s="121"/>
    </row>
    <row r="23" spans="1:15" x14ac:dyDescent="0.3">
      <c r="A23" s="3" t="s">
        <v>67</v>
      </c>
      <c r="B23" s="26">
        <f>IF(Valid_options="Yes",IF(B22&lt;&gt;"",1-NORMSDIST(ABS(B22)),""),"")</f>
        <v>0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0"/>
      <c r="O23" s="121"/>
    </row>
    <row r="24" spans="1:15" x14ac:dyDescent="0.3">
      <c r="A24" s="3" t="s">
        <v>68</v>
      </c>
      <c r="B24" s="26">
        <f>IF(Valid_options="Yes",IF(B22&lt;&gt;"",2*(1-NORMSDIST(ABS(B22))),""),"")</f>
        <v>0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0"/>
      <c r="O24" s="121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0"/>
      <c r="O25" s="121"/>
    </row>
    <row r="26" spans="1:15" ht="12" customHeight="1" x14ac:dyDescent="0.3">
      <c r="A26" s="3" t="s">
        <v>69</v>
      </c>
      <c r="B26" s="7">
        <f>SUMIF(Sufficient_data,"Yes",Number_of_subjects)</f>
        <v>35438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0"/>
      <c r="O26" s="121"/>
    </row>
    <row r="27" spans="1:15" x14ac:dyDescent="0.3">
      <c r="A27" s="3" t="s">
        <v>70</v>
      </c>
      <c r="B27" s="7">
        <f>COUNT(Weightf)</f>
        <v>5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0"/>
      <c r="O27" s="121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0"/>
      <c r="O28" s="121"/>
    </row>
    <row r="29" spans="1:15" x14ac:dyDescent="0.3">
      <c r="A29" s="119" t="s">
        <v>71</v>
      </c>
      <c r="B29" s="119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0"/>
      <c r="O29" s="121"/>
    </row>
    <row r="30" spans="1:15" x14ac:dyDescent="0.3">
      <c r="A30" s="3" t="s">
        <v>72</v>
      </c>
      <c r="B30" s="4">
        <f>IF(Valid_options="Yes",IF(Weighting_method="Inverse variance",Q_,IF(Weighting_method="Mantel-Haenszel",Q_MH,IF(Weighting_method="Peto",Q_Peto,""))),NA())</f>
        <v>0.46667726752718153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0"/>
      <c r="O30" s="121"/>
    </row>
    <row r="31" spans="1:15" ht="13" x14ac:dyDescent="0.35">
      <c r="A31" s="3" t="s">
        <v>73</v>
      </c>
      <c r="B31" s="26">
        <f>IF(Valid_options="Yes",IF(B30&lt;&gt;"",CHIDIST(B30,k_-1),""),"")</f>
        <v>0.97666281909057151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0"/>
      <c r="O31" s="121"/>
    </row>
    <row r="32" spans="1:15" ht="13.5" x14ac:dyDescent="0.3">
      <c r="A32" s="3" t="s">
        <v>74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0"/>
      <c r="O32" s="121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0"/>
      <c r="O33" s="121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0"/>
      <c r="O34" s="121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0"/>
      <c r="O35" s="121"/>
    </row>
    <row r="36" spans="1:15" x14ac:dyDescent="0.3">
      <c r="A36" s="119" t="s">
        <v>75</v>
      </c>
      <c r="B36" s="12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0"/>
      <c r="O36" s="121"/>
    </row>
    <row r="37" spans="1:15" x14ac:dyDescent="0.3">
      <c r="A37" s="118" t="s">
        <v>52</v>
      </c>
      <c r="B37" s="11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0"/>
      <c r="O37" s="121"/>
    </row>
    <row r="38" spans="1:15" x14ac:dyDescent="0.3">
      <c r="A38" s="117" t="s">
        <v>76</v>
      </c>
      <c r="B38" s="117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0"/>
      <c r="O38" s="121"/>
    </row>
    <row r="39" spans="1:15" x14ac:dyDescent="0.3">
      <c r="A39" s="117" t="s">
        <v>77</v>
      </c>
      <c r="B39" s="117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0"/>
      <c r="O39" s="121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0"/>
      <c r="O40" s="121"/>
    </row>
    <row r="41" spans="1:15" x14ac:dyDescent="0.3">
      <c r="A41" s="119" t="s">
        <v>78</v>
      </c>
      <c r="B41" s="12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0"/>
      <c r="O41" s="121"/>
    </row>
    <row r="42" spans="1:15" x14ac:dyDescent="0.3">
      <c r="A42" s="118" t="str">
        <f>IF(Weighting_method="Peto","Peto Odds Ratio","Odds Ratio")</f>
        <v>Odds Ratio</v>
      </c>
      <c r="B42" s="11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0"/>
      <c r="O42" s="121"/>
    </row>
    <row r="43" spans="1:15" x14ac:dyDescent="0.3">
      <c r="A43" s="117" t="str">
        <f>IF(Weighting_method="Inverse variance","Risk Ratio","")</f>
        <v>Risk Ratio</v>
      </c>
      <c r="B43" s="117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0"/>
      <c r="O43" s="121"/>
    </row>
    <row r="44" spans="1:15" x14ac:dyDescent="0.3">
      <c r="A44" s="117" t="str">
        <f>IF(Weighting_method="Inverse variance","Risk Difference","")</f>
        <v>Risk Difference</v>
      </c>
      <c r="B44" s="117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0"/>
      <c r="O44" s="121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0"/>
      <c r="O45" s="121"/>
    </row>
    <row r="46" spans="1:15" x14ac:dyDescent="0.3">
      <c r="A46" s="119" t="s">
        <v>79</v>
      </c>
      <c r="B46" s="12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0"/>
      <c r="O46" s="121"/>
    </row>
    <row r="47" spans="1:15" x14ac:dyDescent="0.3">
      <c r="A47" s="118" t="str">
        <f>IF(Model_effect_size_measure&lt;&gt;"",Model_effect_size_measure,"")</f>
        <v>Odds Ratio</v>
      </c>
      <c r="B47" s="11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0"/>
      <c r="O47" s="121"/>
    </row>
    <row r="48" spans="1:15" x14ac:dyDescent="0.3">
      <c r="A48" s="117" t="str">
        <f>IF(OR(Model_effect_size_measure="Odds Ratio",Model_effect_size_measure="Peto Odds Ratio"),"Risk Ratio",IF(Model_effect_size_measure="Risk Ratio","Risk Difference",""))</f>
        <v>Risk Ratio</v>
      </c>
      <c r="B48" s="117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0"/>
      <c r="O48" s="121"/>
    </row>
    <row r="49" spans="1:15" x14ac:dyDescent="0.3">
      <c r="A49" s="117" t="str">
        <f>IF(OR(Model_effect_size_measure="Odds Ratio",Model_effect_size_measure="Peto Odds Ratio"),"Risk Difference","")</f>
        <v>Risk Difference</v>
      </c>
      <c r="B49" s="117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0"/>
      <c r="O49" s="121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0"/>
      <c r="O50" s="121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0"/>
      <c r="O51" s="121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0"/>
      <c r="O52" s="121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0"/>
      <c r="O53" s="121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0"/>
      <c r="O54" s="121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0"/>
      <c r="O55" s="121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0"/>
      <c r="O56" s="121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0"/>
      <c r="O57" s="121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0"/>
      <c r="O58" s="121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0"/>
      <c r="O59" s="121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0"/>
      <c r="O60" s="121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0"/>
      <c r="O61" s="121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0"/>
      <c r="O62" s="121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0"/>
      <c r="O63" s="121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0"/>
      <c r="O64" s="121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0"/>
      <c r="O65" s="121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0"/>
      <c r="O66" s="121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0"/>
      <c r="O67" s="121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0"/>
      <c r="O68" s="121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0"/>
      <c r="O69" s="121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0"/>
      <c r="O70" s="121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0"/>
      <c r="O71" s="121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0"/>
      <c r="O72" s="121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0"/>
      <c r="O73" s="121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0"/>
      <c r="O74" s="121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0"/>
      <c r="O75" s="121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0"/>
      <c r="O76" s="121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0"/>
      <c r="O77" s="121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0"/>
      <c r="O78" s="121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0"/>
      <c r="O79" s="121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0"/>
      <c r="O80" s="121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0"/>
      <c r="O81" s="121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0"/>
      <c r="O82" s="121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0"/>
      <c r="O83" s="121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0"/>
      <c r="O84" s="121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0"/>
      <c r="O85" s="121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0"/>
      <c r="O86" s="121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0"/>
      <c r="O87" s="121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0"/>
      <c r="O88" s="121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0"/>
      <c r="O89" s="121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0"/>
      <c r="O90" s="121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0"/>
      <c r="O91" s="121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0"/>
      <c r="O92" s="121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0"/>
      <c r="O93" s="121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0"/>
      <c r="O94" s="121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0"/>
      <c r="O95" s="121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0"/>
      <c r="O96" s="121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0"/>
      <c r="O97" s="121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0"/>
      <c r="O98" s="121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0"/>
      <c r="O99" s="121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0"/>
      <c r="O100" s="121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0"/>
      <c r="O101" s="121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0"/>
      <c r="O102" s="121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0"/>
      <c r="O103" s="121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0"/>
      <c r="O104" s="121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0"/>
      <c r="O105" s="121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0"/>
      <c r="O106" s="121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0"/>
      <c r="O107" s="121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0"/>
      <c r="O108" s="121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0"/>
      <c r="O109" s="121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0"/>
      <c r="O110" s="121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0"/>
      <c r="O111" s="121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0"/>
      <c r="O112" s="121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0"/>
      <c r="O113" s="121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0"/>
      <c r="O114" s="121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0"/>
      <c r="O115" s="121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0"/>
      <c r="O116" s="121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0"/>
      <c r="O117" s="121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0"/>
      <c r="O118" s="121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0"/>
      <c r="O119" s="121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0"/>
      <c r="O120" s="121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0"/>
      <c r="O121" s="121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0"/>
      <c r="O122" s="121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0"/>
      <c r="O123" s="121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0"/>
      <c r="O124" s="121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0"/>
      <c r="O125" s="121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0"/>
      <c r="O126" s="121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0"/>
      <c r="O127" s="121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0"/>
      <c r="O128" s="121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0"/>
      <c r="O129" s="121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0"/>
      <c r="O130" s="121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0"/>
      <c r="O131" s="121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0"/>
      <c r="O132" s="121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0"/>
      <c r="O133" s="121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0"/>
      <c r="O134" s="121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0"/>
      <c r="O135" s="121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0"/>
      <c r="O136" s="121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0"/>
      <c r="O137" s="121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0"/>
      <c r="O138" s="121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0"/>
      <c r="O139" s="121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0"/>
      <c r="O140" s="121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0"/>
      <c r="O141" s="121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0"/>
      <c r="O142" s="121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0"/>
      <c r="O143" s="121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0"/>
      <c r="O144" s="121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0"/>
      <c r="O145" s="121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0"/>
      <c r="O146" s="121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0"/>
      <c r="O147" s="121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0"/>
      <c r="O148" s="121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0"/>
      <c r="O149" s="121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0"/>
      <c r="O150" s="121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0"/>
      <c r="O151" s="121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0"/>
      <c r="O152" s="121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0"/>
      <c r="O153" s="121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0"/>
      <c r="O154" s="121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0"/>
      <c r="O155" s="121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0"/>
      <c r="O156" s="121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0"/>
      <c r="O157" s="121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0"/>
      <c r="O158" s="121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0"/>
      <c r="O159" s="121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0"/>
      <c r="O160" s="121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0"/>
      <c r="O161" s="121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0"/>
      <c r="O162" s="121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0"/>
      <c r="O163" s="121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0"/>
      <c r="O164" s="121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0"/>
      <c r="O165" s="121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0"/>
      <c r="O166" s="121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0"/>
      <c r="O167" s="121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0"/>
      <c r="O168" s="121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0"/>
      <c r="O169" s="121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0"/>
      <c r="O170" s="121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0"/>
      <c r="O171" s="121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0"/>
      <c r="O172" s="121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0"/>
      <c r="O173" s="121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0"/>
      <c r="O174" s="121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0"/>
      <c r="O175" s="121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0"/>
      <c r="O176" s="121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0"/>
      <c r="O177" s="121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0"/>
      <c r="O178" s="121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0"/>
      <c r="O179" s="121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0"/>
      <c r="O180" s="121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0"/>
      <c r="O181" s="121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0"/>
      <c r="O182" s="121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0"/>
      <c r="O183" s="121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0"/>
      <c r="O184" s="121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0"/>
      <c r="O185" s="121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0"/>
      <c r="O186" s="121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0"/>
      <c r="O187" s="121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0"/>
      <c r="O188" s="121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0"/>
      <c r="O189" s="121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0"/>
      <c r="O190" s="121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0"/>
      <c r="O191" s="121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0"/>
      <c r="O192" s="121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0"/>
      <c r="O193" s="121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0"/>
      <c r="O194" s="121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0"/>
      <c r="O195" s="121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0"/>
      <c r="O196" s="121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0"/>
      <c r="O197" s="121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0"/>
      <c r="O198" s="121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0"/>
      <c r="O199" s="121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0"/>
      <c r="O200" s="121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0"/>
      <c r="O201" s="122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G1" workbookViewId="0">
      <pane ySplit="1" topLeftCell="A6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9" t="s">
        <v>38</v>
      </c>
      <c r="B1" s="119"/>
      <c r="C1" s="119"/>
      <c r="D1" s="119"/>
      <c r="F1" s="1" t="s">
        <v>39</v>
      </c>
      <c r="G1" s="1" t="s">
        <v>80</v>
      </c>
      <c r="H1" s="1" t="str">
        <f>Subgroup_effect_size_measure</f>
        <v>Odds Ratio</v>
      </c>
      <c r="I1" s="1" t="s">
        <v>40</v>
      </c>
      <c r="J1" s="1" t="s">
        <v>41</v>
      </c>
      <c r="K1" s="1" t="s">
        <v>42</v>
      </c>
      <c r="L1" s="1" t="s">
        <v>72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64</v>
      </c>
      <c r="R1" s="1" t="s">
        <v>65</v>
      </c>
      <c r="S1" s="86"/>
      <c r="U1" s="85"/>
      <c r="W1" s="85"/>
      <c r="Y1" s="85"/>
      <c r="AA1" s="85"/>
    </row>
    <row r="2" spans="1:27" x14ac:dyDescent="0.3">
      <c r="A2" s="3" t="s">
        <v>85</v>
      </c>
      <c r="B2" s="125" t="s">
        <v>86</v>
      </c>
      <c r="C2" s="125"/>
      <c r="D2" s="125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 xml:space="preserve">Hsu et al. 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0.64726114982194338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0.45348077961677113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0.92384730489100153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1" t="s">
        <v>87</v>
      </c>
      <c r="U2" s="121" t="s">
        <v>88</v>
      </c>
      <c r="W2" s="121" t="s">
        <v>89</v>
      </c>
      <c r="Y2" s="121" t="s">
        <v>90</v>
      </c>
      <c r="AA2" s="121" t="s">
        <v>91</v>
      </c>
    </row>
    <row r="3" spans="1:27" x14ac:dyDescent="0.3">
      <c r="A3" s="3" t="s">
        <v>92</v>
      </c>
      <c r="B3" s="126" t="s">
        <v>55</v>
      </c>
      <c r="C3" s="126"/>
      <c r="D3" s="126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Chinese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3" s="4">
        <f>IF(COUNTIF(Calculations!DP:DP,Subgroup_number)=1,INDEX(Calculations!DP:EU,MATCH(Subgroup_number,Calculations!DP:DP,0),5),IF(Subgroup_number=Calculations!EY$25,Calculations!EY$17,""))</f>
        <v>0</v>
      </c>
      <c r="M3" s="26" t="e">
        <f>IF(COUNTIF(Calculations!DP:DP,Subgroup_number)=1,INDEX(Calculations!DP:EU,MATCH(Subgroup_number,Calculations!DP:DP,0),6),IF(Subgroup_number=Calculations!EY$25,Calculations!EY$18,""))</f>
        <v>#NUM!</v>
      </c>
      <c r="N3" s="8">
        <f>IF(COUNTIF(Calculations!DP:DP,Subgroup_number)=1,INDEX(Calculations!DP:EU,MATCH(Subgroup_number,Calculations!DP:DP,0),7),IF(Subgroup_number=Calculations!EY$25,Calculations!EY$19,""))</f>
        <v>0</v>
      </c>
      <c r="O3" s="4" t="e">
        <f>IF(COUNTIF(Calculations!DP:DP,Subgroup_number)=1,INDEX(Calculations!DP:EU,MATCH(Subgroup_number,Calculations!DP:DP,0),9),IF(Subgroup_number=Calculations!EY$25,Calculations!EY$20,""))</f>
        <v>#DIV/0!</v>
      </c>
      <c r="P3" s="4" t="e">
        <f>IF(COUNTIF(Calculations!DP:DP,Subgroup_number)=1,INDEX(Calculations!DP:EU,MATCH(Subgroup_number,Calculations!DP:DP,0),10),IF(Subgroup_number=Calculations!EY$25,Calculations!EY$21,""))</f>
        <v>#DIV/0!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3" s="131"/>
      <c r="U3" s="121"/>
      <c r="W3" s="121"/>
      <c r="Y3" s="121"/>
      <c r="AA3" s="121"/>
    </row>
    <row r="4" spans="1:27" ht="11.25" customHeight="1" x14ac:dyDescent="0.3">
      <c r="A4" s="3" t="s">
        <v>58</v>
      </c>
      <c r="B4" s="127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7"/>
      <c r="D4" s="127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1"/>
      <c r="U4" s="121"/>
      <c r="W4" s="121"/>
      <c r="Y4" s="121"/>
      <c r="AA4" s="121"/>
    </row>
    <row r="5" spans="1:27" x14ac:dyDescent="0.3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1"/>
      <c r="U5" s="121"/>
      <c r="W5" s="121"/>
      <c r="Y5" s="121"/>
      <c r="AA5" s="121"/>
    </row>
    <row r="6" spans="1:27" x14ac:dyDescent="0.3">
      <c r="A6" s="3" t="s">
        <v>93</v>
      </c>
      <c r="B6" s="126" t="s">
        <v>94</v>
      </c>
      <c r="C6" s="126"/>
      <c r="D6" s="126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1"/>
      <c r="U6" s="121"/>
      <c r="W6" s="121"/>
      <c r="Y6" s="121"/>
      <c r="AA6" s="121"/>
    </row>
    <row r="7" spans="1:27" x14ac:dyDescent="0.3">
      <c r="A7" s="3" t="s">
        <v>95</v>
      </c>
      <c r="B7" s="126" t="s">
        <v>96</v>
      </c>
      <c r="C7" s="126"/>
      <c r="D7" s="126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1"/>
      <c r="U7" s="121"/>
      <c r="W7" s="121"/>
      <c r="Y7" s="121"/>
      <c r="AA7" s="121"/>
    </row>
    <row r="8" spans="1:27" x14ac:dyDescent="0.3">
      <c r="A8" s="3" t="s">
        <v>48</v>
      </c>
      <c r="B8" s="128">
        <v>0.95</v>
      </c>
      <c r="C8" s="128"/>
      <c r="D8" s="128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1"/>
      <c r="U8" s="121"/>
      <c r="W8" s="121"/>
      <c r="Y8" s="121"/>
      <c r="AA8" s="121"/>
    </row>
    <row r="9" spans="1:27" x14ac:dyDescent="0.3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1"/>
      <c r="U9" s="121"/>
      <c r="W9" s="121"/>
      <c r="Y9" s="121"/>
      <c r="AA9" s="121"/>
    </row>
    <row r="10" spans="1:27" x14ac:dyDescent="0.3">
      <c r="A10" s="119" t="s">
        <v>63</v>
      </c>
      <c r="B10" s="119"/>
      <c r="C10" s="119"/>
      <c r="D10" s="119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1"/>
      <c r="U10" s="121"/>
      <c r="W10" s="121"/>
      <c r="Y10" s="121"/>
      <c r="AA10" s="121"/>
    </row>
    <row r="11" spans="1:27" x14ac:dyDescent="0.3">
      <c r="A11" s="3" t="str">
        <f>Subgroup_effect_size_measure</f>
        <v>Odds Ratio</v>
      </c>
      <c r="B11" s="129" t="e">
        <f>Calculations!EY9</f>
        <v>#DIV/0!</v>
      </c>
      <c r="C11" s="129"/>
      <c r="D11" s="129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1"/>
      <c r="U11" s="121"/>
      <c r="W11" s="121"/>
      <c r="Y11" s="121"/>
      <c r="AA11" s="121"/>
    </row>
    <row r="12" spans="1:27" x14ac:dyDescent="0.3">
      <c r="A12" s="3" t="s">
        <v>40</v>
      </c>
      <c r="B12" s="130" t="e">
        <f>Calculations!EY11</f>
        <v>#DIV/0!</v>
      </c>
      <c r="C12" s="130"/>
      <c r="D12" s="130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1"/>
      <c r="U12" s="121"/>
      <c r="W12" s="121"/>
      <c r="Y12" s="121"/>
      <c r="AA12" s="121"/>
    </row>
    <row r="13" spans="1:27" x14ac:dyDescent="0.3">
      <c r="A13" s="3" t="s">
        <v>41</v>
      </c>
      <c r="B13" s="130" t="e">
        <f>Calculations!EY12</f>
        <v>#DIV/0!</v>
      </c>
      <c r="C13" s="130"/>
      <c r="D13" s="130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1"/>
      <c r="U13" s="121"/>
      <c r="W13" s="121"/>
      <c r="Y13" s="121"/>
      <c r="AA13" s="121"/>
    </row>
    <row r="14" spans="1:27" x14ac:dyDescent="0.3">
      <c r="A14" s="3" t="s">
        <v>64</v>
      </c>
      <c r="B14" s="130" t="e">
        <f>Calculations!EY13</f>
        <v>#DIV/0!</v>
      </c>
      <c r="C14" s="130"/>
      <c r="D14" s="130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1"/>
      <c r="U14" s="121"/>
      <c r="W14" s="121"/>
      <c r="Y14" s="121"/>
      <c r="AA14" s="121"/>
    </row>
    <row r="15" spans="1:27" x14ac:dyDescent="0.3">
      <c r="A15" s="3" t="s">
        <v>65</v>
      </c>
      <c r="B15" s="130" t="e">
        <f>Calculations!EY14</f>
        <v>#DIV/0!</v>
      </c>
      <c r="C15" s="130"/>
      <c r="D15" s="130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1"/>
      <c r="U15" s="121"/>
      <c r="W15" s="121"/>
      <c r="Y15" s="121"/>
      <c r="AA15" s="121"/>
    </row>
    <row r="16" spans="1:27" x14ac:dyDescent="0.3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1"/>
      <c r="U16" s="121"/>
      <c r="W16" s="121"/>
      <c r="Y16" s="121"/>
      <c r="AA16" s="121"/>
    </row>
    <row r="17" spans="1:27" x14ac:dyDescent="0.3">
      <c r="A17" s="3" t="s">
        <v>69</v>
      </c>
      <c r="B17" s="124">
        <f>SUMIF(Sufficient_data,"Yes",Number_of_subjects)</f>
        <v>35438</v>
      </c>
      <c r="C17" s="124"/>
      <c r="D17" s="124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1"/>
      <c r="U17" s="121"/>
      <c r="W17" s="121"/>
      <c r="Y17" s="121"/>
      <c r="AA17" s="121"/>
    </row>
    <row r="18" spans="1:27" x14ac:dyDescent="0.3">
      <c r="A18" s="3" t="s">
        <v>70</v>
      </c>
      <c r="B18" s="124">
        <f>COUNT(Subgroup_weightf)</f>
        <v>5</v>
      </c>
      <c r="C18" s="124"/>
      <c r="D18" s="124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1"/>
      <c r="U18" s="121"/>
      <c r="W18" s="121"/>
      <c r="Y18" s="121"/>
      <c r="AA18" s="121"/>
    </row>
    <row r="19" spans="1:27" x14ac:dyDescent="0.3">
      <c r="A19" s="3" t="s">
        <v>97</v>
      </c>
      <c r="B19" s="124">
        <f>COUNT(Calculations!DZ:DZ)</f>
        <v>0</v>
      </c>
      <c r="C19" s="124"/>
      <c r="D19" s="124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1"/>
      <c r="U19" s="121"/>
      <c r="W19" s="121"/>
      <c r="Y19" s="121"/>
      <c r="AA19" s="121"/>
    </row>
    <row r="20" spans="1:27" x14ac:dyDescent="0.3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1"/>
      <c r="U20" s="121"/>
      <c r="W20" s="121"/>
      <c r="Y20" s="121"/>
      <c r="AA20" s="121"/>
    </row>
    <row r="21" spans="1:27" x14ac:dyDescent="0.3">
      <c r="A21" s="1" t="s">
        <v>98</v>
      </c>
      <c r="B21" s="1" t="str">
        <f>IF(Within_subgroup_weighting=Calculations!EX42,"Sum of squares (Q)","Sum of squares (Q*)")</f>
        <v>Sum of squares (Q*)</v>
      </c>
      <c r="C21" s="1" t="s">
        <v>99</v>
      </c>
      <c r="D21" s="1" t="s">
        <v>100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1"/>
      <c r="U21" s="121"/>
      <c r="W21" s="121"/>
      <c r="Y21" s="121"/>
      <c r="AA21" s="121"/>
    </row>
    <row r="22" spans="1:27" x14ac:dyDescent="0.3">
      <c r="A22" s="3" t="s">
        <v>101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1"/>
      <c r="U22" s="121"/>
      <c r="W22" s="121"/>
      <c r="Y22" s="121"/>
      <c r="AA22" s="121"/>
    </row>
    <row r="23" spans="1:27" x14ac:dyDescent="0.3">
      <c r="A23" s="3" t="s">
        <v>102</v>
      </c>
      <c r="B23" s="4" t="e">
        <f>SUM(Calculations!EP:EP)</f>
        <v>#DIV/0!</v>
      </c>
      <c r="C23" s="7">
        <f>Subgroup_k-Number_of_subgroups</f>
        <v>5</v>
      </c>
      <c r="D23" s="26" t="e">
        <f>CHIDIST(B23,C23)</f>
        <v>#DIV/0!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1"/>
      <c r="U23" s="121"/>
      <c r="W23" s="121"/>
      <c r="Y23" s="121"/>
      <c r="AA23" s="121"/>
    </row>
    <row r="24" spans="1:27" x14ac:dyDescent="0.3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4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Malay</v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1"/>
      <c r="U24" s="121"/>
      <c r="W24" s="121"/>
      <c r="Y24" s="121"/>
      <c r="AA24" s="121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>
        <f>IF(COUNTIF(Calculations!DP:DP,Subgroup_number)=1,INDEX(Calculations!DP:EU,MATCH(Subgroup_number,Calculations!DP:DP,0),5),IF(Subgroup_number=Calculations!EY$25,Calculations!EY$17,""))</f>
        <v>0.46667726752718153</v>
      </c>
      <c r="M25" s="26">
        <f>IF(COUNTIF(Calculations!DP:DP,Subgroup_number)=1,INDEX(Calculations!DP:EU,MATCH(Subgroup_number,Calculations!DP:DP,0),6),IF(Subgroup_number=Calculations!EY$25,Calculations!EY$18,""))</f>
        <v>0.97666281909057151</v>
      </c>
      <c r="N25" s="8">
        <f>IF(COUNTIF(Calculations!DP:DP,Subgroup_number)=1,INDEX(Calculations!DP:EU,MATCH(Subgroup_number,Calculations!DP:DP,0),7),IF(Subgroup_number=Calculations!EY$25,Calculations!EY$19,""))</f>
        <v>0</v>
      </c>
      <c r="O25" s="4">
        <f>IF(COUNTIF(Calculations!DP:DP,Subgroup_number)=1,INDEX(Calculations!DP:EU,MATCH(Subgroup_number,Calculations!DP:DP,0),9),IF(Subgroup_number=Calculations!EY$25,Calculations!EY$20,""))</f>
        <v>0</v>
      </c>
      <c r="P25" s="4">
        <f>IF(COUNTIF(Calculations!DP:DP,Subgroup_number)=1,INDEX(Calculations!DP:EU,MATCH(Subgroup_number,Calculations!DP:DP,0),10),IF(Subgroup_number=Calculations!EY$25,Calculations!EY$21,""))</f>
        <v>0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5" s="131"/>
      <c r="U25" s="121"/>
      <c r="W25" s="121"/>
      <c r="Y25" s="121"/>
      <c r="AA25" s="121"/>
    </row>
    <row r="26" spans="1:27" ht="13.5" x14ac:dyDescent="0.3">
      <c r="A26" s="3" t="s">
        <v>103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1"/>
      <c r="U26" s="121"/>
      <c r="W26" s="121"/>
      <c r="Y26" s="121"/>
      <c r="AA26" s="121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1"/>
      <c r="U27" s="121"/>
      <c r="W27" s="121"/>
      <c r="Y27" s="121"/>
      <c r="AA27" s="121"/>
    </row>
    <row r="28" spans="1:27" x14ac:dyDescent="0.3">
      <c r="A28" s="119" t="s">
        <v>75</v>
      </c>
      <c r="B28" s="119"/>
      <c r="C28" s="119"/>
      <c r="D28" s="119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1"/>
      <c r="U28" s="121"/>
      <c r="W28" s="121"/>
      <c r="Y28" s="121"/>
      <c r="AA28" s="121"/>
    </row>
    <row r="29" spans="1:27" x14ac:dyDescent="0.3">
      <c r="A29" s="118" t="s">
        <v>86</v>
      </c>
      <c r="B29" s="118"/>
      <c r="C29" s="118"/>
      <c r="D29" s="11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1"/>
      <c r="U29" s="121"/>
      <c r="W29" s="121"/>
      <c r="Y29" s="121"/>
      <c r="AA29" s="121"/>
    </row>
    <row r="30" spans="1:27" x14ac:dyDescent="0.3">
      <c r="A30" s="117" t="s">
        <v>76</v>
      </c>
      <c r="B30" s="117"/>
      <c r="C30" s="117"/>
      <c r="D30" s="117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1"/>
      <c r="U30" s="121"/>
      <c r="W30" s="121"/>
      <c r="Y30" s="121"/>
      <c r="AA30" s="121"/>
    </row>
    <row r="31" spans="1:27" x14ac:dyDescent="0.3">
      <c r="A31" s="117" t="s">
        <v>77</v>
      </c>
      <c r="B31" s="117"/>
      <c r="C31" s="117"/>
      <c r="D31" s="117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1"/>
      <c r="U31" s="121"/>
      <c r="W31" s="121"/>
      <c r="Y31" s="121"/>
      <c r="AA31" s="121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1"/>
      <c r="U32" s="121"/>
      <c r="W32" s="121"/>
      <c r="Y32" s="121"/>
      <c r="AA32" s="121"/>
    </row>
    <row r="33" spans="1:27" x14ac:dyDescent="0.3">
      <c r="A33" s="119" t="s">
        <v>104</v>
      </c>
      <c r="B33" s="119"/>
      <c r="C33" s="119"/>
      <c r="D33" s="119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1"/>
      <c r="U33" s="121"/>
      <c r="W33" s="121"/>
      <c r="Y33" s="121"/>
      <c r="AA33" s="121"/>
    </row>
    <row r="34" spans="1:27" x14ac:dyDescent="0.3">
      <c r="A34" s="118" t="str">
        <f>IF(Subgroup_weighting_method="Peto","Peto Odds Ratio","Odds Ratio")</f>
        <v>Odds Ratio</v>
      </c>
      <c r="B34" s="118"/>
      <c r="C34" s="118"/>
      <c r="D34" s="11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1"/>
      <c r="U34" s="121"/>
      <c r="W34" s="121"/>
      <c r="Y34" s="121"/>
      <c r="AA34" s="121"/>
    </row>
    <row r="35" spans="1:27" x14ac:dyDescent="0.3">
      <c r="A35" s="117" t="str">
        <f>IF(Subgroup_weighting_method="Inverse variance","Risk Ratio","")</f>
        <v>Risk Ratio</v>
      </c>
      <c r="B35" s="117"/>
      <c r="C35" s="117"/>
      <c r="D35" s="117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1"/>
      <c r="U35" s="121"/>
      <c r="W35" s="121"/>
      <c r="Y35" s="121"/>
      <c r="AA35" s="121"/>
    </row>
    <row r="36" spans="1:27" x14ac:dyDescent="0.3">
      <c r="A36" s="117" t="str">
        <f>IF(Subgroup_weighting_method="Inverse Variance","Risk Difference","")</f>
        <v>Risk Difference</v>
      </c>
      <c r="B36" s="117"/>
      <c r="C36" s="117"/>
      <c r="D36" s="117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1"/>
      <c r="U36" s="121"/>
      <c r="W36" s="121"/>
      <c r="Y36" s="121"/>
      <c r="AA36" s="121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1"/>
      <c r="U37" s="121"/>
      <c r="W37" s="121"/>
      <c r="Y37" s="121"/>
      <c r="AA37" s="121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1"/>
      <c r="U38" s="121"/>
      <c r="W38" s="121"/>
      <c r="Y38" s="121"/>
      <c r="AA38" s="121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1"/>
      <c r="U39" s="121"/>
      <c r="W39" s="121"/>
      <c r="Y39" s="121"/>
      <c r="AA39" s="121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1"/>
      <c r="U40" s="121"/>
      <c r="W40" s="121"/>
      <c r="Y40" s="121"/>
      <c r="AA40" s="121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1"/>
      <c r="U41" s="121"/>
      <c r="W41" s="121"/>
      <c r="Y41" s="121"/>
      <c r="AA41" s="121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1"/>
      <c r="U42" s="121"/>
      <c r="W42" s="121"/>
      <c r="Y42" s="121"/>
      <c r="AA42" s="121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1"/>
      <c r="U43" s="121"/>
      <c r="W43" s="121"/>
      <c r="Y43" s="121"/>
      <c r="AA43" s="121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1"/>
      <c r="U44" s="121"/>
      <c r="W44" s="121"/>
      <c r="Y44" s="121"/>
      <c r="AA44" s="121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1"/>
      <c r="U45" s="121"/>
      <c r="W45" s="121"/>
      <c r="Y45" s="121"/>
      <c r="AA45" s="121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1"/>
      <c r="U46" s="121"/>
      <c r="W46" s="121"/>
      <c r="Y46" s="121"/>
      <c r="AA46" s="121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1"/>
      <c r="U47" s="121"/>
      <c r="W47" s="121"/>
      <c r="Y47" s="121"/>
      <c r="AA47" s="121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1"/>
      <c r="U48" s="121"/>
      <c r="W48" s="121"/>
      <c r="Y48" s="121"/>
      <c r="AA48" s="121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1"/>
      <c r="U49" s="121"/>
      <c r="W49" s="121"/>
      <c r="Y49" s="121"/>
      <c r="AA49" s="121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1"/>
      <c r="U50" s="121"/>
      <c r="W50" s="121"/>
      <c r="Y50" s="121"/>
      <c r="AA50" s="121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1"/>
      <c r="U51" s="121"/>
      <c r="W51" s="121"/>
      <c r="Y51" s="121"/>
      <c r="AA51" s="121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1"/>
      <c r="U52" s="121"/>
      <c r="W52" s="121"/>
      <c r="Y52" s="121"/>
      <c r="AA52" s="121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1"/>
      <c r="U53" s="121"/>
      <c r="W53" s="121"/>
      <c r="Y53" s="121"/>
      <c r="AA53" s="121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1"/>
      <c r="U54" s="121"/>
      <c r="W54" s="121"/>
      <c r="Y54" s="121"/>
      <c r="AA54" s="121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1"/>
      <c r="U55" s="121"/>
      <c r="W55" s="121"/>
      <c r="Y55" s="121"/>
      <c r="AA55" s="121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1"/>
      <c r="U56" s="121"/>
      <c r="W56" s="121"/>
      <c r="Y56" s="121"/>
      <c r="AA56" s="121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1"/>
      <c r="U57" s="121"/>
      <c r="W57" s="121"/>
      <c r="Y57" s="121"/>
      <c r="AA57" s="121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1"/>
      <c r="U58" s="121"/>
      <c r="W58" s="121"/>
      <c r="Y58" s="121"/>
      <c r="AA58" s="121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1"/>
      <c r="U59" s="121"/>
      <c r="W59" s="121"/>
      <c r="Y59" s="121"/>
      <c r="AA59" s="121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1"/>
      <c r="U60" s="121"/>
      <c r="W60" s="121"/>
      <c r="Y60" s="121"/>
      <c r="AA60" s="121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1"/>
      <c r="U61" s="121"/>
      <c r="W61" s="121"/>
      <c r="Y61" s="121"/>
      <c r="AA61" s="121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1"/>
      <c r="U62" s="121"/>
      <c r="W62" s="121"/>
      <c r="Y62" s="121"/>
      <c r="AA62" s="121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1"/>
      <c r="U63" s="121"/>
      <c r="W63" s="121"/>
      <c r="Y63" s="121"/>
      <c r="AA63" s="121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1"/>
      <c r="U64" s="121"/>
      <c r="W64" s="121"/>
      <c r="Y64" s="121"/>
      <c r="AA64" s="121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1"/>
      <c r="U65" s="121"/>
      <c r="W65" s="121"/>
      <c r="Y65" s="121"/>
      <c r="AA65" s="121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1"/>
      <c r="U66" s="121"/>
      <c r="W66" s="121"/>
      <c r="Y66" s="121"/>
      <c r="AA66" s="121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1"/>
      <c r="U67" s="121"/>
      <c r="W67" s="121"/>
      <c r="Y67" s="121"/>
      <c r="AA67" s="121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1"/>
      <c r="U68" s="121"/>
      <c r="W68" s="121"/>
      <c r="Y68" s="121"/>
      <c r="AA68" s="121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1"/>
      <c r="U69" s="121"/>
      <c r="W69" s="121"/>
      <c r="Y69" s="121"/>
      <c r="AA69" s="121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1"/>
      <c r="U70" s="121"/>
      <c r="W70" s="121"/>
      <c r="Y70" s="121"/>
      <c r="AA70" s="121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1"/>
      <c r="U71" s="121"/>
      <c r="W71" s="121"/>
      <c r="Y71" s="121"/>
      <c r="AA71" s="121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1"/>
      <c r="U72" s="121"/>
      <c r="W72" s="121"/>
      <c r="Y72" s="121"/>
      <c r="AA72" s="121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1"/>
      <c r="U73" s="121"/>
      <c r="W73" s="121"/>
      <c r="Y73" s="121"/>
      <c r="AA73" s="121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1"/>
      <c r="U74" s="121"/>
      <c r="W74" s="121"/>
      <c r="Y74" s="121"/>
      <c r="AA74" s="121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1"/>
      <c r="U75" s="121"/>
      <c r="W75" s="121"/>
      <c r="Y75" s="121"/>
      <c r="AA75" s="121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1"/>
      <c r="U76" s="121"/>
      <c r="W76" s="121"/>
      <c r="Y76" s="121"/>
      <c r="AA76" s="121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1"/>
      <c r="U77" s="121"/>
      <c r="W77" s="121"/>
      <c r="Y77" s="121"/>
      <c r="AA77" s="121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1"/>
      <c r="U78" s="121"/>
      <c r="W78" s="121"/>
      <c r="Y78" s="121"/>
      <c r="AA78" s="121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1"/>
      <c r="U79" s="121"/>
      <c r="W79" s="121"/>
      <c r="Y79" s="121"/>
      <c r="AA79" s="121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1"/>
      <c r="U80" s="121"/>
      <c r="W80" s="121"/>
      <c r="Y80" s="121"/>
      <c r="AA80" s="121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1"/>
      <c r="U81" s="121"/>
      <c r="W81" s="121"/>
      <c r="Y81" s="121"/>
      <c r="AA81" s="121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1"/>
      <c r="U82" s="121"/>
      <c r="W82" s="121"/>
      <c r="Y82" s="121"/>
      <c r="AA82" s="121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1"/>
      <c r="U83" s="121"/>
      <c r="W83" s="121"/>
      <c r="Y83" s="121"/>
      <c r="AA83" s="121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1"/>
      <c r="U84" s="121"/>
      <c r="W84" s="121"/>
      <c r="Y84" s="121"/>
      <c r="AA84" s="121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1"/>
      <c r="U85" s="121"/>
      <c r="W85" s="121"/>
      <c r="Y85" s="121"/>
      <c r="AA85" s="121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1"/>
      <c r="U86" s="121"/>
      <c r="W86" s="121"/>
      <c r="Y86" s="121"/>
      <c r="AA86" s="121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1"/>
      <c r="U87" s="121"/>
      <c r="W87" s="121"/>
      <c r="Y87" s="121"/>
      <c r="AA87" s="121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1"/>
      <c r="U88" s="121"/>
      <c r="W88" s="121"/>
      <c r="Y88" s="121"/>
      <c r="AA88" s="121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1"/>
      <c r="U89" s="121"/>
      <c r="W89" s="121"/>
      <c r="Y89" s="121"/>
      <c r="AA89" s="121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1"/>
      <c r="U90" s="121"/>
      <c r="W90" s="121"/>
      <c r="Y90" s="121"/>
      <c r="AA90" s="121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1"/>
      <c r="U91" s="121"/>
      <c r="W91" s="121"/>
      <c r="Y91" s="121"/>
      <c r="AA91" s="121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1"/>
      <c r="U92" s="121"/>
      <c r="W92" s="121"/>
      <c r="Y92" s="121"/>
      <c r="AA92" s="121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1"/>
      <c r="U93" s="121"/>
      <c r="W93" s="121"/>
      <c r="Y93" s="121"/>
      <c r="AA93" s="121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1"/>
      <c r="U94" s="121"/>
      <c r="W94" s="121"/>
      <c r="Y94" s="121"/>
      <c r="AA94" s="121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1"/>
      <c r="U95" s="121"/>
      <c r="W95" s="121"/>
      <c r="Y95" s="121"/>
      <c r="AA95" s="121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1"/>
      <c r="U96" s="121"/>
      <c r="W96" s="121"/>
      <c r="Y96" s="121"/>
      <c r="AA96" s="121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1"/>
      <c r="U97" s="121"/>
      <c r="W97" s="121"/>
      <c r="Y97" s="121"/>
      <c r="AA97" s="121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1"/>
      <c r="U98" s="121"/>
      <c r="W98" s="121"/>
      <c r="Y98" s="121"/>
      <c r="AA98" s="121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1"/>
      <c r="U99" s="121"/>
      <c r="W99" s="121"/>
      <c r="Y99" s="121"/>
      <c r="AA99" s="121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1"/>
      <c r="U100" s="121"/>
      <c r="W100" s="121"/>
      <c r="Y100" s="121"/>
      <c r="AA100" s="121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1"/>
      <c r="U101" s="121"/>
      <c r="W101" s="121"/>
      <c r="Y101" s="121"/>
      <c r="AA101" s="121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1"/>
      <c r="U102" s="121"/>
      <c r="W102" s="121"/>
      <c r="Y102" s="121"/>
      <c r="AA102" s="121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1"/>
      <c r="U103" s="121"/>
      <c r="W103" s="121"/>
      <c r="Y103" s="121"/>
      <c r="AA103" s="121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1"/>
      <c r="U104" s="121"/>
      <c r="W104" s="121"/>
      <c r="Y104" s="121"/>
      <c r="AA104" s="121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1"/>
      <c r="U105" s="121"/>
      <c r="W105" s="121"/>
      <c r="Y105" s="121"/>
      <c r="AA105" s="121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1"/>
      <c r="U106" s="121"/>
      <c r="W106" s="121"/>
      <c r="Y106" s="121"/>
      <c r="AA106" s="121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1"/>
      <c r="U107" s="121"/>
      <c r="W107" s="121"/>
      <c r="Y107" s="121"/>
      <c r="AA107" s="121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1"/>
      <c r="U108" s="121"/>
      <c r="W108" s="121"/>
      <c r="Y108" s="121"/>
      <c r="AA108" s="121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1"/>
      <c r="U109" s="121"/>
      <c r="W109" s="121"/>
      <c r="Y109" s="121"/>
      <c r="AA109" s="121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1"/>
      <c r="U110" s="121"/>
      <c r="W110" s="121"/>
      <c r="Y110" s="121"/>
      <c r="AA110" s="121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1"/>
      <c r="U111" s="121"/>
      <c r="W111" s="121"/>
      <c r="Y111" s="121"/>
      <c r="AA111" s="121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1"/>
      <c r="U112" s="121"/>
      <c r="W112" s="121"/>
      <c r="Y112" s="121"/>
      <c r="AA112" s="121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1"/>
      <c r="U113" s="121"/>
      <c r="W113" s="121"/>
      <c r="Y113" s="121"/>
      <c r="AA113" s="121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1"/>
      <c r="U114" s="121"/>
      <c r="W114" s="121"/>
      <c r="Y114" s="121"/>
      <c r="AA114" s="121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1"/>
      <c r="U115" s="121"/>
      <c r="W115" s="121"/>
      <c r="Y115" s="121"/>
      <c r="AA115" s="121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1"/>
      <c r="U116" s="121"/>
      <c r="W116" s="121"/>
      <c r="Y116" s="121"/>
      <c r="AA116" s="121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1"/>
      <c r="U117" s="121"/>
      <c r="W117" s="121"/>
      <c r="Y117" s="121"/>
      <c r="AA117" s="121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1"/>
      <c r="U118" s="121"/>
      <c r="W118" s="121"/>
      <c r="Y118" s="121"/>
      <c r="AA118" s="121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1"/>
      <c r="U119" s="121"/>
      <c r="W119" s="121"/>
      <c r="Y119" s="121"/>
      <c r="AA119" s="121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1"/>
      <c r="U120" s="121"/>
      <c r="W120" s="121"/>
      <c r="Y120" s="121"/>
      <c r="AA120" s="121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1"/>
      <c r="U121" s="121"/>
      <c r="W121" s="121"/>
      <c r="Y121" s="121"/>
      <c r="AA121" s="121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1"/>
      <c r="U122" s="121"/>
      <c r="W122" s="121"/>
      <c r="Y122" s="121"/>
      <c r="AA122" s="121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1"/>
      <c r="U123" s="121"/>
      <c r="W123" s="121"/>
      <c r="Y123" s="121"/>
      <c r="AA123" s="121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1"/>
      <c r="U124" s="121"/>
      <c r="W124" s="121"/>
      <c r="Y124" s="121"/>
      <c r="AA124" s="121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1"/>
      <c r="U125" s="121"/>
      <c r="W125" s="121"/>
      <c r="Y125" s="121"/>
      <c r="AA125" s="121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1"/>
      <c r="U126" s="121"/>
      <c r="W126" s="121"/>
      <c r="Y126" s="121"/>
      <c r="AA126" s="121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1"/>
      <c r="U127" s="121"/>
      <c r="W127" s="121"/>
      <c r="Y127" s="121"/>
      <c r="AA127" s="121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1"/>
      <c r="U128" s="121"/>
      <c r="W128" s="121"/>
      <c r="Y128" s="121"/>
      <c r="AA128" s="121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1"/>
      <c r="U129" s="121"/>
      <c r="W129" s="121"/>
      <c r="Y129" s="121"/>
      <c r="AA129" s="121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1"/>
      <c r="U130" s="121"/>
      <c r="W130" s="121"/>
      <c r="Y130" s="121"/>
      <c r="AA130" s="121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1"/>
      <c r="U131" s="121"/>
      <c r="W131" s="121"/>
      <c r="Y131" s="121"/>
      <c r="AA131" s="121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1"/>
      <c r="U132" s="121"/>
      <c r="W132" s="121"/>
      <c r="Y132" s="121"/>
      <c r="AA132" s="121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1"/>
      <c r="U133" s="121"/>
      <c r="W133" s="121"/>
      <c r="Y133" s="121"/>
      <c r="AA133" s="121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1"/>
      <c r="U134" s="121"/>
      <c r="W134" s="121"/>
      <c r="Y134" s="121"/>
      <c r="AA134" s="121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1"/>
      <c r="U135" s="121"/>
      <c r="W135" s="121"/>
      <c r="Y135" s="121"/>
      <c r="AA135" s="121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1"/>
      <c r="U136" s="121"/>
      <c r="W136" s="121"/>
      <c r="Y136" s="121"/>
      <c r="AA136" s="121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1"/>
      <c r="U137" s="121"/>
      <c r="W137" s="121"/>
      <c r="Y137" s="121"/>
      <c r="AA137" s="121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1"/>
      <c r="U138" s="121"/>
      <c r="W138" s="121"/>
      <c r="Y138" s="121"/>
      <c r="AA138" s="121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1"/>
      <c r="U139" s="121"/>
      <c r="W139" s="121"/>
      <c r="Y139" s="121"/>
      <c r="AA139" s="121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1"/>
      <c r="U140" s="121"/>
      <c r="W140" s="121"/>
      <c r="Y140" s="121"/>
      <c r="AA140" s="121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1"/>
      <c r="U141" s="121"/>
      <c r="W141" s="121"/>
      <c r="Y141" s="121"/>
      <c r="AA141" s="121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1"/>
      <c r="U142" s="121"/>
      <c r="W142" s="121"/>
      <c r="Y142" s="121"/>
      <c r="AA142" s="121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1"/>
      <c r="U143" s="121"/>
      <c r="W143" s="121"/>
      <c r="Y143" s="121"/>
      <c r="AA143" s="121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1"/>
      <c r="U144" s="121"/>
      <c r="W144" s="121"/>
      <c r="Y144" s="121"/>
      <c r="AA144" s="121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1"/>
      <c r="U145" s="121"/>
      <c r="W145" s="121"/>
      <c r="Y145" s="121"/>
      <c r="AA145" s="121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1"/>
      <c r="U146" s="121"/>
      <c r="W146" s="121"/>
      <c r="Y146" s="121"/>
      <c r="AA146" s="121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1"/>
      <c r="U147" s="121"/>
      <c r="W147" s="121"/>
      <c r="Y147" s="121"/>
      <c r="AA147" s="121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1"/>
      <c r="U148" s="121"/>
      <c r="W148" s="121"/>
      <c r="Y148" s="121"/>
      <c r="AA148" s="121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1"/>
      <c r="U149" s="121"/>
      <c r="W149" s="121"/>
      <c r="Y149" s="121"/>
      <c r="AA149" s="121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1"/>
      <c r="U150" s="121"/>
      <c r="W150" s="121"/>
      <c r="Y150" s="121"/>
      <c r="AA150" s="121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1"/>
      <c r="U151" s="121"/>
      <c r="W151" s="121"/>
      <c r="Y151" s="121"/>
      <c r="AA151" s="121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1"/>
      <c r="U152" s="121"/>
      <c r="W152" s="121"/>
      <c r="Y152" s="121"/>
      <c r="AA152" s="121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1"/>
      <c r="U153" s="121"/>
      <c r="W153" s="121"/>
      <c r="Y153" s="121"/>
      <c r="AA153" s="121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1"/>
      <c r="U154" s="121"/>
      <c r="W154" s="121"/>
      <c r="Y154" s="121"/>
      <c r="AA154" s="121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1"/>
      <c r="U155" s="121"/>
      <c r="W155" s="121"/>
      <c r="Y155" s="121"/>
      <c r="AA155" s="121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1"/>
      <c r="U156" s="121"/>
      <c r="W156" s="121"/>
      <c r="Y156" s="121"/>
      <c r="AA156" s="121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1"/>
      <c r="U157" s="121"/>
      <c r="W157" s="121"/>
      <c r="Y157" s="121"/>
      <c r="AA157" s="121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1"/>
      <c r="U158" s="121"/>
      <c r="W158" s="121"/>
      <c r="Y158" s="121"/>
      <c r="AA158" s="121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1"/>
      <c r="U159" s="121"/>
      <c r="W159" s="121"/>
      <c r="Y159" s="121"/>
      <c r="AA159" s="121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1"/>
      <c r="U160" s="121"/>
      <c r="W160" s="121"/>
      <c r="Y160" s="121"/>
      <c r="AA160" s="121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1"/>
      <c r="U161" s="121"/>
      <c r="W161" s="121"/>
      <c r="Y161" s="121"/>
      <c r="AA161" s="121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1"/>
      <c r="U162" s="121"/>
      <c r="W162" s="121"/>
      <c r="Y162" s="121"/>
      <c r="AA162" s="121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1"/>
      <c r="U163" s="121"/>
      <c r="W163" s="121"/>
      <c r="Y163" s="121"/>
      <c r="AA163" s="121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1"/>
      <c r="U164" s="121"/>
      <c r="W164" s="121"/>
      <c r="Y164" s="121"/>
      <c r="AA164" s="121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1"/>
      <c r="U165" s="121"/>
      <c r="W165" s="121"/>
      <c r="Y165" s="121"/>
      <c r="AA165" s="121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1"/>
      <c r="U166" s="121"/>
      <c r="W166" s="121"/>
      <c r="Y166" s="121"/>
      <c r="AA166" s="121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1"/>
      <c r="U167" s="121"/>
      <c r="W167" s="121"/>
      <c r="Y167" s="121"/>
      <c r="AA167" s="121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1"/>
      <c r="U168" s="121"/>
      <c r="W168" s="121"/>
      <c r="Y168" s="121"/>
      <c r="AA168" s="121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1"/>
      <c r="U169" s="121"/>
      <c r="W169" s="121"/>
      <c r="Y169" s="121"/>
      <c r="AA169" s="121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1"/>
      <c r="U170" s="121"/>
      <c r="W170" s="121"/>
      <c r="Y170" s="121"/>
      <c r="AA170" s="121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1"/>
      <c r="U171" s="121"/>
      <c r="W171" s="121"/>
      <c r="Y171" s="121"/>
      <c r="AA171" s="121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1"/>
      <c r="U172" s="121"/>
      <c r="W172" s="121"/>
      <c r="Y172" s="121"/>
      <c r="AA172" s="121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1"/>
      <c r="U173" s="121"/>
      <c r="W173" s="121"/>
      <c r="Y173" s="121"/>
      <c r="AA173" s="121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1"/>
      <c r="U174" s="121"/>
      <c r="W174" s="121"/>
      <c r="Y174" s="121"/>
      <c r="AA174" s="121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1"/>
      <c r="U175" s="121"/>
      <c r="W175" s="121"/>
      <c r="Y175" s="121"/>
      <c r="AA175" s="121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1"/>
      <c r="U176" s="121"/>
      <c r="W176" s="121"/>
      <c r="Y176" s="121"/>
      <c r="AA176" s="121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1"/>
      <c r="U177" s="121"/>
      <c r="W177" s="121"/>
      <c r="Y177" s="121"/>
      <c r="AA177" s="121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1"/>
      <c r="U178" s="121"/>
      <c r="W178" s="121"/>
      <c r="Y178" s="121"/>
      <c r="AA178" s="121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1"/>
      <c r="U179" s="121"/>
      <c r="W179" s="121"/>
      <c r="Y179" s="121"/>
      <c r="AA179" s="121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1"/>
      <c r="U180" s="121"/>
      <c r="W180" s="121"/>
      <c r="Y180" s="121"/>
      <c r="AA180" s="121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1"/>
      <c r="U181" s="121"/>
      <c r="W181" s="121"/>
      <c r="Y181" s="121"/>
      <c r="AA181" s="121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1"/>
      <c r="U182" s="121"/>
      <c r="W182" s="121"/>
      <c r="Y182" s="121"/>
      <c r="AA182" s="121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1"/>
      <c r="U183" s="121"/>
      <c r="W183" s="121"/>
      <c r="Y183" s="121"/>
      <c r="AA183" s="121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1"/>
      <c r="U184" s="121"/>
      <c r="W184" s="121"/>
      <c r="Y184" s="121"/>
      <c r="AA184" s="121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1"/>
      <c r="U185" s="121"/>
      <c r="W185" s="121"/>
      <c r="Y185" s="121"/>
      <c r="AA185" s="121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1"/>
      <c r="U186" s="121"/>
      <c r="W186" s="121"/>
      <c r="Y186" s="121"/>
      <c r="AA186" s="121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1"/>
      <c r="U187" s="121"/>
      <c r="W187" s="121"/>
      <c r="Y187" s="121"/>
      <c r="AA187" s="121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1"/>
      <c r="U188" s="121"/>
      <c r="W188" s="121"/>
      <c r="Y188" s="121"/>
      <c r="AA188" s="121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1"/>
      <c r="U189" s="121"/>
      <c r="W189" s="121"/>
      <c r="Y189" s="121"/>
      <c r="AA189" s="121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1"/>
      <c r="U190" s="121"/>
      <c r="W190" s="121"/>
      <c r="Y190" s="121"/>
      <c r="AA190" s="121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1"/>
      <c r="U191" s="121"/>
      <c r="W191" s="121"/>
      <c r="Y191" s="121"/>
      <c r="AA191" s="121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1"/>
      <c r="U192" s="121"/>
      <c r="W192" s="121"/>
      <c r="Y192" s="121"/>
      <c r="AA192" s="121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1"/>
      <c r="U193" s="121"/>
      <c r="W193" s="121"/>
      <c r="Y193" s="121"/>
      <c r="AA193" s="121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1"/>
      <c r="U194" s="121"/>
      <c r="W194" s="121"/>
      <c r="Y194" s="121"/>
      <c r="AA194" s="121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1"/>
      <c r="U195" s="121"/>
      <c r="W195" s="121"/>
      <c r="Y195" s="121"/>
      <c r="AA195" s="121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1"/>
      <c r="U196" s="121"/>
      <c r="W196" s="121"/>
      <c r="Y196" s="121"/>
      <c r="AA196" s="121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1"/>
      <c r="U197" s="121"/>
      <c r="W197" s="121"/>
      <c r="Y197" s="121"/>
      <c r="AA197" s="121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1"/>
      <c r="U198" s="121"/>
      <c r="W198" s="121"/>
      <c r="Y198" s="121"/>
      <c r="AA198" s="121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1"/>
      <c r="U199" s="121"/>
      <c r="W199" s="121"/>
      <c r="Y199" s="121"/>
      <c r="AA199" s="121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1"/>
      <c r="U200" s="121"/>
      <c r="W200" s="121"/>
      <c r="Y200" s="121"/>
      <c r="AA200" s="121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2"/>
      <c r="U201" s="122"/>
      <c r="W201" s="122"/>
      <c r="Y201" s="122"/>
      <c r="AA201" s="122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9" t="s">
        <v>38</v>
      </c>
      <c r="B1" s="119"/>
      <c r="D1" s="1" t="s">
        <v>1</v>
      </c>
      <c r="E1" s="1" t="s">
        <v>11</v>
      </c>
      <c r="F1" s="1" t="str">
        <f>Moderator_effect_size_measure</f>
        <v>Log Odds Ratio</v>
      </c>
      <c r="G1" s="1" t="s">
        <v>42</v>
      </c>
    </row>
    <row r="2" spans="1:7" x14ac:dyDescent="0.3">
      <c r="A2" s="3" t="s">
        <v>51</v>
      </c>
      <c r="B2" s="5" t="s">
        <v>86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92</v>
      </c>
      <c r="B3" s="5" t="s">
        <v>105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58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43</v>
      </c>
      <c r="B6" s="5" t="s">
        <v>106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48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9" t="s">
        <v>75</v>
      </c>
      <c r="B9" s="119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8" t="s">
        <v>86</v>
      </c>
      <c r="B10" s="11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7" t="s">
        <v>76</v>
      </c>
      <c r="B11" s="117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7" t="s">
        <v>77</v>
      </c>
      <c r="B12" s="117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9" t="s">
        <v>104</v>
      </c>
      <c r="B14" s="119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8" t="str">
        <f>IF(Moderator_weighting_method="Peto","Log Peto Odds Ratio","Log Odds Ratio")</f>
        <v>Log Odds Ratio</v>
      </c>
      <c r="B15" s="11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7" t="str">
        <f>IF(Moderator_weighting_method="Inverse variance","Log Risk Ratio","")</f>
        <v>Log Risk Ratio</v>
      </c>
      <c r="B16" s="117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7" t="str">
        <f>IF(Moderator_weighting_method="Inverse Variance","Risk Difference","")</f>
        <v>Risk Difference</v>
      </c>
      <c r="B17" s="117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107</v>
      </c>
      <c r="K28" s="1" t="s">
        <v>108</v>
      </c>
      <c r="L28" s="1" t="s">
        <v>109</v>
      </c>
      <c r="M28" s="1" t="s">
        <v>110</v>
      </c>
      <c r="N28" s="25" t="s">
        <v>111</v>
      </c>
      <c r="O28" s="1" t="s">
        <v>66</v>
      </c>
      <c r="P28" s="1" t="s">
        <v>112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113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98</v>
      </c>
      <c r="J32" s="1" t="str">
        <f>IF(Moderator_model="Fixed effect","Sum of squares (Q)","Sum of squares (Q*)")</f>
        <v>Sum of squares (Q)</v>
      </c>
      <c r="K32" s="1" t="s">
        <v>99</v>
      </c>
      <c r="L32" s="1" t="s">
        <v>100</v>
      </c>
      <c r="N32" s="1" t="s">
        <v>114</v>
      </c>
      <c r="O32" s="1" t="s">
        <v>115</v>
      </c>
      <c r="P32" s="1" t="s">
        <v>112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43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116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117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118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119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E8" sqref="E8:F10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38</v>
      </c>
      <c r="B1" s="1"/>
      <c r="D1" s="1" t="s">
        <v>1</v>
      </c>
      <c r="E1" s="1" t="str">
        <f>Additional_effect_size_measure</f>
        <v>Log Odds Ratio</v>
      </c>
      <c r="F1" s="1" t="s">
        <v>120</v>
      </c>
      <c r="M1" s="85"/>
      <c r="O1" s="119" t="s">
        <v>121</v>
      </c>
      <c r="P1" s="119"/>
      <c r="Q1" s="119"/>
      <c r="R1" s="119"/>
      <c r="S1" s="28"/>
      <c r="T1" s="85"/>
      <c r="V1" s="1" t="s">
        <v>1</v>
      </c>
      <c r="W1" s="1" t="s">
        <v>122</v>
      </c>
      <c r="AE1" s="85"/>
      <c r="AG1" s="1" t="s">
        <v>1</v>
      </c>
      <c r="AH1" s="1" t="s">
        <v>123</v>
      </c>
      <c r="AI1" s="1" t="s">
        <v>124</v>
      </c>
      <c r="AR1" s="85"/>
      <c r="AT1" s="1" t="s">
        <v>1</v>
      </c>
      <c r="AU1" s="1" t="s">
        <v>125</v>
      </c>
      <c r="AV1" s="1" t="s">
        <v>126</v>
      </c>
      <c r="BC1" s="85"/>
      <c r="BE1" s="1" t="s">
        <v>1</v>
      </c>
      <c r="BF1" s="75" t="s">
        <v>127</v>
      </c>
      <c r="BG1" s="1" t="s">
        <v>128</v>
      </c>
      <c r="BP1" s="85"/>
      <c r="BR1" s="1" t="s">
        <v>129</v>
      </c>
      <c r="BS1" s="1"/>
      <c r="BT1" s="85"/>
    </row>
    <row r="2" spans="1:72" x14ac:dyDescent="0.3">
      <c r="A2" s="3" t="s">
        <v>51</v>
      </c>
      <c r="B2" s="5" t="s">
        <v>86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21" t="s">
        <v>130</v>
      </c>
      <c r="O2" s="3"/>
      <c r="P2" s="3" t="s">
        <v>131</v>
      </c>
      <c r="Q2" s="3" t="s">
        <v>108</v>
      </c>
      <c r="R2" s="3" t="s">
        <v>109</v>
      </c>
      <c r="S2" s="3" t="s">
        <v>110</v>
      </c>
      <c r="T2" s="121" t="s">
        <v>132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21" t="s">
        <v>133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21" t="s">
        <v>134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21" t="s">
        <v>135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21" t="s">
        <v>136</v>
      </c>
      <c r="BR2" s="135" t="s">
        <v>137</v>
      </c>
      <c r="BS2" s="135"/>
      <c r="BT2" s="121" t="s">
        <v>138</v>
      </c>
    </row>
    <row r="3" spans="1:72" x14ac:dyDescent="0.3">
      <c r="A3" s="3" t="s">
        <v>92</v>
      </c>
      <c r="B3" s="5" t="s">
        <v>105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21"/>
      <c r="O3" s="3" t="s">
        <v>113</v>
      </c>
      <c r="P3" s="4">
        <f>IF(Additional_valid_options="Yes",INTERCEPT(Z_score,Inverse_standard_error),NA())</f>
        <v>1.4113170502504895</v>
      </c>
      <c r="Q3" s="4">
        <f>IF(Additional_valid_options="Yes",Q4*SQRT(1/k_*SUMPRODUCT(Inverse_standard_error,Inverse_standard_error)),NA())</f>
        <v>0.32286148626739974</v>
      </c>
      <c r="R3" s="4">
        <f>P3-ABS(TINV((1-Additional_confidence_level),k_-1))*Q3</f>
        <v>0.51490985704648295</v>
      </c>
      <c r="S3" s="4">
        <f>P3+ABS(TINV((1-Additional_confidence_level),k_-1))*Q3</f>
        <v>2.307724243454496</v>
      </c>
      <c r="T3" s="121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1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1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1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1"/>
      <c r="BR3" s="3" t="s">
        <v>139</v>
      </c>
      <c r="BS3" s="4">
        <f>SUM(Calculations!JH:JH)/SQRT(k_)</f>
        <v>-5.1115067092294337</v>
      </c>
      <c r="BT3" s="121"/>
    </row>
    <row r="4" spans="1:72" x14ac:dyDescent="0.3">
      <c r="A4" s="3" t="s">
        <v>58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1"/>
      <c r="O4" s="3" t="s">
        <v>140</v>
      </c>
      <c r="P4" s="4">
        <f>IF(Additional_valid_options="Yes",SLOPE(Z_score,Inverse_standard_error),NA())</f>
        <v>-0.68131785582133342</v>
      </c>
      <c r="Q4" s="4">
        <f>IF(Additional_valid_options="Yes",SQRT(((1/(k_-2))*SUMPRODUCT(Calculations!HM:HM,Calculations!HM:HM))/SUMPRODUCT(Calculations!HL:HL,Calculations!HL:HL)),NA())</f>
        <v>5.8278616266454683E-2</v>
      </c>
      <c r="R4" s="4">
        <f>P4-ABS(TINV((1-Additional_confidence_level),k_-1))*Q4</f>
        <v>-0.84312523469203193</v>
      </c>
      <c r="S4" s="4">
        <f>P4+ABS(TINV((1-Additional_confidence_level),k_-1))*Q4</f>
        <v>-0.5195104769506349</v>
      </c>
      <c r="T4" s="121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1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1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1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1"/>
      <c r="BR4" s="3" t="s">
        <v>141</v>
      </c>
      <c r="BS4" s="7">
        <f>MAX(0,ROUNDUP(k_*(BS3/NORMSINV((1-Additional_confidence_level)))^2-k_,0))</f>
        <v>44</v>
      </c>
      <c r="BT4" s="121"/>
    </row>
    <row r="5" spans="1:72" x14ac:dyDescent="0.3">
      <c r="D5" s="44" t="str">
        <f t="shared" si="0"/>
        <v xml:space="preserve">Hsu et al. </v>
      </c>
      <c r="E5" s="3">
        <f t="shared" si="1"/>
        <v>-0.43500543404549424</v>
      </c>
      <c r="F5" s="3">
        <f t="shared" si="2"/>
        <v>0.18149535648793691</v>
      </c>
      <c r="M5" s="121"/>
      <c r="T5" s="121"/>
      <c r="V5" s="76" t="str">
        <f t="shared" si="3"/>
        <v xml:space="preserve">Hsu et al. </v>
      </c>
      <c r="W5" s="35">
        <f>IF(AND(Include_study?="Yes",Sufficient_data="Yes"),((E:E-I$29)*SQRT(Calculations!FU:FU))/SQRT(1-Calculations!FU:FU/SUM(Calculations!FU:FU)),"")</f>
        <v>-1.9854340418057767E-2</v>
      </c>
      <c r="AE5" s="121"/>
      <c r="AG5" s="76" t="str">
        <f t="shared" si="4"/>
        <v xml:space="preserve">Hsu et al. </v>
      </c>
      <c r="AH5" s="3">
        <f t="shared" si="5"/>
        <v>2.6215895610913403E-2</v>
      </c>
      <c r="AI5" s="35">
        <f t="shared" si="6"/>
        <v>1.7126909518213867E-2</v>
      </c>
      <c r="AR5" s="121"/>
      <c r="AT5" s="76" t="str">
        <f t="shared" si="7"/>
        <v xml:space="preserve">Hsu et al. </v>
      </c>
      <c r="AU5" s="3">
        <f t="shared" si="8"/>
        <v>5.5097828360499408</v>
      </c>
      <c r="AV5" s="35">
        <f t="shared" si="9"/>
        <v>-2.3967854740923187</v>
      </c>
      <c r="BC5" s="121"/>
      <c r="BE5" s="76" t="str">
        <f t="shared" si="10"/>
        <v xml:space="preserve">Hsu et al. </v>
      </c>
      <c r="BF5" s="3">
        <f>IF(AND(Include_study?="Yes",Sufficient_data="Yes"),NORMSINV(Calculations!IW5),"")</f>
        <v>0.48877641111466941</v>
      </c>
      <c r="BG5" s="35">
        <f t="shared" si="11"/>
        <v>-2.3967854740923187</v>
      </c>
      <c r="BP5" s="121"/>
      <c r="BR5" s="3" t="s">
        <v>142</v>
      </c>
      <c r="BS5" s="4" t="b">
        <f>BS4&lt;5*k_+10</f>
        <v>0</v>
      </c>
      <c r="BT5" s="121"/>
    </row>
    <row r="6" spans="1:72" x14ac:dyDescent="0.3">
      <c r="A6" s="3" t="s">
        <v>43</v>
      </c>
      <c r="B6" s="5" t="s">
        <v>106</v>
      </c>
      <c r="D6" s="44" t="str">
        <f t="shared" si="0"/>
        <v>Xie et al.</v>
      </c>
      <c r="E6" s="3">
        <f t="shared" si="1"/>
        <v>-0.23830415746164413</v>
      </c>
      <c r="F6" s="3">
        <f t="shared" si="2"/>
        <v>0.30686391399704416</v>
      </c>
      <c r="M6" s="121"/>
      <c r="O6" s="3" t="s">
        <v>143</v>
      </c>
      <c r="P6" s="4">
        <f>P3/Q3</f>
        <v>4.3712771893814892</v>
      </c>
      <c r="T6" s="121"/>
      <c r="V6" s="76" t="str">
        <f t="shared" si="3"/>
        <v>Xie et al.</v>
      </c>
      <c r="W6" s="35">
        <f>IF(AND(Include_study?="Yes",Sufficient_data="Yes"),((E:E-I$29)*SQRT(Calculations!FU:FU))/SQRT(1-Calculations!FU:FU/SUM(Calculations!FU:FU)),"")</f>
        <v>0.65350507735152275</v>
      </c>
      <c r="AE6" s="121"/>
      <c r="AG6" s="76" t="str">
        <f t="shared" si="4"/>
        <v>Xie et al.</v>
      </c>
      <c r="AH6" s="3">
        <f t="shared" si="5"/>
        <v>4.5072115384615381E-3</v>
      </c>
      <c r="AI6" s="35">
        <f t="shared" si="6"/>
        <v>3.5549132947976878E-3</v>
      </c>
      <c r="AR6" s="121"/>
      <c r="AT6" s="76" t="str">
        <f t="shared" si="7"/>
        <v>Xie et al.</v>
      </c>
      <c r="AU6" s="3">
        <f t="shared" si="8"/>
        <v>3.2587735291991109</v>
      </c>
      <c r="AV6" s="35">
        <f t="shared" si="9"/>
        <v>-0.77657928023410261</v>
      </c>
      <c r="BC6" s="121"/>
      <c r="BE6" s="76" t="str">
        <f t="shared" si="10"/>
        <v>Xie et al.</v>
      </c>
      <c r="BF6" s="3">
        <f>IF(AND(Include_study?="Yes",Sufficient_data="Yes"),NORMSINV(Calculations!IW6),"")</f>
        <v>1.150349380376009</v>
      </c>
      <c r="BG6" s="35">
        <f t="shared" si="11"/>
        <v>-0.77657928023410261</v>
      </c>
      <c r="BP6" s="121"/>
      <c r="BT6" s="121"/>
    </row>
    <row r="7" spans="1:72" x14ac:dyDescent="0.3">
      <c r="A7" s="3" t="s">
        <v>48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1"/>
      <c r="O7" s="3" t="s">
        <v>112</v>
      </c>
      <c r="P7" s="26">
        <f>TDIST(ABS(P6),k_-2,2)</f>
        <v>2.2147630297805983E-2</v>
      </c>
      <c r="T7" s="121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1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1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1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1"/>
      <c r="BR7" s="119" t="s">
        <v>144</v>
      </c>
      <c r="BS7" s="119"/>
      <c r="BT7" s="121"/>
    </row>
    <row r="8" spans="1:72" x14ac:dyDescent="0.3">
      <c r="D8" s="44" t="str">
        <f t="shared" si="0"/>
        <v>Mustaqim et al. (A)</v>
      </c>
      <c r="E8" s="3">
        <f t="shared" si="1"/>
        <v>-0.46439153306345715</v>
      </c>
      <c r="F8" s="3">
        <f t="shared" si="2"/>
        <v>0.16622224852027354</v>
      </c>
      <c r="M8" s="121"/>
      <c r="T8" s="121"/>
      <c r="V8" s="76" t="str">
        <f t="shared" si="3"/>
        <v>Mustaqim et al. (A)</v>
      </c>
      <c r="W8" s="35">
        <f>IF(AND(Include_study?="Yes",Sufficient_data="Yes"),((E:E-I$29)*SQRT(Calculations!FU:FU))/SQRT(1-Calculations!FU:FU/SUM(Calculations!FU:FU)),"")</f>
        <v>-0.22444991038491593</v>
      </c>
      <c r="AE8" s="121"/>
      <c r="AG8" s="76" t="str">
        <f t="shared" si="4"/>
        <v>Mustaqim et al. (A)</v>
      </c>
      <c r="AH8" s="3">
        <f t="shared" si="5"/>
        <v>3.4522176497485138E-2</v>
      </c>
      <c r="AI8" s="35">
        <f t="shared" si="6"/>
        <v>2.1979665071770335E-2</v>
      </c>
      <c r="AR8" s="121"/>
      <c r="AT8" s="76" t="str">
        <f t="shared" si="7"/>
        <v>Mustaqim et al. (A)</v>
      </c>
      <c r="AU8" s="3">
        <f t="shared" si="8"/>
        <v>6.0160418289494713</v>
      </c>
      <c r="AV8" s="35">
        <f t="shared" si="9"/>
        <v>-2.79379888791973</v>
      </c>
      <c r="BC8" s="121"/>
      <c r="BE8" s="76" t="str">
        <f t="shared" si="10"/>
        <v>Mustaqim et al. (A)</v>
      </c>
      <c r="BF8" s="3">
        <f>IF(AND(Include_study?="Yes",Sufficient_data="Yes"),NORMSINV(Calculations!IW8),"")</f>
        <v>-1.1503493803760083</v>
      </c>
      <c r="BG8" s="35">
        <f t="shared" si="11"/>
        <v>-2.79379888791973</v>
      </c>
      <c r="BP8" s="121"/>
      <c r="BR8" s="3" t="s">
        <v>145</v>
      </c>
      <c r="BS8" s="7">
        <f>MAX(0,ROUNDUP((k_*(1-MAX(Calculations!JI:JI))-1)/MAX(Calculations!JI:JI),0))</f>
        <v>14</v>
      </c>
      <c r="BT8" s="121"/>
    </row>
    <row r="9" spans="1:72" x14ac:dyDescent="0.3">
      <c r="A9" s="119" t="s">
        <v>75</v>
      </c>
      <c r="B9" s="119"/>
      <c r="D9" s="44" t="str">
        <f t="shared" si="0"/>
        <v>Mustaqim et al. (B)</v>
      </c>
      <c r="E9" s="3">
        <f t="shared" si="1"/>
        <v>-0.42559706914049256</v>
      </c>
      <c r="F9" s="3">
        <f t="shared" si="2"/>
        <v>0.15819301029191302</v>
      </c>
      <c r="M9" s="121"/>
      <c r="O9" s="119" t="s">
        <v>146</v>
      </c>
      <c r="P9" s="119"/>
      <c r="T9" s="121"/>
      <c r="V9" s="76" t="str">
        <f t="shared" si="3"/>
        <v>Mustaqim et al. (B)</v>
      </c>
      <c r="W9" s="35">
        <f>IF(AND(Include_study?="Yes",Sufficient_data="Yes"),((E:E-I$29)*SQRT(Calculations!FU:FU))/SQRT(1-Calculations!FU:FU/SUM(Calculations!FU:FU)),"")</f>
        <v>4.5432790908737489E-2</v>
      </c>
      <c r="AE9" s="121"/>
      <c r="AG9" s="76" t="str">
        <f t="shared" si="4"/>
        <v>Mustaqim et al. (B)</v>
      </c>
      <c r="AH9" s="3">
        <f t="shared" si="5"/>
        <v>3.7494284407864654E-2</v>
      </c>
      <c r="AI9" s="35">
        <f t="shared" si="6"/>
        <v>2.4820574162679427E-2</v>
      </c>
      <c r="AR9" s="121"/>
      <c r="AT9" s="76" t="str">
        <f t="shared" si="7"/>
        <v>Mustaqim et al. (B)</v>
      </c>
      <c r="AU9" s="3">
        <f t="shared" si="8"/>
        <v>6.3213918121584731</v>
      </c>
      <c r="AV9" s="35">
        <f t="shared" si="9"/>
        <v>-2.6903658281433533</v>
      </c>
      <c r="BC9" s="121"/>
      <c r="BE9" s="76" t="str">
        <f t="shared" si="10"/>
        <v>Mustaqim et al. (B)</v>
      </c>
      <c r="BF9" s="3">
        <f>IF(AND(Include_study?="Yes",Sufficient_data="Yes"),NORMSINV(Calculations!IW9),"")</f>
        <v>0</v>
      </c>
      <c r="BG9" s="35">
        <f t="shared" si="11"/>
        <v>-2.6903658281433533</v>
      </c>
      <c r="BP9" s="121"/>
      <c r="BT9" s="121"/>
    </row>
    <row r="10" spans="1:72" ht="13" x14ac:dyDescent="0.35">
      <c r="A10" s="118" t="s">
        <v>86</v>
      </c>
      <c r="B10" s="118"/>
      <c r="D10" s="44" t="str">
        <f t="shared" si="0"/>
        <v>Van et al.</v>
      </c>
      <c r="E10" s="3">
        <f t="shared" si="1"/>
        <v>-0.45994673443488249</v>
      </c>
      <c r="F10" s="3">
        <f t="shared" si="2"/>
        <v>0.16591715180270977</v>
      </c>
      <c r="M10" s="121"/>
      <c r="O10" s="3" t="s">
        <v>147</v>
      </c>
      <c r="P10" s="4">
        <f>IF(Additional_valid_options="Yes",SUM(Calculations!HT:HT)/2-SUM(Calculations!HU:HU)/2,NA())</f>
        <v>2</v>
      </c>
      <c r="T10" s="121"/>
      <c r="V10" s="76" t="str">
        <f t="shared" si="3"/>
        <v>Van et al.</v>
      </c>
      <c r="W10" s="35">
        <f>IF(AND(Include_study?="Yes",Sufficient_data="Yes"),((E:E-I$29)*SQRT(Calculations!FU:FU))/SQRT(1-Calculations!FU:FU/SUM(Calculations!FU:FU)),"")</f>
        <v>-0.19432720647180979</v>
      </c>
      <c r="AE10" s="121"/>
      <c r="AG10" s="76" t="str">
        <f t="shared" si="4"/>
        <v>Van et al.</v>
      </c>
      <c r="AH10" s="3">
        <f t="shared" si="5"/>
        <v>4.0105313547151751E-2</v>
      </c>
      <c r="AI10" s="35">
        <f t="shared" si="6"/>
        <v>2.5699168556311415E-2</v>
      </c>
      <c r="AR10" s="121"/>
      <c r="AT10" s="76" t="str">
        <f t="shared" si="7"/>
        <v>Van et al.</v>
      </c>
      <c r="AU10" s="3">
        <f t="shared" si="8"/>
        <v>6.0271044261240023</v>
      </c>
      <c r="AV10" s="35">
        <f t="shared" si="9"/>
        <v>-2.7721469988937613</v>
      </c>
      <c r="BC10" s="121"/>
      <c r="BE10" s="76" t="str">
        <f t="shared" si="10"/>
        <v>Van et al.</v>
      </c>
      <c r="BF10" s="3">
        <f>IF(AND(Include_study?="Yes",Sufficient_data="Yes"),NORMSINV(Calculations!IW10),"")</f>
        <v>-0.4887764111146693</v>
      </c>
      <c r="BG10" s="35">
        <f t="shared" si="11"/>
        <v>-2.7721469988937613</v>
      </c>
      <c r="BP10" s="121"/>
      <c r="BR10" s="119" t="s">
        <v>148</v>
      </c>
      <c r="BS10" s="119"/>
      <c r="BT10" s="121"/>
    </row>
    <row r="11" spans="1:72" x14ac:dyDescent="0.3">
      <c r="A11" s="117" t="s">
        <v>76</v>
      </c>
      <c r="B11" s="117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1"/>
      <c r="O11" s="3" t="s">
        <v>149</v>
      </c>
      <c r="P11" s="4">
        <f>IF(Additional_valid_options="Yes",(SUM(Calculations!HT:HT)/2-SUM(Calculations!HU:HU)/2)/(1/2*k_*(k_-1)),NA())</f>
        <v>0.2</v>
      </c>
      <c r="T11" s="121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1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1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1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1"/>
      <c r="BR11" s="3" t="s">
        <v>117</v>
      </c>
      <c r="BS11" s="4">
        <f>I29</f>
        <v>-0.43177801706681374</v>
      </c>
      <c r="BT11" s="121"/>
    </row>
    <row r="12" spans="1:72" ht="13" x14ac:dyDescent="0.35">
      <c r="A12" s="117" t="s">
        <v>77</v>
      </c>
      <c r="B12" s="117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1"/>
      <c r="O12" s="3" t="s">
        <v>150</v>
      </c>
      <c r="P12" s="4">
        <f>P10/SQRT((k_*(k_-1)*(2*k_+5)/18))</f>
        <v>0.4898979485566356</v>
      </c>
      <c r="T12" s="121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1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1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1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1"/>
      <c r="BR12" s="3" t="s">
        <v>151</v>
      </c>
      <c r="BS12" s="5">
        <v>0</v>
      </c>
      <c r="BT12" s="121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1"/>
      <c r="O13" s="3" t="s">
        <v>100</v>
      </c>
      <c r="P13" s="26">
        <f>2*(1-NORMSDIST(ABS(P12)))</f>
        <v>0.62420611476640597</v>
      </c>
      <c r="T13" s="121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1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1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1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1"/>
      <c r="BR13" s="3" t="s">
        <v>152</v>
      </c>
      <c r="BS13" s="5">
        <v>-0.69</v>
      </c>
      <c r="BT13" s="121"/>
    </row>
    <row r="14" spans="1:72" x14ac:dyDescent="0.3">
      <c r="A14" s="119" t="s">
        <v>104</v>
      </c>
      <c r="B14" s="119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1"/>
      <c r="T14" s="121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1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1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1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1"/>
      <c r="BR14" s="3" t="s">
        <v>141</v>
      </c>
      <c r="BS14" s="7">
        <f>MAX(0,ROUNDUP(k_*(BS11-BS12)/(BS12-BS13),0))</f>
        <v>0</v>
      </c>
      <c r="BT14" s="121"/>
    </row>
    <row r="15" spans="1:72" x14ac:dyDescent="0.3">
      <c r="A15" s="118" t="str">
        <f>IF(Additional_weighting_method="Peto","Log Peto Odds Ratio","Log Odds Ratio")</f>
        <v>Log Odds Ratio</v>
      </c>
      <c r="B15" s="118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1"/>
      <c r="T15" s="121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1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1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1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1"/>
      <c r="BT15" s="121"/>
    </row>
    <row r="16" spans="1:72" x14ac:dyDescent="0.3">
      <c r="A16" s="117" t="str">
        <f>IF(Additional_weighting_method="Inverse variance","Log Risk Ratio","")</f>
        <v>Log Risk Ratio</v>
      </c>
      <c r="B16" s="117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1"/>
      <c r="T16" s="121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1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1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1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1"/>
      <c r="BR16" s="119" t="s">
        <v>153</v>
      </c>
      <c r="BS16" s="119"/>
      <c r="BT16" s="121"/>
    </row>
    <row r="17" spans="1:72" x14ac:dyDescent="0.3">
      <c r="A17" s="117" t="str">
        <f>IF(Additional_weighting_method="Inverse Variance","Risk Difference","")</f>
        <v>Risk Difference</v>
      </c>
      <c r="B17" s="117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1"/>
      <c r="T17" s="121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1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1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1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1"/>
      <c r="BR17" s="3" t="s">
        <v>141</v>
      </c>
      <c r="BS17" s="7">
        <f>MAX(0,ROUNDUP(-2*SUM(Calculations!JJ:JJ),0))</f>
        <v>48</v>
      </c>
      <c r="BT17" s="121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1"/>
      <c r="T18" s="121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1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1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1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1"/>
      <c r="BR18" s="3" t="s">
        <v>154</v>
      </c>
      <c r="BS18" s="26">
        <f>CHIDIST(BS17,k_*2)</f>
        <v>6.2066987042492648E-7</v>
      </c>
      <c r="BT18" s="121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1"/>
      <c r="T19" s="121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1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1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1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1"/>
      <c r="BT19" s="121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1"/>
      <c r="T20" s="121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1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1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1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1"/>
      <c r="BT20" s="121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1"/>
      <c r="T21" s="121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1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1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1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1"/>
      <c r="BT21" s="121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1"/>
      <c r="T22" s="121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1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1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1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1"/>
      <c r="BT22" s="121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1"/>
      <c r="T23" s="121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1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1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1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1"/>
      <c r="BT23" s="121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1"/>
      <c r="T24" s="121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1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1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1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1"/>
      <c r="BT24" s="121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1"/>
      <c r="T25" s="121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1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1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1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1"/>
      <c r="BT25" s="121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1"/>
      <c r="T26" s="121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1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1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1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1"/>
      <c r="BT26" s="121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1"/>
      <c r="T27" s="121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1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1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1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1"/>
      <c r="BT27" s="121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117</v>
      </c>
      <c r="I28" s="28" t="s">
        <v>155</v>
      </c>
      <c r="K28" s="119" t="s">
        <v>71</v>
      </c>
      <c r="L28" s="119"/>
      <c r="M28" s="121"/>
      <c r="T28" s="121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1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1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3" t="s">
        <v>156</v>
      </c>
      <c r="AY28" s="133"/>
      <c r="AZ28" s="133"/>
      <c r="BA28" s="133"/>
      <c r="BB28" s="136"/>
      <c r="BC28" s="121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3" t="s">
        <v>156</v>
      </c>
      <c r="BJ28" s="133"/>
      <c r="BK28" s="133"/>
      <c r="BL28" s="133"/>
      <c r="BM28" s="133"/>
      <c r="BP28" s="121"/>
      <c r="BT28" s="121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-0.43177801706681374</v>
      </c>
      <c r="K29" s="3" t="s">
        <v>72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0.46667726752718153</v>
      </c>
      <c r="M29" s="121"/>
      <c r="T29" s="121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157</v>
      </c>
      <c r="Z29" s="1" t="s">
        <v>158</v>
      </c>
      <c r="AA29" s="1" t="s">
        <v>159</v>
      </c>
      <c r="AE29" s="121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1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131</v>
      </c>
      <c r="AZ29" s="3" t="s">
        <v>108</v>
      </c>
      <c r="BA29" s="3" t="s">
        <v>109</v>
      </c>
      <c r="BB29" s="3" t="s">
        <v>110</v>
      </c>
      <c r="BC29" s="121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131</v>
      </c>
      <c r="BK29" s="3" t="s">
        <v>108</v>
      </c>
      <c r="BL29" s="3" t="s">
        <v>109</v>
      </c>
      <c r="BM29" s="3" t="s">
        <v>110</v>
      </c>
      <c r="BP29" s="121"/>
      <c r="BT29" s="121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8.0724987741949791E-2</v>
      </c>
      <c r="K30" s="3" t="s">
        <v>73</v>
      </c>
      <c r="L30" s="26">
        <f>IF(Additional_valid_options="Yes",CHIDIST(L29,k_-1+IF(Trim_and_fill="On",L39,0)),"")</f>
        <v>0.97666281909057151</v>
      </c>
      <c r="M30" s="121"/>
      <c r="T30" s="121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1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1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113</v>
      </c>
      <c r="AY30" s="4">
        <v>0</v>
      </c>
      <c r="AZ30" s="4"/>
      <c r="BA30" s="4"/>
      <c r="BB30" s="4"/>
      <c r="BC30" s="121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113</v>
      </c>
      <c r="BJ30" s="4">
        <f>INTERCEPT(BG:BG,BF:BF)</f>
        <v>-2.2859352938566531</v>
      </c>
      <c r="BK30" s="4">
        <f>BK31*SQRT(1/k_*SUMPRODUCT(BF:BF,BF:BF))</f>
        <v>0.25054498006765863</v>
      </c>
      <c r="BL30" s="4">
        <f>BJ30-ABS(TINV((1-Additional_confidence_level),k_-1))*BK30</f>
        <v>-2.9815596773973825</v>
      </c>
      <c r="BM30" s="4">
        <f>BJ30+ABS(TINV((1-Additional_confidence_level),k_-1))*BK30</f>
        <v>-1.5903109103159236</v>
      </c>
      <c r="BP30" s="121"/>
      <c r="BT30" s="121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40</v>
      </c>
      <c r="I31" s="4">
        <f>IF(Additional_valid_options="Yes",I29-ABS(TINV((1-Additional_confidence_level),k_-1))*I30,"")</f>
        <v>-0.65590651415010204</v>
      </c>
      <c r="K31" s="3" t="s">
        <v>74</v>
      </c>
      <c r="L31" s="8">
        <f>IF(Additional_valid_options="Yes",IF(L29-(k_-1+IF(Trim_and_fill="On",L39,0))&lt;=0,0,(L29-(k_-1+IF(Trim_and_fill="On",L39,0)))/L29),"")</f>
        <v>0</v>
      </c>
      <c r="M31" s="121"/>
      <c r="T31" s="121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21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1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140</v>
      </c>
      <c r="AY31" s="4">
        <f>I29</f>
        <v>-0.43177801706681374</v>
      </c>
      <c r="AZ31" s="4">
        <f>I30</f>
        <v>8.0724987741949791E-2</v>
      </c>
      <c r="BA31" s="4">
        <f>AY31-ABS(TINV((1-Additional_confidence_level),k_-1))*AZ31</f>
        <v>-0.65590651415010204</v>
      </c>
      <c r="BB31" s="4">
        <f>AY31+ABS(TINV((1-Additional_confidence_level),k_-1))*AZ31</f>
        <v>-0.2076495199835254</v>
      </c>
      <c r="BC31" s="121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140</v>
      </c>
      <c r="BJ31" s="4">
        <f>SLOPE(BG:BG,BF:BF)</f>
        <v>0.80142281534497217</v>
      </c>
      <c r="BK31" s="4">
        <f>SQRT(((1/(k_-2))*SUMPRODUCT(Calculations!JA:JA,Calculations!JA:JA))/SUMPRODUCT(Calculations!IZ:IZ,Calculations!IZ:IZ))</f>
        <v>0.31694692929435325</v>
      </c>
      <c r="BL31" s="4">
        <f>BJ31-ABS(TINV((1-Additional_confidence_level),k_-1))*BK31</f>
        <v>-7.8562935101805897E-2</v>
      </c>
      <c r="BM31" s="4">
        <f>BJ31+ABS(TINV((1-Additional_confidence_level),k_-1))*BK31</f>
        <v>1.6814085657917501</v>
      </c>
      <c r="BP31" s="121"/>
      <c r="BT31" s="121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41</v>
      </c>
      <c r="I32" s="4">
        <f>IF(Additional_valid_options="Yes",I29+ABS(TINV((1-Additional_confidence_level),k_-1))*I30,"")</f>
        <v>-0.2076495199835254</v>
      </c>
      <c r="K32" s="3" t="s">
        <v>160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1"/>
      <c r="T32" s="121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</v>
      </c>
      <c r="AA32" s="4">
        <f>NORMSDIST(Calculations!HZ3)-(SUM(AA$31:AA31))</f>
        <v>6.6573886502913904E-2</v>
      </c>
      <c r="AE32" s="121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3" t="s">
        <v>117</v>
      </c>
      <c r="AL32" s="133"/>
      <c r="AM32" s="133"/>
      <c r="AR32" s="121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1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1"/>
      <c r="BT32" s="121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64</v>
      </c>
      <c r="I33" s="4">
        <f>IF(Additional_valid_options="Yes",I29-ABS(TINV((1-Additional_confidence_level),k_-1))*SQRT(I30^2+Calculations!GH12),"")</f>
        <v>-0.65590651415010204</v>
      </c>
      <c r="K33" s="3" t="s">
        <v>84</v>
      </c>
      <c r="L33" s="4">
        <f>IF(Additional_valid_options="Yes",SQRT(L32),"")</f>
        <v>0</v>
      </c>
      <c r="M33" s="121"/>
      <c r="T33" s="121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</v>
      </c>
      <c r="AA33" s="4">
        <f>NORMSDIST(Calculations!HZ4)-(SUM(AA$31:AA32))</f>
        <v>7.3551039085060443E-2</v>
      </c>
      <c r="AE33" s="121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4" t="s">
        <v>161</v>
      </c>
      <c r="AL33" s="134"/>
      <c r="AM33" s="134"/>
      <c r="AR33" s="121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1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162</v>
      </c>
      <c r="BJ33" s="5" t="s">
        <v>163</v>
      </c>
      <c r="BP33" s="121"/>
      <c r="BT33" s="121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65</v>
      </c>
      <c r="I34" s="4">
        <f>IF(Additional_valid_options="Yes",I29+ABS(TINV((1-Additional_confidence_level),k_-1))*SQRT(I30^2+Calculations!GH12),"")</f>
        <v>-0.2076495199835254</v>
      </c>
      <c r="M34" s="121"/>
      <c r="T34" s="121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0.4</v>
      </c>
      <c r="AA34" s="4">
        <f>NORMSDIST(Calculations!HZ5)-(SUM(AA$31:AA33))</f>
        <v>7.8083584911923687E-2</v>
      </c>
      <c r="AE34" s="121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164</v>
      </c>
      <c r="AL34" s="3"/>
      <c r="AM34" s="4">
        <f>EXP(SUMPRODUCT(LogRiskRatio,Calculations!IE:IE)/SUM(Calculations!IE:IE))</f>
        <v>0.65670503321091256</v>
      </c>
      <c r="AR34" s="121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1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1"/>
      <c r="BT34" s="121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1"/>
      <c r="T35" s="121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0.4</v>
      </c>
      <c r="AA35" s="4">
        <f>NORMSDIST(Calculations!HZ6)-(SUM(AA$31:AA34))</f>
        <v>7.9655674554057976E-2</v>
      </c>
      <c r="AE35" s="121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1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1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1"/>
      <c r="BT35" s="121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117</v>
      </c>
      <c r="I36" s="90" t="s">
        <v>165</v>
      </c>
      <c r="K36" s="1" t="s">
        <v>166</v>
      </c>
      <c r="L36" s="5" t="s">
        <v>167</v>
      </c>
      <c r="M36" s="121"/>
      <c r="T36" s="121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</v>
      </c>
      <c r="AA36" s="4">
        <f>NORMSDIST(Calculations!HZ7)-(SUM(AA$31:AA35))</f>
        <v>7.8083584911923687E-2</v>
      </c>
      <c r="AE36" s="121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1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1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1"/>
      <c r="BT36" s="121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-0.43177801706681374</v>
      </c>
      <c r="K37" s="3" t="s">
        <v>168</v>
      </c>
      <c r="L37" s="5" t="s">
        <v>169</v>
      </c>
      <c r="M37" s="121"/>
      <c r="T37" s="121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</v>
      </c>
      <c r="AA37" s="4">
        <f>NORMSDIST(Calculations!HZ8)-(SUM(AA$31:AA36))</f>
        <v>7.3551039085060443E-2</v>
      </c>
      <c r="AE37" s="121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1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1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1"/>
      <c r="BT37" s="121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8.0724987741949791E-2</v>
      </c>
      <c r="K38" s="3" t="s">
        <v>170</v>
      </c>
      <c r="L38" s="91" t="str">
        <f>IF(Trim_and_fill="Off","",IF(I29&gt;0,"Left",IF(I29&lt;0,"Right","NA")))</f>
        <v>Right</v>
      </c>
      <c r="M38" s="121"/>
      <c r="T38" s="121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0.2</v>
      </c>
      <c r="AA38" s="4">
        <f>NORMSDIST(Calculations!HZ9)-(SUM(AA$31:AA37))</f>
        <v>6.6573886502913848E-2</v>
      </c>
      <c r="AE38" s="121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1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1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1"/>
      <c r="BT38" s="121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40</v>
      </c>
      <c r="I39" s="4">
        <f>IF(AND(Trim_and_fill="On",Additional_valid_options="Yes",L38&lt;&gt;""),I37-ABS(TINV((1-Additional_confidence_level),k_+L39-1))*I38,"")</f>
        <v>-0.65590651415010204</v>
      </c>
      <c r="K39" s="3" t="s">
        <v>171</v>
      </c>
      <c r="L39" s="7">
        <f>IF(L38&lt;&gt;"",Calculations!GW21,"")</f>
        <v>0</v>
      </c>
      <c r="M39" s="121"/>
      <c r="T39" s="121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21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1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1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1"/>
      <c r="BT39" s="121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41</v>
      </c>
      <c r="I40" s="4">
        <f>IF(AND(Trim_and_fill="On",Additional_valid_options="Yes",L38&lt;&gt;""),I37+ABS(TINV((1-Additional_confidence_level),k_+L39-1))*I38,"")</f>
        <v>-0.2076495199835254</v>
      </c>
      <c r="M40" s="121"/>
      <c r="T40" s="121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1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1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1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1"/>
      <c r="BT40" s="121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64</v>
      </c>
      <c r="I41" s="4">
        <f>IF(AND(Trim_and_fill="On",Additional_valid_options="Yes",L38&lt;&gt;""),I37-ABS(TINV((1-Additional_confidence_level),k_+L39-1))*SQRT(I38^2+L32),"")</f>
        <v>-0.65590651415010204</v>
      </c>
      <c r="M41" s="121"/>
      <c r="T41" s="121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172</v>
      </c>
      <c r="AE41" s="121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1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1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1"/>
      <c r="BT41" s="121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65</v>
      </c>
      <c r="I42" s="4">
        <f>IF(AND(Trim_and_fill="On",Additional_valid_options="Yes",L38&lt;&gt;""),I37+ABS(TINV((1-Additional_confidence_level),k_+L39-1))*SQRT(I38^2+L32),"")</f>
        <v>-0.2076495199835254</v>
      </c>
      <c r="M42" s="121"/>
      <c r="T42" s="121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1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1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1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1"/>
      <c r="BT42" s="121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1"/>
      <c r="T43" s="121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1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1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1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1"/>
      <c r="BT43" s="121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1"/>
      <c r="T44" s="121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1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1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1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1"/>
      <c r="BT44" s="121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1"/>
      <c r="T45" s="121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1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1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1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1"/>
      <c r="BT45" s="121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1"/>
      <c r="T46" s="121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1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1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1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1"/>
      <c r="BT46" s="121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1"/>
      <c r="T47" s="121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1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1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1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1"/>
      <c r="BT47" s="121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1"/>
      <c r="T48" s="121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1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1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1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1"/>
      <c r="BT48" s="121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1"/>
      <c r="T49" s="121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1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1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1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1"/>
      <c r="BT49" s="121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1"/>
      <c r="T50" s="121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1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1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1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1"/>
      <c r="BT50" s="121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1"/>
      <c r="T51" s="121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1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1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1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1"/>
      <c r="BT51" s="121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1"/>
      <c r="T52" s="121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1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1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1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1"/>
      <c r="BT52" s="121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1"/>
      <c r="T53" s="121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1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1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1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1"/>
      <c r="BT53" s="121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1"/>
      <c r="T54" s="121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1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1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1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1"/>
      <c r="BT54" s="121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1"/>
      <c r="T55" s="121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1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1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1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1"/>
      <c r="BT55" s="121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1"/>
      <c r="T56" s="121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1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1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1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1"/>
      <c r="BT56" s="121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1"/>
      <c r="T57" s="121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1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1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1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1"/>
      <c r="BT57" s="121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1"/>
      <c r="T58" s="121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1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1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1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1"/>
      <c r="BT58" s="121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1"/>
      <c r="T59" s="121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1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1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1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1"/>
      <c r="BT59" s="121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1"/>
      <c r="T60" s="121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1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1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1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1"/>
      <c r="BT60" s="121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1"/>
      <c r="T61" s="121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1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1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1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1"/>
      <c r="BT61" s="121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1"/>
      <c r="T62" s="121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1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1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1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1"/>
      <c r="BT62" s="121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1"/>
      <c r="T63" s="121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1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1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1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1"/>
      <c r="BT63" s="121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1"/>
      <c r="T64" s="121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1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1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1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1"/>
      <c r="BT64" s="121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1"/>
      <c r="T65" s="121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1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1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1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1"/>
      <c r="BT65" s="121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1"/>
      <c r="T66" s="121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1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1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1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1"/>
      <c r="BT66" s="121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1"/>
      <c r="T67" s="121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1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1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1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1"/>
      <c r="BT67" s="121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1"/>
      <c r="T68" s="121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1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1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1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1"/>
      <c r="BT68" s="121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1"/>
      <c r="T69" s="121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1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1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1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1"/>
      <c r="BT69" s="121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1"/>
      <c r="T70" s="121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1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1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1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1"/>
      <c r="BT70" s="121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1"/>
      <c r="T71" s="121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1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1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1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1"/>
      <c r="BT71" s="121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1"/>
      <c r="T72" s="121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1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1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1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1"/>
      <c r="BT72" s="121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1"/>
      <c r="T73" s="121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1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1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1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1"/>
      <c r="BT73" s="121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1"/>
      <c r="T74" s="121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1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1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1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1"/>
      <c r="BT74" s="121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1"/>
      <c r="T75" s="121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1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1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1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1"/>
      <c r="BT75" s="121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1"/>
      <c r="T76" s="121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1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1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1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1"/>
      <c r="BT76" s="121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1"/>
      <c r="T77" s="121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1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1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1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1"/>
      <c r="BT77" s="121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1"/>
      <c r="T78" s="121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1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1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1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1"/>
      <c r="BT78" s="121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1"/>
      <c r="T79" s="121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1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1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1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1"/>
      <c r="BT79" s="121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1"/>
      <c r="T80" s="121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1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1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1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1"/>
      <c r="BT80" s="121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1"/>
      <c r="T81" s="121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1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1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1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1"/>
      <c r="BT81" s="121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1"/>
      <c r="T82" s="121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1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1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1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1"/>
      <c r="BT82" s="121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1"/>
      <c r="T83" s="121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1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1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1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1"/>
      <c r="BT83" s="121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1"/>
      <c r="T84" s="121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1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1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1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1"/>
      <c r="BT84" s="121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1"/>
      <c r="T85" s="121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1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1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1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1"/>
      <c r="BT85" s="121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1"/>
      <c r="T86" s="121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1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1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1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1"/>
      <c r="BT86" s="121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1"/>
      <c r="T87" s="121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1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1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1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1"/>
      <c r="BT87" s="121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1"/>
      <c r="T88" s="121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1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1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1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1"/>
      <c r="BT88" s="121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1"/>
      <c r="T89" s="121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1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1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1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1"/>
      <c r="BT89" s="121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1"/>
      <c r="T90" s="121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1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1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1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1"/>
      <c r="BT90" s="121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1"/>
      <c r="T91" s="121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1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1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1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1"/>
      <c r="BT91" s="121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1"/>
      <c r="T92" s="121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1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1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1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1"/>
      <c r="BT92" s="121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1"/>
      <c r="T93" s="121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1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1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1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1"/>
      <c r="BT93" s="121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1"/>
      <c r="T94" s="121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1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1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1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1"/>
      <c r="BT94" s="121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1"/>
      <c r="T95" s="121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1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1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1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1"/>
      <c r="BT95" s="121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1"/>
      <c r="T96" s="121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1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1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1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1"/>
      <c r="BT96" s="121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1"/>
      <c r="T97" s="121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1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1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1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1"/>
      <c r="BT97" s="121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1"/>
      <c r="T98" s="121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1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1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1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1"/>
      <c r="BT98" s="121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1"/>
      <c r="T99" s="121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1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1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1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1"/>
      <c r="BT99" s="121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1"/>
      <c r="T100" s="121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1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1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1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1"/>
      <c r="BT100" s="121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1"/>
      <c r="T101" s="121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1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1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1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1"/>
      <c r="BT101" s="121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1"/>
      <c r="T102" s="121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1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1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1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1"/>
      <c r="BT102" s="121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1"/>
      <c r="T103" s="121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1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1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1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1"/>
      <c r="BT103" s="121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1"/>
      <c r="T104" s="121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1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1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1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1"/>
      <c r="BT104" s="121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1"/>
      <c r="T105" s="121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1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1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1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1"/>
      <c r="BT105" s="121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1"/>
      <c r="T106" s="121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1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1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1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1"/>
      <c r="BT106" s="121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1"/>
      <c r="T107" s="121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1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1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1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1"/>
      <c r="BT107" s="121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1"/>
      <c r="T108" s="121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1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1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1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1"/>
      <c r="BT108" s="121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1"/>
      <c r="T109" s="121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1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1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1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1"/>
      <c r="BT109" s="121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1"/>
      <c r="T110" s="121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1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1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1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1"/>
      <c r="BT110" s="121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1"/>
      <c r="T111" s="121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1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1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1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1"/>
      <c r="BT111" s="121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1"/>
      <c r="T112" s="121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1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1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1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1"/>
      <c r="BT112" s="121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1"/>
      <c r="T113" s="121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1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1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1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1"/>
      <c r="BT113" s="121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1"/>
      <c r="T114" s="121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1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1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1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1"/>
      <c r="BT114" s="121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1"/>
      <c r="T115" s="121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1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1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1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1"/>
      <c r="BT115" s="121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1"/>
      <c r="T116" s="121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1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1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1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1"/>
      <c r="BT116" s="121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1"/>
      <c r="T117" s="121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1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1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1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1"/>
      <c r="BT117" s="121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1"/>
      <c r="T118" s="121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1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1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1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1"/>
      <c r="BT118" s="121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1"/>
      <c r="T119" s="121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1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1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1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1"/>
      <c r="BT119" s="121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1"/>
      <c r="T120" s="121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1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1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1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1"/>
      <c r="BT120" s="121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1"/>
      <c r="T121" s="121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1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1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1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1"/>
      <c r="BT121" s="121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1"/>
      <c r="T122" s="121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1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1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1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1"/>
      <c r="BT122" s="121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1"/>
      <c r="T123" s="121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1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1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1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1"/>
      <c r="BT123" s="121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1"/>
      <c r="T124" s="121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1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1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1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1"/>
      <c r="BT124" s="121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1"/>
      <c r="T125" s="121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1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1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1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1"/>
      <c r="BT125" s="121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1"/>
      <c r="T126" s="121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1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1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1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1"/>
      <c r="BT126" s="121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1"/>
      <c r="T127" s="121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1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1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1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1"/>
      <c r="BT127" s="121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1"/>
      <c r="T128" s="121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1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1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1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1"/>
      <c r="BT128" s="121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1"/>
      <c r="T129" s="121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1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1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1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1"/>
      <c r="BT129" s="121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1"/>
      <c r="T130" s="121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1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1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1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1"/>
      <c r="BT130" s="121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1"/>
      <c r="T131" s="121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1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1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1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1"/>
      <c r="BT131" s="121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1"/>
      <c r="T132" s="121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1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1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1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1"/>
      <c r="BT132" s="121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1"/>
      <c r="T133" s="121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1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1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1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1"/>
      <c r="BT133" s="121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1"/>
      <c r="T134" s="121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1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1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1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1"/>
      <c r="BT134" s="121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1"/>
      <c r="T135" s="121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1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1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1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1"/>
      <c r="BT135" s="121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1"/>
      <c r="T136" s="121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1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1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1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1"/>
      <c r="BT136" s="121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1"/>
      <c r="T137" s="121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1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1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1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1"/>
      <c r="BT137" s="121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1"/>
      <c r="T138" s="121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1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1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1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1"/>
      <c r="BT138" s="121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1"/>
      <c r="T139" s="121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1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1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1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1"/>
      <c r="BT139" s="121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1"/>
      <c r="T140" s="121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1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1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1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1"/>
      <c r="BT140" s="121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1"/>
      <c r="T141" s="121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1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1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1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1"/>
      <c r="BT141" s="121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1"/>
      <c r="T142" s="121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1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1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1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1"/>
      <c r="BT142" s="121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1"/>
      <c r="T143" s="121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1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1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1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1"/>
      <c r="BT143" s="121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1"/>
      <c r="T144" s="121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1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1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1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1"/>
      <c r="BT144" s="121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1"/>
      <c r="T145" s="121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1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1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1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1"/>
      <c r="BT145" s="121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1"/>
      <c r="T146" s="121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1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1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1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1"/>
      <c r="BT146" s="121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1"/>
      <c r="T147" s="121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1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1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1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1"/>
      <c r="BT147" s="121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1"/>
      <c r="T148" s="121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1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1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1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1"/>
      <c r="BT148" s="121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1"/>
      <c r="T149" s="121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1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1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1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1"/>
      <c r="BT149" s="121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1"/>
      <c r="T150" s="121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1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1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1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1"/>
      <c r="BT150" s="121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1"/>
      <c r="T151" s="121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1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1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1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1"/>
      <c r="BT151" s="121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1"/>
      <c r="T152" s="121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1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1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1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1"/>
      <c r="BT152" s="121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1"/>
      <c r="T153" s="121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1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1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1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1"/>
      <c r="BT153" s="121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1"/>
      <c r="T154" s="121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1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1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1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1"/>
      <c r="BT154" s="121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1"/>
      <c r="T155" s="121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1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1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1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1"/>
      <c r="BT155" s="121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1"/>
      <c r="T156" s="121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1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1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1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1"/>
      <c r="BT156" s="121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1"/>
      <c r="T157" s="121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1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1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1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1"/>
      <c r="BT157" s="121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1"/>
      <c r="T158" s="121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1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1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1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1"/>
      <c r="BT158" s="121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1"/>
      <c r="T159" s="121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1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1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1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1"/>
      <c r="BT159" s="121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1"/>
      <c r="T160" s="121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1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1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1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1"/>
      <c r="BT160" s="121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1"/>
      <c r="T161" s="121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1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1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1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1"/>
      <c r="BT161" s="121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1"/>
      <c r="T162" s="121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1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1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1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1"/>
      <c r="BT162" s="121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1"/>
      <c r="T163" s="121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1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1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1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1"/>
      <c r="BT163" s="121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1"/>
      <c r="T164" s="121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1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1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1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1"/>
      <c r="BT164" s="121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1"/>
      <c r="T165" s="121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1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1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1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1"/>
      <c r="BT165" s="121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1"/>
      <c r="T166" s="121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1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1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1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1"/>
      <c r="BT166" s="121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1"/>
      <c r="T167" s="121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1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1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1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1"/>
      <c r="BT167" s="121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1"/>
      <c r="T168" s="121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1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1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1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1"/>
      <c r="BT168" s="121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1"/>
      <c r="T169" s="121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1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1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1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1"/>
      <c r="BT169" s="121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1"/>
      <c r="T170" s="121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1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1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1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1"/>
      <c r="BT170" s="121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1"/>
      <c r="T171" s="121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1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1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1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1"/>
      <c r="BT171" s="121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1"/>
      <c r="T172" s="121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1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1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1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1"/>
      <c r="BT172" s="121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1"/>
      <c r="T173" s="121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1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1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1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1"/>
      <c r="BT173" s="121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1"/>
      <c r="T174" s="121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1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1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1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1"/>
      <c r="BT174" s="121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1"/>
      <c r="T175" s="121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1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1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1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1"/>
      <c r="BT175" s="121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1"/>
      <c r="T176" s="121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1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1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1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1"/>
      <c r="BT176" s="121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1"/>
      <c r="T177" s="121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1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1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1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1"/>
      <c r="BT177" s="121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1"/>
      <c r="T178" s="121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1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1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1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1"/>
      <c r="BT178" s="121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1"/>
      <c r="T179" s="121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1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1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1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1"/>
      <c r="BT179" s="121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1"/>
      <c r="T180" s="121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1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1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1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1"/>
      <c r="BT180" s="121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1"/>
      <c r="T181" s="121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1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1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1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1"/>
      <c r="BT181" s="121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1"/>
      <c r="T182" s="121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1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1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1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1"/>
      <c r="BT182" s="121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1"/>
      <c r="T183" s="121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1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1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1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1"/>
      <c r="BT183" s="121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1"/>
      <c r="T184" s="121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1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1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1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1"/>
      <c r="BT184" s="121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1"/>
      <c r="T185" s="121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1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1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1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1"/>
      <c r="BT185" s="121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1"/>
      <c r="T186" s="121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1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1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1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1"/>
      <c r="BT186" s="121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1"/>
      <c r="T187" s="121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1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1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1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1"/>
      <c r="BT187" s="121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1"/>
      <c r="T188" s="121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1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1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1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1"/>
      <c r="BT188" s="121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1"/>
      <c r="T189" s="121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1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1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1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1"/>
      <c r="BT189" s="121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1"/>
      <c r="T190" s="121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1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1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1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1"/>
      <c r="BT190" s="121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1"/>
      <c r="T191" s="121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1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1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1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1"/>
      <c r="BT191" s="121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1"/>
      <c r="T192" s="121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1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1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1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1"/>
      <c r="BT192" s="121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1"/>
      <c r="T193" s="121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1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1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1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1"/>
      <c r="BT193" s="121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1"/>
      <c r="T194" s="121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1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1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1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1"/>
      <c r="BT194" s="121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1"/>
      <c r="T195" s="121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1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1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1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1"/>
      <c r="BT195" s="121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1"/>
      <c r="T196" s="121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1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1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1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1"/>
      <c r="BT196" s="121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1"/>
      <c r="T197" s="121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1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1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1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1"/>
      <c r="BT197" s="121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1"/>
      <c r="T198" s="121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1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1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1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1"/>
      <c r="BT198" s="121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1"/>
      <c r="T199" s="121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1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1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1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1"/>
      <c r="BT199" s="121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1"/>
      <c r="T200" s="121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1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1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1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1"/>
      <c r="BT200" s="121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2"/>
      <c r="T201" s="122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2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2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2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2"/>
      <c r="BT201" s="122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N11"/>
  <sheetViews>
    <sheetView showGridLines="0" tabSelected="1" workbookViewId="0">
      <selection activeCell="O9" sqref="O9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5:14" ht="24" x14ac:dyDescent="0.3">
      <c r="E4" s="96" t="s">
        <v>1</v>
      </c>
      <c r="F4" s="115" t="s">
        <v>347</v>
      </c>
      <c r="G4" s="115" t="s">
        <v>348</v>
      </c>
      <c r="H4" s="115" t="s">
        <v>349</v>
      </c>
      <c r="I4" s="116" t="s">
        <v>42</v>
      </c>
      <c r="J4" s="95" t="s">
        <v>350</v>
      </c>
      <c r="K4" s="95"/>
      <c r="L4" s="96" t="s">
        <v>1</v>
      </c>
      <c r="M4" s="115" t="s">
        <v>105</v>
      </c>
      <c r="N4" s="115" t="s">
        <v>351</v>
      </c>
    </row>
    <row r="5" spans="5:14" x14ac:dyDescent="0.3">
      <c r="E5" s="112" t="s">
        <v>24</v>
      </c>
      <c r="F5" s="113">
        <v>0.64726114982194338</v>
      </c>
      <c r="G5" s="113">
        <v>0.45348077406497195</v>
      </c>
      <c r="H5" s="113">
        <v>0.9238473162013261</v>
      </c>
      <c r="I5" s="114">
        <v>0.19782671485310896</v>
      </c>
      <c r="J5" s="95" t="s">
        <v>350</v>
      </c>
      <c r="K5" s="95"/>
      <c r="L5" s="112" t="s">
        <v>24</v>
      </c>
      <c r="M5" s="113">
        <v>-0.43500543404549424</v>
      </c>
      <c r="N5" s="113">
        <v>0.18149535648793691</v>
      </c>
    </row>
    <row r="6" spans="5:14" x14ac:dyDescent="0.3">
      <c r="E6" s="112" t="s">
        <v>27</v>
      </c>
      <c r="F6" s="113">
        <v>0.7879629898192998</v>
      </c>
      <c r="G6" s="113">
        <v>0.43179709244592263</v>
      </c>
      <c r="H6" s="113">
        <v>1.4379107321171423</v>
      </c>
      <c r="I6" s="114">
        <v>6.920290653656723E-2</v>
      </c>
      <c r="J6" s="95" t="s">
        <v>350</v>
      </c>
      <c r="K6" s="95"/>
      <c r="L6" s="112" t="s">
        <v>27</v>
      </c>
      <c r="M6" s="113">
        <v>-0.23830415746164413</v>
      </c>
      <c r="N6" s="113">
        <v>0.30686391399704416</v>
      </c>
    </row>
    <row r="7" spans="5:14" x14ac:dyDescent="0.3">
      <c r="E7" s="112" t="s">
        <v>29</v>
      </c>
      <c r="F7" s="113">
        <v>0.62851742093428009</v>
      </c>
      <c r="G7" s="113">
        <v>0.45373021928538337</v>
      </c>
      <c r="H7" s="113">
        <v>0.87063662861171209</v>
      </c>
      <c r="I7" s="114">
        <v>0.23585097170983974</v>
      </c>
      <c r="J7" s="95" t="s">
        <v>350</v>
      </c>
      <c r="K7" s="95"/>
      <c r="L7" s="112" t="s">
        <v>29</v>
      </c>
      <c r="M7" s="113">
        <v>-0.46439153306345715</v>
      </c>
      <c r="N7" s="113">
        <v>0.16622224852027354</v>
      </c>
    </row>
    <row r="8" spans="5:14" x14ac:dyDescent="0.3">
      <c r="E8" s="112" t="s">
        <v>28</v>
      </c>
      <c r="F8" s="113">
        <v>0.65337955587467555</v>
      </c>
      <c r="G8" s="113">
        <v>0.47916150808292762</v>
      </c>
      <c r="H8" s="113">
        <v>0.89094144006472376</v>
      </c>
      <c r="I8" s="114">
        <v>0.2604002486782126</v>
      </c>
      <c r="J8" s="95" t="s">
        <v>350</v>
      </c>
      <c r="K8" s="95"/>
      <c r="L8" s="112" t="s">
        <v>28</v>
      </c>
      <c r="M8" s="113">
        <v>-0.42559706914049256</v>
      </c>
      <c r="N8" s="113">
        <v>0.15819301029191302</v>
      </c>
    </row>
    <row r="9" spans="5:14" x14ac:dyDescent="0.3">
      <c r="E9" s="112" t="s">
        <v>30</v>
      </c>
      <c r="F9" s="113">
        <v>0.63131727208261468</v>
      </c>
      <c r="G9" s="113">
        <v>0.45601865592730101</v>
      </c>
      <c r="H9" s="113">
        <v>0.8740026155714411</v>
      </c>
      <c r="I9" s="114">
        <v>0.23671915822227155</v>
      </c>
      <c r="J9" s="95" t="s">
        <v>350</v>
      </c>
      <c r="K9" s="95"/>
      <c r="L9" s="112" t="s">
        <v>30</v>
      </c>
      <c r="M9" s="113">
        <v>-0.45994673443488249</v>
      </c>
      <c r="N9" s="113">
        <v>0.16591715180270977</v>
      </c>
    </row>
    <row r="10" spans="5:14" x14ac:dyDescent="0.3">
      <c r="E10" s="112"/>
      <c r="F10" s="113"/>
      <c r="G10" s="113"/>
      <c r="H10" s="113"/>
      <c r="I10" s="114"/>
      <c r="J10" s="95"/>
      <c r="K10" s="95"/>
      <c r="L10" s="112"/>
      <c r="M10" s="113"/>
      <c r="N10" s="113"/>
    </row>
    <row r="11" spans="5:14" x14ac:dyDescent="0.3">
      <c r="F11" s="95"/>
      <c r="G11" s="95"/>
      <c r="H11" s="95"/>
      <c r="I11" s="9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173</v>
      </c>
      <c r="H1" s="87"/>
      <c r="I1" s="88"/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P1" s="85"/>
      <c r="Q1" s="1" t="s">
        <v>179</v>
      </c>
      <c r="R1" s="1" t="s">
        <v>180</v>
      </c>
      <c r="S1" s="1" t="s">
        <v>181</v>
      </c>
      <c r="T1" s="1" t="s">
        <v>182</v>
      </c>
      <c r="V1" s="85"/>
      <c r="W1" s="1" t="s">
        <v>183</v>
      </c>
      <c r="X1" s="1" t="s">
        <v>184</v>
      </c>
      <c r="Y1" s="1" t="s">
        <v>185</v>
      </c>
      <c r="Z1" s="1" t="s">
        <v>186</v>
      </c>
      <c r="AB1" s="85"/>
      <c r="AC1" s="1" t="s">
        <v>164</v>
      </c>
      <c r="AD1" s="1" t="s">
        <v>187</v>
      </c>
      <c r="AE1" s="1" t="s">
        <v>188</v>
      </c>
      <c r="AF1" s="1" t="s">
        <v>189</v>
      </c>
      <c r="AG1" s="1" t="s">
        <v>190</v>
      </c>
      <c r="AI1" s="87"/>
      <c r="AJ1" s="119" t="s">
        <v>191</v>
      </c>
      <c r="AK1" s="119"/>
      <c r="AL1" s="1" t="s">
        <v>45</v>
      </c>
      <c r="AM1" s="1" t="s">
        <v>1</v>
      </c>
      <c r="AN1" s="1" t="s">
        <v>49</v>
      </c>
      <c r="AO1" s="1" t="str">
        <f>Present_Effect_size_measure</f>
        <v>Odds Ratio</v>
      </c>
      <c r="AP1" s="1" t="s">
        <v>53</v>
      </c>
      <c r="AQ1" s="1" t="s">
        <v>56</v>
      </c>
      <c r="AR1" s="1" t="str">
        <f>IF(Present_Effect_size_measure="Risk Difference","Standard error","Standard error log")</f>
        <v>Standard error log</v>
      </c>
      <c r="AS1" s="1" t="s">
        <v>40</v>
      </c>
      <c r="AT1" s="1" t="s">
        <v>41</v>
      </c>
      <c r="AU1" s="1" t="s">
        <v>42</v>
      </c>
      <c r="AW1" s="1" t="str">
        <f>Present_Effect_size_measure</f>
        <v>Odds Ratio</v>
      </c>
      <c r="AX1" s="1" t="s">
        <v>192</v>
      </c>
      <c r="AY1" s="1" t="s">
        <v>193</v>
      </c>
      <c r="BA1" s="119" t="s">
        <v>194</v>
      </c>
      <c r="BB1" s="119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108</v>
      </c>
      <c r="BH1" s="1" t="s">
        <v>53</v>
      </c>
      <c r="BI1" s="1" t="s">
        <v>56</v>
      </c>
      <c r="BJ1" s="1" t="s">
        <v>116</v>
      </c>
      <c r="BL1" s="119" t="s">
        <v>63</v>
      </c>
      <c r="BM1" s="119"/>
      <c r="BO1" s="85"/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53</v>
      </c>
      <c r="BW1" s="1" t="s">
        <v>201</v>
      </c>
      <c r="BX1" s="1" t="s">
        <v>56</v>
      </c>
      <c r="BY1" s="1" t="s">
        <v>116</v>
      </c>
      <c r="BZ1" s="11"/>
      <c r="CA1" s="119" t="s">
        <v>63</v>
      </c>
      <c r="CB1" s="119"/>
      <c r="CD1" s="85"/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53</v>
      </c>
      <c r="CJ1" s="1" t="s">
        <v>56</v>
      </c>
      <c r="CK1" s="1" t="s">
        <v>116</v>
      </c>
      <c r="CM1" s="119" t="s">
        <v>63</v>
      </c>
      <c r="CN1" s="119"/>
      <c r="CP1" s="85"/>
      <c r="CQ1" s="1" t="s">
        <v>206</v>
      </c>
      <c r="CS1" s="119" t="s">
        <v>55</v>
      </c>
      <c r="CT1" s="119"/>
      <c r="CU1" s="119"/>
      <c r="CV1" s="119"/>
      <c r="CX1" s="87"/>
      <c r="CY1" s="1" t="s">
        <v>207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53</v>
      </c>
      <c r="DE1" s="1" t="s">
        <v>208</v>
      </c>
      <c r="DF1" s="1" t="s">
        <v>209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210</v>
      </c>
      <c r="DI1" s="1" t="s">
        <v>211</v>
      </c>
      <c r="DJ1" s="1" t="s">
        <v>116</v>
      </c>
      <c r="DL1" s="1" t="str">
        <f>Subgroup_effect_size_measure</f>
        <v>Odds Ratio</v>
      </c>
      <c r="DM1" s="1" t="s">
        <v>192</v>
      </c>
      <c r="DN1" s="1" t="s">
        <v>193</v>
      </c>
      <c r="DP1" s="1" t="s">
        <v>212</v>
      </c>
      <c r="DQ1" s="1" t="s">
        <v>10</v>
      </c>
      <c r="DR1" s="1" t="s">
        <v>39</v>
      </c>
      <c r="DS1" s="1" t="s">
        <v>213</v>
      </c>
      <c r="DT1" s="1" t="s">
        <v>72</v>
      </c>
      <c r="DU1" s="1" t="s">
        <v>81</v>
      </c>
      <c r="DV1" s="1" t="s">
        <v>82</v>
      </c>
      <c r="DW1" s="1" t="s">
        <v>214</v>
      </c>
      <c r="DX1" s="1" t="s">
        <v>83</v>
      </c>
      <c r="DY1" s="1" t="s">
        <v>84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215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216</v>
      </c>
      <c r="EI1" s="1" t="s">
        <v>217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218</v>
      </c>
      <c r="EO1" s="1" t="s">
        <v>219</v>
      </c>
      <c r="EP1" s="1" t="str">
        <f>IF(Within_subgroup_weighting=EX38,"Sum of squares (Q)","Sum of squares (Q*)")</f>
        <v>Sum of squares (Q*)</v>
      </c>
      <c r="EQ1" s="1" t="s">
        <v>194</v>
      </c>
      <c r="ER1" s="18" t="s">
        <v>220</v>
      </c>
      <c r="ES1" s="1" t="s">
        <v>53</v>
      </c>
      <c r="ET1" s="1" t="s">
        <v>221</v>
      </c>
      <c r="EU1" s="1" t="s">
        <v>222</v>
      </c>
      <c r="EV1" s="1" t="s">
        <v>116</v>
      </c>
      <c r="EX1" s="1" t="s">
        <v>117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223</v>
      </c>
      <c r="FE1" s="1" t="s">
        <v>53</v>
      </c>
      <c r="FF1" s="1" t="s">
        <v>224</v>
      </c>
      <c r="FG1" s="1" t="s">
        <v>225</v>
      </c>
      <c r="FH1" s="1" t="s">
        <v>226</v>
      </c>
      <c r="FJ1" s="1" t="s">
        <v>42</v>
      </c>
      <c r="FK1" s="1" t="s">
        <v>227</v>
      </c>
      <c r="FL1" s="1" t="s">
        <v>225</v>
      </c>
      <c r="FM1" s="1" t="s">
        <v>228</v>
      </c>
      <c r="FO1" s="1" t="s">
        <v>161</v>
      </c>
      <c r="FP1" s="1"/>
      <c r="FR1" s="87"/>
      <c r="FS1" s="88"/>
      <c r="FT1" s="1" t="s">
        <v>53</v>
      </c>
      <c r="FU1" s="1" t="s">
        <v>42</v>
      </c>
      <c r="FV1" s="1" t="s">
        <v>229</v>
      </c>
      <c r="FW1" s="1" t="s">
        <v>230</v>
      </c>
      <c r="FX1" s="1" t="s">
        <v>231</v>
      </c>
      <c r="FY1" s="1" t="s">
        <v>66</v>
      </c>
      <c r="FZ1" s="1" t="s">
        <v>232</v>
      </c>
      <c r="GA1" s="1" t="s">
        <v>233</v>
      </c>
      <c r="GB1" s="1" t="s">
        <v>234</v>
      </c>
      <c r="GC1" s="1" t="s">
        <v>235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9" t="s">
        <v>236</v>
      </c>
      <c r="GH1" s="119"/>
      <c r="GI1" s="119"/>
      <c r="GK1" s="85"/>
      <c r="GL1" s="1" t="s">
        <v>237</v>
      </c>
      <c r="GM1" s="1" t="s">
        <v>238</v>
      </c>
      <c r="GN1" s="1" t="s">
        <v>239</v>
      </c>
      <c r="GO1" s="1" t="s">
        <v>240</v>
      </c>
      <c r="GP1" s="1" t="s">
        <v>241</v>
      </c>
      <c r="GQ1" s="1" t="s">
        <v>242</v>
      </c>
      <c r="GR1" s="1" t="s">
        <v>243</v>
      </c>
      <c r="GS1" s="1" t="s">
        <v>244</v>
      </c>
      <c r="GT1" s="1" t="s">
        <v>245</v>
      </c>
      <c r="GV1" s="119" t="s">
        <v>246</v>
      </c>
      <c r="GW1" s="119"/>
      <c r="GY1" s="1" t="s">
        <v>247</v>
      </c>
      <c r="GZ1" s="1" t="s">
        <v>248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249</v>
      </c>
      <c r="HD1" s="1" t="s">
        <v>42</v>
      </c>
      <c r="HE1" s="1" t="s">
        <v>116</v>
      </c>
      <c r="HG1" s="1" t="s">
        <v>250</v>
      </c>
      <c r="HH1" s="1" t="str">
        <f>HA1</f>
        <v>Log Odds Ratio</v>
      </c>
      <c r="HI1" s="1" t="str">
        <f>HB1</f>
        <v>SE Log Odds Ratio</v>
      </c>
      <c r="HK1" s="85"/>
      <c r="HL1" s="1" t="s">
        <v>251</v>
      </c>
      <c r="HM1" s="1" t="s">
        <v>252</v>
      </c>
      <c r="HO1" s="85"/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W1" s="85"/>
      <c r="HX1" s="1" t="s">
        <v>259</v>
      </c>
      <c r="HY1" s="1" t="s">
        <v>260</v>
      </c>
      <c r="HZ1" s="1" t="s">
        <v>261</v>
      </c>
      <c r="IB1" s="85"/>
      <c r="IC1" s="1" t="s">
        <v>124</v>
      </c>
      <c r="ID1" s="1" t="s">
        <v>123</v>
      </c>
      <c r="IE1" s="1" t="s">
        <v>53</v>
      </c>
      <c r="IF1" s="1" t="s">
        <v>262</v>
      </c>
      <c r="IH1" s="119" t="s">
        <v>263</v>
      </c>
      <c r="II1" s="119"/>
      <c r="IK1" s="85"/>
      <c r="IL1" s="1" t="s">
        <v>264</v>
      </c>
      <c r="IM1" s="1" t="s">
        <v>265</v>
      </c>
      <c r="IN1" s="1" t="s">
        <v>251</v>
      </c>
      <c r="IO1" s="1" t="s">
        <v>252</v>
      </c>
      <c r="IQ1" s="119" t="s">
        <v>266</v>
      </c>
      <c r="IR1" s="119"/>
      <c r="IS1" s="119"/>
      <c r="IU1" s="85"/>
      <c r="IV1" s="1" t="s">
        <v>267</v>
      </c>
      <c r="IW1" s="1" t="s">
        <v>268</v>
      </c>
      <c r="IX1" s="1" t="s">
        <v>269</v>
      </c>
      <c r="IY1" s="1" t="s">
        <v>270</v>
      </c>
      <c r="IZ1" s="1" t="s">
        <v>271</v>
      </c>
      <c r="JA1" s="1" t="s">
        <v>252</v>
      </c>
      <c r="JC1" s="119" t="s">
        <v>266</v>
      </c>
      <c r="JD1" s="119"/>
      <c r="JE1" s="119"/>
      <c r="JG1" s="85"/>
      <c r="JH1" s="1" t="s">
        <v>126</v>
      </c>
      <c r="JI1" s="1" t="s">
        <v>112</v>
      </c>
      <c r="JJ1" s="1" t="s">
        <v>272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7" t="s">
        <v>273</v>
      </c>
      <c r="I2" s="131" t="s">
        <v>55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21" t="s">
        <v>274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21" t="s">
        <v>183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21" t="s">
        <v>164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7" t="s">
        <v>275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276</v>
      </c>
      <c r="BB2" s="3">
        <f>'Forest Plot'!$B$16</f>
        <v>0.64935350608337739</v>
      </c>
      <c r="BD2" s="137" t="s">
        <v>277</v>
      </c>
      <c r="BE2" s="131" t="s">
        <v>278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-0.43177801706681374</v>
      </c>
      <c r="BO2" s="121" t="s">
        <v>279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280</v>
      </c>
      <c r="CB2" s="3">
        <f>LN(CES_OddsRatio_MH)</f>
        <v>-0.43177801706681379</v>
      </c>
      <c r="CD2" s="121" t="s">
        <v>281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282</v>
      </c>
      <c r="CN2" s="3">
        <f>IF(Meta_analysis_model="Fixed effect model",SUMPRODUCT(Weightf_Peto,LogPetoOddsRatio)/SUM(Weightf_Peto),SUMPRODUCT(Weight_Peto,LogPetoOddsRatio)/SUM(Weight_Peto))</f>
        <v>-0.44270213970590289</v>
      </c>
      <c r="CP2" s="121" t="s">
        <v>283</v>
      </c>
      <c r="CQ2" s="51" t="str">
        <f t="shared" ref="CQ2:CQ33" si="52">IF(AND(Sufficient_data="Yes",Include_study?="Yes"),c_/(c_+d_),"")</f>
        <v/>
      </c>
      <c r="CS2" s="2"/>
      <c r="CT2" s="2" t="s">
        <v>52</v>
      </c>
      <c r="CU2" s="2" t="s">
        <v>76</v>
      </c>
      <c r="CV2" s="2" t="s">
        <v>77</v>
      </c>
      <c r="CX2" s="137" t="s">
        <v>284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7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2</v>
      </c>
      <c r="DS2" s="6">
        <f t="shared" ref="DS2:DS33" si="66">IF(DQ2&lt;&gt;"",COUNTIFS(Sufficient_data,"Yes",Include_study?,"Yes",Subgroup,DQ2),"")</f>
        <v>4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0.46628307269374858</v>
      </c>
      <c r="DU2" s="10">
        <f>IF(DT2&lt;&gt;"",CHIDIST(DT2,DS2-1),"")</f>
        <v>0.92623391585562476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87.849535170573702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29505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7" t="s">
        <v>285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117</v>
      </c>
      <c r="FP2" s="3" t="e">
        <f>SUMPRODUCT('Moderator Analysis'!F:F,Calculations!FE:FE)/SUM(Calculations!FE:FE)</f>
        <v>#DIV/0!</v>
      </c>
      <c r="FR2" s="137" t="s">
        <v>286</v>
      </c>
      <c r="FS2" s="131" t="s">
        <v>130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287</v>
      </c>
      <c r="GH2" s="2" t="s">
        <v>257</v>
      </c>
      <c r="GI2" s="2" t="s">
        <v>258</v>
      </c>
      <c r="GK2" s="121" t="s">
        <v>288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35" t="s">
        <v>117</v>
      </c>
      <c r="GW2" s="13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1" t="s">
        <v>121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21" t="s">
        <v>289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21" t="s">
        <v>133</v>
      </c>
      <c r="HX2" s="20">
        <v>1</v>
      </c>
      <c r="HY2" s="3"/>
      <c r="HZ2" s="34">
        <f>HZ3-HY14</f>
        <v>-0.7</v>
      </c>
      <c r="IB2" s="121" t="s">
        <v>290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257</v>
      </c>
      <c r="II2" s="2" t="s">
        <v>258</v>
      </c>
      <c r="IK2" s="121" t="s">
        <v>135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291</v>
      </c>
      <c r="IR2" s="2" t="s">
        <v>257</v>
      </c>
      <c r="IS2" s="2" t="s">
        <v>258</v>
      </c>
      <c r="IU2" s="121" t="s">
        <v>136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292</v>
      </c>
      <c r="JD2" s="2" t="s">
        <v>257</v>
      </c>
      <c r="JE2" s="2" t="s">
        <v>258</v>
      </c>
      <c r="JG2" s="121" t="s">
        <v>138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7"/>
      <c r="I3" s="131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1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1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1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7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293</v>
      </c>
      <c r="BB3" s="6">
        <f>IF(BB2&lt;&gt;"",MAX(Entry_number)+1,"")</f>
        <v>2</v>
      </c>
      <c r="BD3" s="137"/>
      <c r="BE3" s="131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2.7573145671389215E-2</v>
      </c>
      <c r="BO3" s="121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294</v>
      </c>
      <c r="CB3" s="3">
        <f>IF(Meta_analysis_model="Fixed effect model",0.5*(SUM(BR:BR)/SUM(BP:BP)^2+(SUM(BS:BS)+SUM(BT:BT))/(SUM(BP:BP)*SUM(BQ:BQ))+SUM(BU:BU)/SUM(BQ:BQ)^2),SUMPRODUCT(Weight_MH,BY:BY,BY:BY)/((k_-1)*SUM(Weight_MH)))</f>
        <v>7.6027836221564981E-4</v>
      </c>
      <c r="CD3" s="121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294</v>
      </c>
      <c r="CN3" s="3">
        <f>IF(Meta_analysis_model="Fixed effect model",1/SUM(Weightf_Peto),SUMPRODUCT(Weight_Peto,CK:CK,CK:CK)/((k_-1)*SUM(Weight_Peto)))</f>
        <v>6.8320439466090105E-4</v>
      </c>
      <c r="CP3" s="121"/>
      <c r="CQ3" s="52" t="str">
        <f t="shared" si="52"/>
        <v/>
      </c>
      <c r="CS3" s="2" t="s">
        <v>295</v>
      </c>
      <c r="CT3" s="3">
        <f>IF(Weighting_method="Inverse variance",IF(Model_effect_size_measure="Odds Ratio",CES_IV,NA()),NA())</f>
        <v>0.64935350608337739</v>
      </c>
      <c r="CU3" s="3">
        <f>IF(Model_effect_size_measure="Odds Ratio",CES_OddsRatio_MH,NA())</f>
        <v>0.64935350608337739</v>
      </c>
      <c r="CV3" s="3" t="e">
        <f>IF(Model_effect_size_measure="Peto Odds Ratio",CES_PetoOddsRatio,NA())</f>
        <v>#N/A</v>
      </c>
      <c r="CX3" s="137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>
        <f t="shared" ref="DP3:DP66" si="102">IF(DQ3&lt;&gt;"",SUMIFS(DS:DS,DS:DS,"&gt;="&amp;0,DQ:DQ,"&lt;"&amp;DQ3)+DS3+DR3,"")</f>
        <v>7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2</v>
      </c>
      <c r="DS3" s="6">
        <f t="shared" si="66"/>
        <v>4</v>
      </c>
      <c r="DT3" s="3">
        <f t="shared" si="67"/>
        <v>0.46628307269374858</v>
      </c>
      <c r="DU3" s="10">
        <f t="shared" ref="DU3:DU51" si="104">IF(DT3&lt;&gt;"",CHIDIST(DT3,DS3-1),"")</f>
        <v>0.92623391585562476</v>
      </c>
      <c r="DV3" s="9">
        <f t="shared" ref="DV3:DV51" si="105">IF(DT3&lt;&gt;"",IF((DT3-(DS3-1))&lt;=0,0,(DT3-(DS3-1))/DT3),"")</f>
        <v>0</v>
      </c>
      <c r="DW3" s="10">
        <f t="shared" si="68"/>
        <v>87.849535170573702</v>
      </c>
      <c r="DX3" s="3">
        <f t="shared" si="69"/>
        <v>0</v>
      </c>
      <c r="DY3" s="3">
        <f t="shared" ref="DY3:DY51" si="106">IF(DX3&lt;&gt;"",SQRT(DX3),"")</f>
        <v>0</v>
      </c>
      <c r="DZ3" s="3" t="e">
        <f t="shared" si="70"/>
        <v>#DIV/0!</v>
      </c>
      <c r="EA3" s="3" t="e">
        <f t="shared" si="71"/>
        <v>#DIV/0!</v>
      </c>
      <c r="EB3" s="6">
        <f t="shared" si="72"/>
        <v>29505</v>
      </c>
      <c r="EC3" s="3" t="e">
        <f t="shared" ref="EC3:EC33" si="107">IF(DT3&lt;&gt;"",DZ3-ABS(TINV((1-Subgroup_confidence_level),DS3-1))*EA3,"")</f>
        <v>#DIV/0!</v>
      </c>
      <c r="ED3" s="3" t="e">
        <f t="shared" ref="ED3:ED33" si="108">IF(DT3&lt;&gt;"",DZ3+ABS(TINV((1-Subgroup_confidence_level),DS3-1))*EA3,"")</f>
        <v>#DIV/0!</v>
      </c>
      <c r="EE3" s="3" t="e">
        <f t="shared" ref="EE3:EE51" si="109">IF(AND(EE$1&lt;&gt;"",DT3&lt;&gt;""),EXP(DZ3),"")</f>
        <v>#DIV/0!</v>
      </c>
      <c r="EF3" s="3" t="e">
        <f t="shared" ref="EF3:EF51" si="110">IF(AND(EF$1&lt;&gt;"",DT3&lt;&gt;""),EXP(EC3),"")</f>
        <v>#DIV/0!</v>
      </c>
      <c r="EG3" s="3" t="e">
        <f t="shared" ref="EG3:EG51" si="111">IF(AND(EG$1&lt;&gt;"",DT3&lt;&gt;""),EXP(ED3),"")</f>
        <v>#DIV/0!</v>
      </c>
      <c r="EH3" s="3" t="e">
        <f t="shared" ref="EH3:EH51" si="112">IF(AND(EE$1&lt;&gt;"",DT3&lt;&gt;""),EE3-EF3,IF(DT3&lt;&gt;"",DZ3-EC3,""))</f>
        <v>#DIV/0!</v>
      </c>
      <c r="EI3" s="3" t="e">
        <f t="shared" ref="EI3:EI51" si="113">IF(AND(EE$1&lt;&gt;"",DT3&lt;&gt;""),EG3-EE3,IF(DT3&lt;&gt;"",ED3-DZ3,""))</f>
        <v>#DIV/0!</v>
      </c>
      <c r="EJ3" s="3" t="e">
        <f t="shared" ref="EJ3:EJ33" si="114">IF(DT3&lt;&gt;"",DZ3-ABS(TINV((1-Subgroup_confidence_level),DS3-1))*SQRT(DX3+EA3^2),"")</f>
        <v>#DIV/0!</v>
      </c>
      <c r="EK3" s="3" t="e">
        <f t="shared" si="73"/>
        <v>#DIV/0!</v>
      </c>
      <c r="EL3" s="3" t="e">
        <f t="shared" ref="EL3:EL51" si="115">IF(AND(EL$1&lt;&gt;"",DT3&lt;&gt;""),EXP(EJ3),"")</f>
        <v>#DIV/0!</v>
      </c>
      <c r="EM3" s="3" t="e">
        <f t="shared" ref="EM3:EM51" si="116">IF(AND(EM$1&lt;&gt;"",DT3&lt;&gt;""),EXP(EK3),"")</f>
        <v>#DIV/0!</v>
      </c>
      <c r="EN3" s="3" t="e">
        <f t="shared" ref="EN3:EN51" si="117">IF(AND(EE$1&lt;&gt;"",DT3&lt;&gt;""),EE3-EL3,IF(DT3&lt;&gt;"",DZ3-EJ3,""))</f>
        <v>#DIV/0!</v>
      </c>
      <c r="EO3" s="3" t="e">
        <f t="shared" ref="EO3:EO51" si="118">IF(AND(EE$1&lt;&gt;"",DT3&lt;&gt;""),EM3-EE3,IF(DT3&lt;&gt;"",EK3-DZ3,""))</f>
        <v>#DIV/0!</v>
      </c>
      <c r="EP3" s="3" t="e">
        <f t="shared" si="74"/>
        <v>#DIV/0!</v>
      </c>
      <c r="EQ3" s="3" t="e">
        <f t="shared" ref="EQ3:EQ51" si="119">IF(DT3&lt;&gt;"",IF(EE3&lt;&gt;"",EE3,DZ3),NA())</f>
        <v>#DIV/0!</v>
      </c>
      <c r="ER3" s="9" t="e">
        <f t="shared" ref="ER3:ER66" si="120">IF(DT3&lt;&gt;"",(ET3/SUM(ET:ET)),"")</f>
        <v>#DIV/0!</v>
      </c>
      <c r="ES3" s="3" t="e">
        <f t="shared" ref="ES3:ES66" si="121">IF(DT3&lt;&gt;"",1/(EA3^2),"")</f>
        <v>#DIV/0!</v>
      </c>
      <c r="ET3" s="3" t="e">
        <f t="shared" ref="ET3:ET33" si="122">IF(EA3&lt;&gt;"",1/(EA3^2+IF(Between_subgroup_weighting=EX$38,0,EY$35)),"")</f>
        <v>#DIV/0!</v>
      </c>
      <c r="EU3" s="3" t="e">
        <f t="shared" si="75"/>
        <v>#DIV/0!</v>
      </c>
      <c r="EV3" s="35" t="e">
        <f t="shared" si="76"/>
        <v>#DIV/0!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7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296</v>
      </c>
      <c r="FP3" s="3" t="str">
        <f>IF(SUM(Moderator)&lt;&gt;0,SUMPRODUCT(Moderator,FE:FE)/SUM(Calculations!FE:FE),"")</f>
        <v/>
      </c>
      <c r="FR3" s="137"/>
      <c r="FS3" s="131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297</v>
      </c>
      <c r="GH3" s="3">
        <f>IF(Additional_valid_options="Yes",IF(Trim_and_fill="Off",'Publication Bias Analysis'!I29,'Publication Bias Analysis'!I37)-ABS(TINV((1-Additional_confidence_level),k_-1))*GI3,"")</f>
        <v>-1.4541669914415294</v>
      </c>
      <c r="GI3" s="3">
        <f>IF(Trim_and_fill="Off",GH17,GH22)</f>
        <v>0.36823669679645299</v>
      </c>
      <c r="GK3" s="121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-0.43177801706681374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1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1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1"/>
      <c r="HX3" s="20">
        <v>2</v>
      </c>
      <c r="HY3" s="3">
        <f t="shared" ref="HY3:HY10" si="123">HZ2</f>
        <v>-0.7</v>
      </c>
      <c r="HZ3" s="35">
        <f>HZ4-HY14</f>
        <v>-0.5</v>
      </c>
      <c r="IB3" s="121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1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113</v>
      </c>
      <c r="IR3" s="3">
        <v>0</v>
      </c>
      <c r="IS3" s="3">
        <v>0</v>
      </c>
      <c r="IU3" s="121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260</v>
      </c>
      <c r="JD3" s="3">
        <f>MIN('Publication Bias Analysis'!BF:BF)</f>
        <v>-1.1503493803760083</v>
      </c>
      <c r="JE3" s="3">
        <f>'Publication Bias Analysis'!BJ$30+JD3*'Publication Bias Analysis'!BJ$31</f>
        <v>-3.207851532907938</v>
      </c>
      <c r="JG3" s="121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7"/>
      <c r="I4" s="131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1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1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1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7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298</v>
      </c>
      <c r="BB4" s="3">
        <f>'Forest Plot'!$B$16-CES_CI_Lower_limit</f>
        <v>4.785627227545397E-2</v>
      </c>
      <c r="BD4" s="137"/>
      <c r="BE4" s="131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-0.50833334240104799</v>
      </c>
      <c r="BO4" s="121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299</v>
      </c>
      <c r="CB4" s="3">
        <f>SQRT(VarlnCES_MH)</f>
        <v>2.7573145671389215E-2</v>
      </c>
      <c r="CD4" s="121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299</v>
      </c>
      <c r="CN4" s="3">
        <f>SQRT(VarlnCES_Peto)</f>
        <v>2.6138178870397627E-2</v>
      </c>
      <c r="CP4" s="121"/>
      <c r="CQ4" s="52" t="str">
        <f t="shared" si="52"/>
        <v/>
      </c>
      <c r="CS4" s="2" t="s">
        <v>109</v>
      </c>
      <c r="CT4" s="3">
        <f>IF(Weighting_method="Inverse variance",IF(Model_effect_size_measure="Odds Ratio",CICES_LL,""),"")</f>
        <v>0.60149723380792341</v>
      </c>
      <c r="CU4" s="3">
        <f>IF(Model_effect_size_measure="Odds Ratio",CICES_LL_MH,"")</f>
        <v>0.60149723380792341</v>
      </c>
      <c r="CV4" s="3" t="str">
        <f>IF(Model_effect_size_measure="Peto Odds Ratio",CICES_LL_Peto,"")</f>
        <v/>
      </c>
      <c r="CX4" s="137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>
        <f t="shared" si="102"/>
        <v>7</v>
      </c>
      <c r="DQ4" s="17" t="str">
        <f>IF(AND(Sufficient_data="Yes",Subgroup&lt;&gt;""),IF(COUNTIFS(Input!J$2:J3,"="&amp;"Yes",Input!C$2:C3,"="&amp;"Yes",Input!K$2:K3,"="&amp;Subgroup)&gt;0,"",Subgroup),"")</f>
        <v>English</v>
      </c>
      <c r="DR4" s="6">
        <f t="shared" si="103"/>
        <v>2</v>
      </c>
      <c r="DS4" s="6">
        <f t="shared" si="66"/>
        <v>4</v>
      </c>
      <c r="DT4" s="3">
        <f t="shared" si="67"/>
        <v>0.46628307269374858</v>
      </c>
      <c r="DU4" s="10">
        <f t="shared" si="104"/>
        <v>0.92623391585562476</v>
      </c>
      <c r="DV4" s="9">
        <f t="shared" si="105"/>
        <v>0</v>
      </c>
      <c r="DW4" s="10">
        <f t="shared" si="68"/>
        <v>87.849535170573702</v>
      </c>
      <c r="DX4" s="3">
        <f t="shared" si="69"/>
        <v>0</v>
      </c>
      <c r="DY4" s="3">
        <f t="shared" si="106"/>
        <v>0</v>
      </c>
      <c r="DZ4" s="3" t="e">
        <f t="shared" si="70"/>
        <v>#DIV/0!</v>
      </c>
      <c r="EA4" s="3" t="e">
        <f t="shared" si="71"/>
        <v>#DIV/0!</v>
      </c>
      <c r="EB4" s="6">
        <f t="shared" si="72"/>
        <v>29505</v>
      </c>
      <c r="EC4" s="3" t="e">
        <f t="shared" si="107"/>
        <v>#DIV/0!</v>
      </c>
      <c r="ED4" s="3" t="e">
        <f t="shared" si="108"/>
        <v>#DIV/0!</v>
      </c>
      <c r="EE4" s="3" t="e">
        <f t="shared" si="109"/>
        <v>#DIV/0!</v>
      </c>
      <c r="EF4" s="3" t="e">
        <f t="shared" si="110"/>
        <v>#DIV/0!</v>
      </c>
      <c r="EG4" s="3" t="e">
        <f t="shared" si="111"/>
        <v>#DIV/0!</v>
      </c>
      <c r="EH4" s="3" t="e">
        <f t="shared" si="112"/>
        <v>#DIV/0!</v>
      </c>
      <c r="EI4" s="3" t="e">
        <f t="shared" si="113"/>
        <v>#DIV/0!</v>
      </c>
      <c r="EJ4" s="3" t="e">
        <f t="shared" si="114"/>
        <v>#DIV/0!</v>
      </c>
      <c r="EK4" s="3" t="e">
        <f t="shared" si="73"/>
        <v>#DIV/0!</v>
      </c>
      <c r="EL4" s="3" t="e">
        <f t="shared" si="115"/>
        <v>#DIV/0!</v>
      </c>
      <c r="EM4" s="3" t="e">
        <f t="shared" si="116"/>
        <v>#DIV/0!</v>
      </c>
      <c r="EN4" s="3" t="e">
        <f t="shared" si="117"/>
        <v>#DIV/0!</v>
      </c>
      <c r="EO4" s="3" t="e">
        <f t="shared" si="118"/>
        <v>#DIV/0!</v>
      </c>
      <c r="EP4" s="3" t="e">
        <f t="shared" si="74"/>
        <v>#DIV/0!</v>
      </c>
      <c r="EQ4" s="3" t="e">
        <f t="shared" si="119"/>
        <v>#DIV/0!</v>
      </c>
      <c r="ER4" s="9" t="e">
        <f t="shared" si="120"/>
        <v>#DIV/0!</v>
      </c>
      <c r="ES4" s="3" t="e">
        <f t="shared" si="121"/>
        <v>#DIV/0!</v>
      </c>
      <c r="ET4" s="3" t="e">
        <f t="shared" si="122"/>
        <v>#DIV/0!</v>
      </c>
      <c r="EU4" s="3" t="e">
        <f t="shared" si="75"/>
        <v>#DIV/0!</v>
      </c>
      <c r="EV4" s="35" t="e">
        <f t="shared" si="76"/>
        <v>#DIV/0!</v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7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140</v>
      </c>
      <c r="FP4" s="3" t="str">
        <f>IF(FP3&lt;&gt;"",SUMPRODUCT(FF:FF,FG:FG,FE:FE)/SUMPRODUCT(FG:FG,FG:FG,FE:FE),"")</f>
        <v/>
      </c>
      <c r="FR4" s="137"/>
      <c r="FS4" s="131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291</v>
      </c>
      <c r="GH4" s="3">
        <f>IF(Trim_and_fill="Off",'Publication Bias Analysis'!I29,'Publication Bias Analysis'!I37)</f>
        <v>-0.43177801706681374</v>
      </c>
      <c r="GI4" s="3">
        <v>0</v>
      </c>
      <c r="GK4" s="121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9" t="s">
        <v>71</v>
      </c>
      <c r="GW4" s="119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1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1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1"/>
      <c r="HX4" s="20">
        <v>3</v>
      </c>
      <c r="HY4" s="3">
        <f t="shared" si="123"/>
        <v>-0.5</v>
      </c>
      <c r="HZ4" s="35">
        <f>HZ5-HY14</f>
        <v>-0.30000000000000004</v>
      </c>
      <c r="IB4" s="121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4.0105313547151751E-2</v>
      </c>
      <c r="II4" s="3">
        <f>MAX('Publication Bias Analysis'!AH:AH)</f>
        <v>4.0105313547151751E-2</v>
      </c>
      <c r="IK4" s="121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300</v>
      </c>
      <c r="IR4" s="3">
        <f>MAX(Inverse_standard_error)</f>
        <v>6.3213918121584731</v>
      </c>
      <c r="IS4" s="3">
        <f>IR4*'Publication Bias Analysis'!AY31</f>
        <v>-2.7294380217561778</v>
      </c>
      <c r="IU4" s="121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261</v>
      </c>
      <c r="JD4" s="3">
        <f>MAX('Publication Bias Analysis'!BF:BF)</f>
        <v>1.150349380376009</v>
      </c>
      <c r="JE4" s="3">
        <f>'Publication Bias Analysis'!BJ$30+JD4*'Publication Bias Analysis'!BJ$31</f>
        <v>-1.3640190548053677</v>
      </c>
      <c r="JG4" s="121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1</v>
      </c>
      <c r="B5" s="6">
        <f>IF(AND(Include_study?="Yes",Sufficient_data="Yes"),IF(Input!a_&lt;&gt;"",Input!a_,Input!n1_-Input!b_),"")</f>
        <v>58.3</v>
      </c>
      <c r="C5" s="6">
        <f>IF(AND(Include_study?="Yes",Sufficient_data="Yes"),IF(Input!b_&lt;&gt;"",Input!b_,Input!n1_-Input!a_),"")</f>
        <v>3345.7</v>
      </c>
      <c r="D5" s="6">
        <f>IF(AND(Include_study?="Yes",Sufficient_data="Yes"),IF(Input!c_&lt;&gt;"",Input!c_,Input!n2_-Input!d_),"")</f>
        <v>66.3</v>
      </c>
      <c r="E5" s="6">
        <f>IF(AND(Include_study?="Yes",Sufficient_data="Yes"),IF(Input!d_&lt;&gt;"",Input!d_,Input!n2_-Input!c_),"")</f>
        <v>2462.6999999999998</v>
      </c>
      <c r="F5" s="35" t="str">
        <f t="shared" si="1"/>
        <v>No</v>
      </c>
      <c r="H5" s="137"/>
      <c r="I5" s="131"/>
      <c r="J5" s="76">
        <f t="shared" si="2"/>
        <v>0.64726114982194338</v>
      </c>
      <c r="K5" s="3">
        <f t="shared" si="3"/>
        <v>-0.43500543404549424</v>
      </c>
      <c r="L5" s="3">
        <f t="shared" si="4"/>
        <v>0.18149535648793691</v>
      </c>
      <c r="M5" s="3">
        <f t="shared" si="5"/>
        <v>0.45348077406497195</v>
      </c>
      <c r="N5" s="35">
        <f t="shared" si="6"/>
        <v>0.9238473162013261</v>
      </c>
      <c r="P5" s="121"/>
      <c r="Q5" s="76">
        <f t="shared" si="7"/>
        <v>0.64275349418291761</v>
      </c>
      <c r="R5" s="3">
        <f t="shared" si="8"/>
        <v>0.1830705345322618</v>
      </c>
      <c r="S5" s="3">
        <f t="shared" si="9"/>
        <v>0.4489342269673961</v>
      </c>
      <c r="T5" s="35">
        <f t="shared" si="10"/>
        <v>0.92025073934572965</v>
      </c>
      <c r="V5" s="121"/>
      <c r="W5" s="76">
        <f t="shared" si="11"/>
        <v>-9.0889860926995358E-3</v>
      </c>
      <c r="X5" s="3">
        <f t="shared" si="12"/>
        <v>3.8780909005813186E-3</v>
      </c>
      <c r="Y5" s="3">
        <f t="shared" si="13"/>
        <v>-1.669145604998952E-2</v>
      </c>
      <c r="Z5" s="35">
        <f t="shared" si="14"/>
        <v>-1.4865161354095501E-3</v>
      </c>
      <c r="AB5" s="121"/>
      <c r="AC5" s="76">
        <f t="shared" si="15"/>
        <v>0.65330247619250181</v>
      </c>
      <c r="AD5" s="3">
        <f t="shared" si="16"/>
        <v>-0.42571504685866968</v>
      </c>
      <c r="AE5" s="3">
        <f t="shared" si="17"/>
        <v>0.17761314614018833</v>
      </c>
      <c r="AF5" s="3">
        <f t="shared" si="18"/>
        <v>0.4612101550242918</v>
      </c>
      <c r="AG5" s="35">
        <f t="shared" si="19"/>
        <v>0.92540053758524621</v>
      </c>
      <c r="AI5" s="137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5" s="6">
        <f>IF(AJ5&lt;&gt;"",IF(AJ5=0,COUNTIF(AJ$2:AJ4,0)+1,COUNTIF(AJ$2:AJ4,AJ5)+AJ5+COUNTIF(AJ:AJ,0)),"")</f>
        <v>1</v>
      </c>
      <c r="AL5" s="6">
        <f t="shared" si="20"/>
        <v>1</v>
      </c>
      <c r="AM5" s="3" t="str">
        <f>IF(AND(Include_study?="Yes",Sufficient_data="Yes",Input!Study_name&lt;&gt;""),Input!Study_name,"")</f>
        <v xml:space="preserve">Hsu et al. </v>
      </c>
      <c r="AN5" s="6">
        <f t="shared" si="21"/>
        <v>5933</v>
      </c>
      <c r="AO5" s="3">
        <f t="shared" si="22"/>
        <v>0.64726114982194338</v>
      </c>
      <c r="AP5" s="3">
        <f t="shared" si="23"/>
        <v>30.357706900430522</v>
      </c>
      <c r="AQ5" s="3">
        <f t="shared" si="24"/>
        <v>30.357706900430522</v>
      </c>
      <c r="AR5" s="3">
        <f t="shared" si="25"/>
        <v>0.18149535648793691</v>
      </c>
      <c r="AS5" s="3">
        <f t="shared" si="26"/>
        <v>0.45348077406497195</v>
      </c>
      <c r="AT5" s="3">
        <f t="shared" si="27"/>
        <v>0.9238473162013261</v>
      </c>
      <c r="AU5" s="80">
        <f t="shared" si="28"/>
        <v>0.19782671485310896</v>
      </c>
      <c r="AW5" s="44">
        <f t="shared" si="29"/>
        <v>0.64726114982194338</v>
      </c>
      <c r="AX5" s="3">
        <f t="shared" si="30"/>
        <v>0.19378037575697143</v>
      </c>
      <c r="AY5" s="35">
        <f t="shared" si="31"/>
        <v>0.27658616637938271</v>
      </c>
      <c r="BA5" s="2" t="s">
        <v>301</v>
      </c>
      <c r="BB5" s="3">
        <f>CES_CI_Upper_limit-'Forest Plot'!$B$16</f>
        <v>5.1663808981156856E-2</v>
      </c>
      <c r="BD5" s="137"/>
      <c r="BE5" s="131"/>
      <c r="BF5" s="3">
        <f t="shared" si="32"/>
        <v>-0.43500543404549424</v>
      </c>
      <c r="BG5" s="3">
        <f t="shared" si="33"/>
        <v>0.18149535648793691</v>
      </c>
      <c r="BH5" s="3">
        <f t="shared" si="34"/>
        <v>30.357706900430522</v>
      </c>
      <c r="BI5" s="3">
        <f t="shared" si="99"/>
        <v>30.357706900430522</v>
      </c>
      <c r="BJ5" s="35">
        <f t="shared" si="35"/>
        <v>-3.2274169786805085E-3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-0.35522269173257942</v>
      </c>
      <c r="BO5" s="121"/>
      <c r="BP5" s="3">
        <f t="shared" si="36"/>
        <v>24.199462329344342</v>
      </c>
      <c r="BQ5" s="3">
        <f t="shared" si="37"/>
        <v>37.38747851002865</v>
      </c>
      <c r="BR5" s="3">
        <f t="shared" si="38"/>
        <v>10.282630125109909</v>
      </c>
      <c r="BS5" s="3">
        <f>IF(AND(Sufficient_data="Yes",Include_study?="Yes"),IF(Add_0_5="Yes",(a_+d_+1)*(ab_+0.5)*(c_+0.5)/(Number_of_subjects+2)^2,(a_+d_)*b_*c_/Number_of_subjects^2),"")</f>
        <v>15.886370019177855</v>
      </c>
      <c r="BT5" s="3">
        <f t="shared" si="39"/>
        <v>13.916832204234433</v>
      </c>
      <c r="BU5" s="3">
        <f t="shared" si="40"/>
        <v>21.50110849085079</v>
      </c>
      <c r="BV5" s="3">
        <f t="shared" si="41"/>
        <v>37.38747851002865</v>
      </c>
      <c r="BW5" s="3">
        <f t="shared" si="42"/>
        <v>2.1650040053811977E-4</v>
      </c>
      <c r="BX5" s="3">
        <f t="shared" si="43"/>
        <v>30.357706900430522</v>
      </c>
      <c r="BY5" s="35">
        <f t="shared" si="44"/>
        <v>-3.227416978680453E-3</v>
      </c>
      <c r="CA5" s="3" t="s">
        <v>302</v>
      </c>
      <c r="CB5" s="3">
        <f>lnCES_OddsRatio_MH-ABS(TINV((1-Confidence_level),k_-1))*SElnCES_MH</f>
        <v>-0.5083333424010481</v>
      </c>
      <c r="CD5" s="121"/>
      <c r="CE5" s="76">
        <f t="shared" si="45"/>
        <v>71.488016180684298</v>
      </c>
      <c r="CF5" s="3">
        <f t="shared" si="46"/>
        <v>29.837545947789465</v>
      </c>
      <c r="CG5" s="3">
        <f t="shared" si="47"/>
        <v>-0.44199399654921501</v>
      </c>
      <c r="CH5" s="3">
        <f t="shared" si="48"/>
        <v>3.3514820613928062E-2</v>
      </c>
      <c r="CI5" s="3">
        <f t="shared" si="49"/>
        <v>29.837545947789465</v>
      </c>
      <c r="CJ5" s="3">
        <f t="shared" si="50"/>
        <v>29.837545947789462</v>
      </c>
      <c r="CK5" s="35">
        <f t="shared" si="51"/>
        <v>7.081431566878793E-4</v>
      </c>
      <c r="CM5" s="3" t="s">
        <v>302</v>
      </c>
      <c r="CN5" s="3">
        <f>lnCES_PetoOddsRatio-ABS(TINV((1-Confidence_level),k_-1))*SElnCES_Peto</f>
        <v>-0.5152733584894027</v>
      </c>
      <c r="CP5" s="121"/>
      <c r="CQ5" s="52">
        <f t="shared" si="52"/>
        <v>2.6215895610913403E-2</v>
      </c>
      <c r="CS5" s="2" t="s">
        <v>110</v>
      </c>
      <c r="CT5" s="3">
        <f>IF(Weighting_method="Inverse variance",IF(Model_effect_size_measure="Odds Ratio",CICES_UL,""),"")</f>
        <v>0.70101731506453424</v>
      </c>
      <c r="CU5" s="3">
        <f>IF(Model_effect_size_measure="Odds Ratio",CICES_UL_MH,"")</f>
        <v>0.70101731506453424</v>
      </c>
      <c r="CV5" s="3" t="str">
        <f>IF(Model_effect_size_measure="Peto Odds Ratio",CICES_UL_Peto,"")</f>
        <v/>
      </c>
      <c r="CX5" s="137"/>
      <c r="CY5" s="48">
        <f t="shared" si="53"/>
        <v>1</v>
      </c>
      <c r="CZ5" s="6" t="str">
        <f t="shared" si="54"/>
        <v xml:space="preserve">Hsu et al. </v>
      </c>
      <c r="DA5" s="17" t="str">
        <f t="shared" si="55"/>
        <v>Chinese</v>
      </c>
      <c r="DB5" s="3">
        <f t="shared" si="56"/>
        <v>-0.43500543404549424</v>
      </c>
      <c r="DC5" s="3">
        <f t="shared" si="57"/>
        <v>0.18149535648793691</v>
      </c>
      <c r="DD5" s="3">
        <f t="shared" si="58"/>
        <v>30.357706900430522</v>
      </c>
      <c r="DE5" s="3" t="e">
        <f t="shared" si="59"/>
        <v>#DIV/0!</v>
      </c>
      <c r="DF5" s="80" t="e">
        <f t="shared" si="60"/>
        <v>#DIV/0!</v>
      </c>
      <c r="DG5" s="3">
        <f t="shared" si="61"/>
        <v>0.64726114982194338</v>
      </c>
      <c r="DH5" s="3">
        <f t="shared" si="62"/>
        <v>0.45348077961677113</v>
      </c>
      <c r="DI5" s="3">
        <f t="shared" si="63"/>
        <v>0.92384730489100153</v>
      </c>
      <c r="DJ5" s="35" t="e">
        <f t="shared" si="64"/>
        <v>#DIV/0!</v>
      </c>
      <c r="DL5" s="44">
        <f t="shared" si="65"/>
        <v>0.64726114982194338</v>
      </c>
      <c r="DM5" s="3">
        <f t="shared" si="100"/>
        <v>0.19378037020517225</v>
      </c>
      <c r="DN5" s="35">
        <f t="shared" si="101"/>
        <v>0.27658615506905815</v>
      </c>
      <c r="DP5" s="48">
        <f t="shared" si="102"/>
        <v>2</v>
      </c>
      <c r="DQ5" s="17" t="str">
        <f>IF(AND(Sufficient_data="Yes",Subgroup&lt;&gt;""),IF(COUNTIFS(Input!J$2:J4,"="&amp;"Yes",Input!C$2:C4,"="&amp;"Yes",Input!K$2:K4,"="&amp;Subgroup)&gt;0,"",Subgroup),"")</f>
        <v>Chinese</v>
      </c>
      <c r="DR5" s="6">
        <f t="shared" si="103"/>
        <v>1</v>
      </c>
      <c r="DS5" s="6">
        <f t="shared" si="66"/>
        <v>1</v>
      </c>
      <c r="DT5" s="3">
        <f t="shared" si="67"/>
        <v>0</v>
      </c>
      <c r="DU5" s="10" t="e">
        <f t="shared" si="104"/>
        <v>#NUM!</v>
      </c>
      <c r="DV5" s="9">
        <f t="shared" si="105"/>
        <v>0</v>
      </c>
      <c r="DW5" s="10">
        <f t="shared" si="68"/>
        <v>0</v>
      </c>
      <c r="DX5" s="3" t="e">
        <f t="shared" si="69"/>
        <v>#DIV/0!</v>
      </c>
      <c r="DY5" s="3" t="e">
        <f t="shared" si="106"/>
        <v>#DIV/0!</v>
      </c>
      <c r="DZ5" s="3" t="e">
        <f t="shared" si="70"/>
        <v>#DIV/0!</v>
      </c>
      <c r="EA5" s="3" t="e">
        <f t="shared" si="71"/>
        <v>#DIV/0!</v>
      </c>
      <c r="EB5" s="6">
        <f t="shared" si="72"/>
        <v>5933</v>
      </c>
      <c r="EC5" s="3" t="e">
        <f t="shared" si="107"/>
        <v>#DIV/0!</v>
      </c>
      <c r="ED5" s="3" t="e">
        <f t="shared" si="108"/>
        <v>#DIV/0!</v>
      </c>
      <c r="EE5" s="3" t="e">
        <f t="shared" si="109"/>
        <v>#DIV/0!</v>
      </c>
      <c r="EF5" s="3" t="e">
        <f t="shared" si="110"/>
        <v>#DIV/0!</v>
      </c>
      <c r="EG5" s="3" t="e">
        <f t="shared" si="111"/>
        <v>#DIV/0!</v>
      </c>
      <c r="EH5" s="3" t="e">
        <f t="shared" si="112"/>
        <v>#DIV/0!</v>
      </c>
      <c r="EI5" s="3" t="e">
        <f t="shared" si="113"/>
        <v>#DIV/0!</v>
      </c>
      <c r="EJ5" s="3" t="e">
        <f t="shared" si="114"/>
        <v>#DIV/0!</v>
      </c>
      <c r="EK5" s="3" t="e">
        <f t="shared" si="73"/>
        <v>#DIV/0!</v>
      </c>
      <c r="EL5" s="3" t="e">
        <f t="shared" si="115"/>
        <v>#DIV/0!</v>
      </c>
      <c r="EM5" s="3" t="e">
        <f t="shared" si="116"/>
        <v>#DIV/0!</v>
      </c>
      <c r="EN5" s="3" t="e">
        <f t="shared" si="117"/>
        <v>#DIV/0!</v>
      </c>
      <c r="EO5" s="3" t="e">
        <f t="shared" si="118"/>
        <v>#DIV/0!</v>
      </c>
      <c r="EP5" s="3" t="e">
        <f t="shared" si="74"/>
        <v>#DIV/0!</v>
      </c>
      <c r="EQ5" s="3" t="e">
        <f t="shared" si="119"/>
        <v>#DIV/0!</v>
      </c>
      <c r="ER5" s="9" t="e">
        <f t="shared" si="120"/>
        <v>#DIV/0!</v>
      </c>
      <c r="ES5" s="3" t="e">
        <f t="shared" si="121"/>
        <v>#DIV/0!</v>
      </c>
      <c r="ET5" s="3" t="e">
        <f t="shared" si="122"/>
        <v>#DIV/0!</v>
      </c>
      <c r="EU5" s="3" t="e">
        <f t="shared" si="75"/>
        <v>#DIV/0!</v>
      </c>
      <c r="EV5" s="35" t="e">
        <f t="shared" si="76"/>
        <v>#DIV/0!</v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7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113</v>
      </c>
      <c r="FP5" s="3" t="str">
        <f>IF(FP3&lt;&gt;"",FP2-FP3*FP4,"")</f>
        <v/>
      </c>
      <c r="FR5" s="137"/>
      <c r="FS5" s="131"/>
      <c r="FT5" s="76">
        <f>IF(AND(Include_study?="Yes",Sufficient_data="Yes"),IF(Additional_weighting_method="Inverse Variance",1/'Publication Bias Analysis'!F:F^2,IF(Additional_weighting_method="Mantel-Haenszel",Weightf_MH,Weightf_Peto)),"")</f>
        <v>30.357706900430522</v>
      </c>
      <c r="FU5" s="3">
        <f>IF(AND(Include_study?="Yes",Sufficient_data="Yes"),1/('Publication Bias Analysis'!F:F^2+IF(Additional_model="Fixed effect",0,Calculations!GH$12)),"")</f>
        <v>30.357706900430522</v>
      </c>
      <c r="FV5" s="3">
        <f>IF(AND(Include_study?="Yes",Sufficient_data="Yes"),1/('Publication Bias Analysis'!F:F^2+IF(Additional_model="Fixed effect",0,'Publication Bias Analysis'!L$32)),"")</f>
        <v>30.357706900430522</v>
      </c>
      <c r="FW5" s="3">
        <f>IF(AND(Include_study?="Yes",Sufficient_data="Yes"),'Publication Bias Analysis'!E:E-'Publication Bias Analysis'!I$37,"")</f>
        <v>-3.2274169786805085E-3</v>
      </c>
      <c r="FX5" s="3">
        <f>IF(AND(Include_study?="Yes",Sufficient_data="Yes"),IF(Additional_model="Fixed effect",1/'Publication Bias Analysis'!F:F,1/SQRT('Publication Bias Analysis'!F:F^2+GH$12)),"")</f>
        <v>5.5097828360499408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-2.3967854740923187</v>
      </c>
      <c r="FZ5" s="6">
        <f t="shared" si="80"/>
        <v>1</v>
      </c>
      <c r="GA5" s="83">
        <f>IF(AND(Include_study?="Yes",Sufficient_data="Yes"),FZ:FZ+IF(GL:GL&lt;0,-1,1)*COUNTIF(FZ$2:FZ4,FZ:FZ),"")</f>
        <v>1</v>
      </c>
      <c r="GB5" s="83">
        <f>IF(AND(Include_study?="Yes",Sufficient_data="Yes"),RANK(GP:GP,GP:GP,1)*IF(GO:GO&lt;0,-1,1)+IF(GO:GO&lt;0,-1,1)*COUNTIF(FZ$2:FZ4,FZ:FZ),"")</f>
        <v>1</v>
      </c>
      <c r="GC5" s="83">
        <f>IF(AND(Include_study?="Yes",Sufficient_data="Yes"),RANK(GS:GS,GS:GS,1)*IF(GR:GR&lt;0,-1,1)+IF(GR:GR&lt;0,-1,1)*COUNTIF(FZ$2:FZ4,FZ:FZ),"")</f>
        <v>1</v>
      </c>
      <c r="GD5" s="3">
        <f>IF(AND(Include_study?="Yes",Sufficient_data="Yes"),'Publication Bias Analysis'!E5,NA())</f>
        <v>-0.43500543404549424</v>
      </c>
      <c r="GE5" s="35">
        <f>IF(AND(Include_study?="Yes",Sufficient_data="Yes"),'Publication Bias Analysis'!F5,NA())</f>
        <v>0.18149535648793691</v>
      </c>
      <c r="GG5" s="2" t="s">
        <v>303</v>
      </c>
      <c r="GH5" s="3">
        <f>IF(Additional_valid_options="Yes",IF(Trim_and_fill="Off",'Publication Bias Analysis'!I29,'Publication Bias Analysis'!I37)+ABS(TINV((1-Additional_confidence_level),k_-1))*GI3,"")</f>
        <v>0.59061095730790192</v>
      </c>
      <c r="GI5" s="3">
        <f>IF(Trim_and_fill="Off",GH17,GH22)</f>
        <v>0.36823669679645299</v>
      </c>
      <c r="GK5" s="121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3.2274169786805085E-3</v>
      </c>
      <c r="GM5" s="3">
        <f t="shared" si="81"/>
        <v>3.2274169786805085E-3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30.357706900430522</v>
      </c>
      <c r="GO5" s="3">
        <f>IF(AND(Include_study?="Yes",Sufficient_data="Yes"),IF('Publication Bias Analysis'!L$38="Left",'Publication Bias Analysis'!E:E-GW$3,GW$3-'Publication Bias Analysis'!E:E),"")</f>
        <v>3.2274169786805085E-3</v>
      </c>
      <c r="GP5" s="3">
        <f t="shared" si="82"/>
        <v>3.2274169786805085E-3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30.357706900430522</v>
      </c>
      <c r="GR5" s="3">
        <f>IF(AND(Include_study?="Yes",Sufficient_data="Yes"),IF('Publication Bias Analysis'!L$38="Left",'Publication Bias Analysis'!E:E-GW$10,GW$10-'Publication Bias Analysis'!E:E),"")</f>
        <v>3.2274169786805085E-3</v>
      </c>
      <c r="GS5" s="3">
        <f t="shared" si="83"/>
        <v>3.2274169786805085E-3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30.357706900430522</v>
      </c>
      <c r="GV5" s="2" t="s">
        <v>72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0.46667726752718153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1"/>
      <c r="HL5" s="3">
        <f t="shared" si="89"/>
        <v>8.316394955374129E-2</v>
      </c>
      <c r="HM5" s="35">
        <f>IF(AND(Include_study?="Yes",Sufficient_data="Yes"),Z_score-('Publication Bias Analysis'!P$3+'Publication Bias Analysis'!P$4*Inverse_standard_error),"")</f>
        <v>-5.4189096444077212E-2</v>
      </c>
      <c r="HO5" s="121"/>
      <c r="HP5" s="3">
        <f>IF(AND(Include_study?="Yes",Sufficient_data="Yes"),(GD:GD-SUMPRODUCT(Calculations!FT:FT,'Publication Bias Analysis'!E:E)/SUM(Calculations!FT:FT))/SQRT(Calculations!HQ:HQ),"")</f>
        <v>-1.9854340418057767E-2</v>
      </c>
      <c r="HQ5" s="3">
        <f>IF(AND(Include_study?="Yes",Sufficient_data="Yes"),GE:GE^2-1/SUM(Calculations!FT:FT),"")</f>
        <v>2.642404078074536E-2</v>
      </c>
      <c r="HR5" s="6">
        <f t="shared" si="90"/>
        <v>3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3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21"/>
      <c r="HX5" s="20">
        <v>4</v>
      </c>
      <c r="HY5" s="3">
        <f t="shared" si="123"/>
        <v>-0.30000000000000004</v>
      </c>
      <c r="HZ5" s="35">
        <f>HZ6-HY14</f>
        <v>-0.1</v>
      </c>
      <c r="IB5" s="121"/>
      <c r="IC5" s="76">
        <f t="shared" si="92"/>
        <v>1.7126909518213867E-2</v>
      </c>
      <c r="ID5" s="3">
        <f t="shared" si="93"/>
        <v>2.6215895610913403E-2</v>
      </c>
      <c r="IE5" s="3">
        <f t="shared" si="94"/>
        <v>31.699308292133722</v>
      </c>
      <c r="IF5" s="35">
        <f t="shared" si="95"/>
        <v>30.357706900430522</v>
      </c>
      <c r="IH5" s="119" t="s">
        <v>304</v>
      </c>
      <c r="II5" s="119"/>
      <c r="IK5" s="121"/>
      <c r="IL5" s="3">
        <f>IF(AND(Include_study?="Yes",Sufficient_data="Yes"),'Publication Bias Analysis'!AV:AV,NA())</f>
        <v>-2.3967854740923187</v>
      </c>
      <c r="IM5" s="3">
        <f>IF(AND(Sufficient_data="Yes",Include_study?="Yes"),'Publication Bias Analysis'!AU:AU,NA())</f>
        <v>5.5097828360499408</v>
      </c>
      <c r="IN5" s="3">
        <f t="shared" si="96"/>
        <v>8.316394955374129E-2</v>
      </c>
      <c r="IO5" s="35">
        <f>IF(AND(Include_study?="Yes",Sufficient_data="Yes"),Z_score-('Publication Bias Analysis'!AY$30+'Publication Bias Analysis'!AY$31*Inverse_standard_error),"")</f>
        <v>-1.7782366673909866E-2</v>
      </c>
      <c r="IQ5" s="24" t="s">
        <v>260</v>
      </c>
      <c r="IR5" s="2" t="s">
        <v>257</v>
      </c>
      <c r="IS5" s="2" t="s">
        <v>258</v>
      </c>
      <c r="IU5" s="121"/>
      <c r="IV5" s="6">
        <f>IF('Publication Bias Analysis'!BG:BG&lt;&gt;"",RANK('Publication Bias Analysis'!BG:BG,'Publication Bias Analysis'!BG:BG,1)+COUNTIF('Publication Bias Analysis'!BG$2:BG4,'Publication Bias Analysis'!BG5),"")</f>
        <v>4</v>
      </c>
      <c r="IW5" s="3">
        <f t="shared" si="97"/>
        <v>0.6875</v>
      </c>
      <c r="IX5" s="3">
        <f>IF('Publication Bias Analysis'!BF5&lt;&gt;"",'Publication Bias Analysis'!BF5,NA())</f>
        <v>0.48877641111466941</v>
      </c>
      <c r="IY5" s="3">
        <f>IF('Publication Bias Analysis'!BG5&lt;&gt;"",'Publication Bias Analysis'!BG5,NA())</f>
        <v>-2.3967854740923187</v>
      </c>
      <c r="IZ5" s="3">
        <f>IF(AND(Include_study?="Yes",Sufficient_data="Yes"),'Publication Bias Analysis'!BF:BF-AVERAGE('Publication Bias Analysis'!BF:BF),"")</f>
        <v>0.4887764111146693</v>
      </c>
      <c r="JA5" s="35">
        <f>IF(AND(Include_study?="Yes",Sufficient_data="Yes"),'Publication Bias Analysis'!BG:BG-('Publication Bias Analysis'!BJ$30+'Publication Bias Analysis'!BJ$31*'Publication Bias Analysis'!BF:BF),"")</f>
        <v>-0.50256674770539544</v>
      </c>
      <c r="JC5" s="24" t="s">
        <v>305</v>
      </c>
      <c r="JD5" s="2" t="s">
        <v>257</v>
      </c>
      <c r="JE5" s="2" t="s">
        <v>258</v>
      </c>
      <c r="JG5" s="121"/>
      <c r="JH5" s="3">
        <f t="shared" si="98"/>
        <v>-2.3967854740923187</v>
      </c>
      <c r="JI5" s="10">
        <f t="shared" si="124"/>
        <v>8.2698020011797713E-3</v>
      </c>
      <c r="JJ5" s="35">
        <f t="shared" si="125"/>
        <v>-4.7951447120493782</v>
      </c>
    </row>
    <row r="6" spans="1:270" ht="14" x14ac:dyDescent="0.35">
      <c r="A6" s="2">
        <f t="shared" si="0"/>
        <v>1</v>
      </c>
      <c r="B6" s="6">
        <f>IF(AND(Include_study?="Yes",Sufficient_data="Yes"),IF(Input!a_&lt;&gt;"",Input!a_,Input!n1_-Input!b_),"")</f>
        <v>36.9</v>
      </c>
      <c r="C6" s="6">
        <f>IF(AND(Include_study?="Yes",Sufficient_data="Yes"),IF(Input!b_&lt;&gt;"",Input!b_,Input!n1_-Input!a_),"")</f>
        <v>10343.1</v>
      </c>
      <c r="D6" s="6">
        <f>IF(AND(Include_study?="Yes",Sufficient_data="Yes"),IF(Input!c_&lt;&gt;"",Input!c_,Input!n2_-Input!d_),"")</f>
        <v>15</v>
      </c>
      <c r="E6" s="6">
        <f>IF(AND(Include_study?="Yes",Sufficient_data="Yes"),IF(Input!d_&lt;&gt;"",Input!d_,Input!n2_-Input!c_),"")</f>
        <v>3313</v>
      </c>
      <c r="F6" s="35" t="str">
        <f t="shared" si="1"/>
        <v>No</v>
      </c>
      <c r="H6" s="137"/>
      <c r="I6" s="131"/>
      <c r="J6" s="76">
        <f t="shared" si="2"/>
        <v>0.7879629898192998</v>
      </c>
      <c r="K6" s="3">
        <f t="shared" si="3"/>
        <v>-0.23830415746164413</v>
      </c>
      <c r="L6" s="3">
        <f t="shared" si="4"/>
        <v>0.30686391399704416</v>
      </c>
      <c r="M6" s="3">
        <f t="shared" si="5"/>
        <v>0.43179709244592263</v>
      </c>
      <c r="N6" s="35">
        <f t="shared" si="6"/>
        <v>1.4379107321171423</v>
      </c>
      <c r="P6" s="121"/>
      <c r="Q6" s="76">
        <f t="shared" si="7"/>
        <v>0.77688599256174784</v>
      </c>
      <c r="R6" s="3">
        <f t="shared" si="8"/>
        <v>0.32434554975355046</v>
      </c>
      <c r="S6" s="3">
        <f t="shared" si="9"/>
        <v>0.41138596949561435</v>
      </c>
      <c r="T6" s="35">
        <f t="shared" si="10"/>
        <v>1.4671182057537002</v>
      </c>
      <c r="V6" s="121"/>
      <c r="W6" s="76">
        <f t="shared" si="11"/>
        <v>-9.5229824366385024E-4</v>
      </c>
      <c r="X6" s="3">
        <f t="shared" si="12"/>
        <v>1.2998022372247876E-3</v>
      </c>
      <c r="Y6" s="3">
        <f t="shared" si="13"/>
        <v>-3.5000888084359429E-3</v>
      </c>
      <c r="Z6" s="35">
        <f t="shared" si="14"/>
        <v>1.5954923211082424E-3</v>
      </c>
      <c r="AB6" s="121"/>
      <c r="AC6" s="76">
        <f t="shared" si="15"/>
        <v>0.78871676300578042</v>
      </c>
      <c r="AD6" s="3">
        <f t="shared" si="16"/>
        <v>-0.23734800483450888</v>
      </c>
      <c r="AE6" s="3">
        <f t="shared" si="17"/>
        <v>0.3055652430929699</v>
      </c>
      <c r="AF6" s="3">
        <f t="shared" si="18"/>
        <v>0.43331177784741809</v>
      </c>
      <c r="AG6" s="35">
        <f t="shared" si="19"/>
        <v>1.4356271028141014</v>
      </c>
      <c r="AI6" s="137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6" s="6">
        <f>IF(AJ6&lt;&gt;"",IF(AJ6=0,COUNTIF(AJ$2:AJ5,0)+1,COUNTIF(AJ$2:AJ5,AJ6)+AJ6+COUNTIF(AJ:AJ,0)),"")</f>
        <v>2</v>
      </c>
      <c r="AL6" s="6">
        <f t="shared" si="20"/>
        <v>1</v>
      </c>
      <c r="AM6" s="3" t="str">
        <f>IF(AND(Include_study?="Yes",Sufficient_data="Yes",Input!Study_name&lt;&gt;""),Input!Study_name,"")</f>
        <v>Xie et al.</v>
      </c>
      <c r="AN6" s="6">
        <f t="shared" si="21"/>
        <v>13708</v>
      </c>
      <c r="AO6" s="3">
        <f t="shared" si="22"/>
        <v>0.7879629898192998</v>
      </c>
      <c r="AP6" s="3">
        <f t="shared" si="23"/>
        <v>10.619604914608828</v>
      </c>
      <c r="AQ6" s="3">
        <f t="shared" si="24"/>
        <v>10.619604914608828</v>
      </c>
      <c r="AR6" s="3">
        <f t="shared" si="25"/>
        <v>0.30686391399704416</v>
      </c>
      <c r="AS6" s="3">
        <f t="shared" si="26"/>
        <v>0.43179709244592263</v>
      </c>
      <c r="AT6" s="3">
        <f t="shared" si="27"/>
        <v>1.4379107321171423</v>
      </c>
      <c r="AU6" s="80">
        <f t="shared" si="28"/>
        <v>6.920290653656723E-2</v>
      </c>
      <c r="AW6" s="44">
        <f t="shared" si="29"/>
        <v>0.7879629898192998</v>
      </c>
      <c r="AX6" s="3">
        <f t="shared" si="30"/>
        <v>0.35616589737337717</v>
      </c>
      <c r="AY6" s="35">
        <f t="shared" si="31"/>
        <v>0.64994774229784247</v>
      </c>
      <c r="BA6" s="2" t="s">
        <v>306</v>
      </c>
      <c r="BB6" s="3">
        <f>'Forest Plot'!$B$16-CES_PI_Lower_limit</f>
        <v>4.785627227545397E-2</v>
      </c>
      <c r="BD6" s="137"/>
      <c r="BE6" s="131"/>
      <c r="BF6" s="3">
        <f t="shared" si="32"/>
        <v>-0.23830415746164413</v>
      </c>
      <c r="BG6" s="3">
        <f t="shared" si="33"/>
        <v>0.30686391399704416</v>
      </c>
      <c r="BH6" s="3">
        <f t="shared" si="34"/>
        <v>10.619604914608828</v>
      </c>
      <c r="BI6" s="3">
        <f t="shared" si="99"/>
        <v>10.619604914608828</v>
      </c>
      <c r="BJ6" s="35">
        <f t="shared" si="35"/>
        <v>0.19347385960516961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-0.50833334240104799</v>
      </c>
      <c r="BO6" s="121"/>
      <c r="BP6" s="3">
        <f t="shared" si="36"/>
        <v>8.9181281003793398</v>
      </c>
      <c r="BQ6" s="3">
        <f t="shared" si="37"/>
        <v>11.317953020134228</v>
      </c>
      <c r="BR6" s="3">
        <f t="shared" si="38"/>
        <v>2.1793724338678691</v>
      </c>
      <c r="BS6" s="3">
        <f>IF(AND(Sufficient_data="Yes",Include_study?="Yes"),IF(Add_0_5="Yes",(a_+d_+1)*(ab_+0.5)*(c_+0.5)/(Number_of_subjects+2)^2,(a_+d_)*b_*c_/Number_of_subjects^2),"")</f>
        <v>2.765830961639018</v>
      </c>
      <c r="BT6" s="3">
        <f t="shared" si="39"/>
        <v>6.7387556665114712</v>
      </c>
      <c r="BU6" s="3">
        <f t="shared" si="40"/>
        <v>8.5521220584952111</v>
      </c>
      <c r="BV6" s="3">
        <f t="shared" si="41"/>
        <v>11.317953020134228</v>
      </c>
      <c r="BW6" s="3">
        <f t="shared" si="42"/>
        <v>0.39980621468870908</v>
      </c>
      <c r="BX6" s="3">
        <f t="shared" si="43"/>
        <v>10.619604914608828</v>
      </c>
      <c r="BY6" s="35">
        <f t="shared" si="44"/>
        <v>0.19347385960516966</v>
      </c>
      <c r="CA6" s="3" t="s">
        <v>307</v>
      </c>
      <c r="CB6" s="3">
        <f>lnCES_OddsRatio_MH+ABS(TINV((1-Confidence_level),k_-1))*SElnCES_MH</f>
        <v>-0.35522269173257948</v>
      </c>
      <c r="CD6" s="121"/>
      <c r="CE6" s="76">
        <f t="shared" si="45"/>
        <v>39.29982491975489</v>
      </c>
      <c r="CF6" s="3">
        <f t="shared" si="46"/>
        <v>9.5057002012353085</v>
      </c>
      <c r="CG6" s="3">
        <f t="shared" si="47"/>
        <v>-0.25246166709981277</v>
      </c>
      <c r="CH6" s="3">
        <f t="shared" si="48"/>
        <v>0.10520003564493287</v>
      </c>
      <c r="CI6" s="3">
        <f t="shared" si="49"/>
        <v>9.5057002012353085</v>
      </c>
      <c r="CJ6" s="3">
        <f t="shared" si="50"/>
        <v>9.5057002012353085</v>
      </c>
      <c r="CK6" s="35">
        <f t="shared" si="51"/>
        <v>0.19024047260609012</v>
      </c>
      <c r="CM6" s="3" t="s">
        <v>307</v>
      </c>
      <c r="CN6" s="3">
        <f>lnCES_PetoOddsRatio+ABS(TINV((1-Confidence_level),k_-1))*SElnCES_Peto</f>
        <v>-0.37013092092240302</v>
      </c>
      <c r="CP6" s="121"/>
      <c r="CQ6" s="52">
        <f t="shared" si="52"/>
        <v>4.5072115384615381E-3</v>
      </c>
      <c r="CS6" s="2" t="s">
        <v>308</v>
      </c>
      <c r="CT6" s="3">
        <f>IF(Weighting_method="Inverse variance",IF(Model_effect_size_measure="Odds Ratio",PICES_LL,""),"")</f>
        <v>0.60149723380792341</v>
      </c>
      <c r="CU6" s="3">
        <f>IF(Model_effect_size_measure="Odds Ratio",PICES_LL_MH,"")</f>
        <v>0.60149723380792341</v>
      </c>
      <c r="CV6" s="3" t="str">
        <f>IF(Model_effect_size_measure="Peto Odds Ratio",PICES_LL_Peto,"")</f>
        <v/>
      </c>
      <c r="CX6" s="137"/>
      <c r="CY6" s="48">
        <f t="shared" si="53"/>
        <v>3</v>
      </c>
      <c r="CZ6" s="6" t="str">
        <f t="shared" si="54"/>
        <v>Xie et al.</v>
      </c>
      <c r="DA6" s="17" t="str">
        <f t="shared" si="55"/>
        <v>English</v>
      </c>
      <c r="DB6" s="3">
        <f t="shared" si="56"/>
        <v>-0.23830415746164413</v>
      </c>
      <c r="DC6" s="3">
        <f t="shared" si="57"/>
        <v>0.30686391399704416</v>
      </c>
      <c r="DD6" s="3">
        <f t="shared" si="58"/>
        <v>10.619604914608828</v>
      </c>
      <c r="DE6" s="3">
        <f t="shared" si="59"/>
        <v>10.619604914608828</v>
      </c>
      <c r="DF6" s="80">
        <f t="shared" si="60"/>
        <v>8.6269273507275979E-2</v>
      </c>
      <c r="DG6" s="3">
        <f t="shared" si="61"/>
        <v>0.7879629898192998</v>
      </c>
      <c r="DH6" s="3">
        <f t="shared" si="62"/>
        <v>0.43179709411943185</v>
      </c>
      <c r="DI6" s="3">
        <f t="shared" si="63"/>
        <v>1.4379107265442541</v>
      </c>
      <c r="DJ6" s="35" t="e">
        <f t="shared" si="64"/>
        <v>#DIV/0!</v>
      </c>
      <c r="DL6" s="44">
        <f t="shared" si="65"/>
        <v>0.7879629898192998</v>
      </c>
      <c r="DM6" s="3">
        <f t="shared" si="100"/>
        <v>0.35616589569986795</v>
      </c>
      <c r="DN6" s="35">
        <f t="shared" si="101"/>
        <v>0.64994773672495432</v>
      </c>
      <c r="DP6" s="48">
        <f t="shared" si="102"/>
        <v>7</v>
      </c>
      <c r="DQ6" s="17" t="str">
        <f>IF(AND(Sufficient_data="Yes",Subgroup&lt;&gt;""),IF(COUNTIFS(Input!J$2:J5,"="&amp;"Yes",Input!C$2:C5,"="&amp;"Yes",Input!K$2:K5,"="&amp;Subgroup)&gt;0,"",Subgroup),"")</f>
        <v>English</v>
      </c>
      <c r="DR6" s="6">
        <f t="shared" si="103"/>
        <v>2</v>
      </c>
      <c r="DS6" s="6">
        <f t="shared" si="66"/>
        <v>4</v>
      </c>
      <c r="DT6" s="3">
        <f t="shared" si="67"/>
        <v>0.46628307269374858</v>
      </c>
      <c r="DU6" s="10">
        <f t="shared" si="104"/>
        <v>0.92623391585562476</v>
      </c>
      <c r="DV6" s="9">
        <f t="shared" si="105"/>
        <v>0</v>
      </c>
      <c r="DW6" s="10">
        <f t="shared" si="68"/>
        <v>87.849535170573702</v>
      </c>
      <c r="DX6" s="3">
        <f t="shared" si="69"/>
        <v>0</v>
      </c>
      <c r="DY6" s="3">
        <f t="shared" si="106"/>
        <v>0</v>
      </c>
      <c r="DZ6" s="3" t="e">
        <f t="shared" si="70"/>
        <v>#DIV/0!</v>
      </c>
      <c r="EA6" s="3" t="e">
        <f t="shared" si="71"/>
        <v>#DIV/0!</v>
      </c>
      <c r="EB6" s="6">
        <f t="shared" si="72"/>
        <v>29505</v>
      </c>
      <c r="EC6" s="3" t="e">
        <f t="shared" si="107"/>
        <v>#DIV/0!</v>
      </c>
      <c r="ED6" s="3" t="e">
        <f t="shared" si="108"/>
        <v>#DIV/0!</v>
      </c>
      <c r="EE6" s="3" t="e">
        <f t="shared" si="109"/>
        <v>#DIV/0!</v>
      </c>
      <c r="EF6" s="3" t="e">
        <f t="shared" si="110"/>
        <v>#DIV/0!</v>
      </c>
      <c r="EG6" s="3" t="e">
        <f t="shared" si="111"/>
        <v>#DIV/0!</v>
      </c>
      <c r="EH6" s="3" t="e">
        <f t="shared" si="112"/>
        <v>#DIV/0!</v>
      </c>
      <c r="EI6" s="3" t="e">
        <f t="shared" si="113"/>
        <v>#DIV/0!</v>
      </c>
      <c r="EJ6" s="3" t="e">
        <f t="shared" si="114"/>
        <v>#DIV/0!</v>
      </c>
      <c r="EK6" s="3" t="e">
        <f t="shared" si="73"/>
        <v>#DIV/0!</v>
      </c>
      <c r="EL6" s="3" t="e">
        <f t="shared" si="115"/>
        <v>#DIV/0!</v>
      </c>
      <c r="EM6" s="3" t="e">
        <f t="shared" si="116"/>
        <v>#DIV/0!</v>
      </c>
      <c r="EN6" s="3" t="e">
        <f t="shared" si="117"/>
        <v>#DIV/0!</v>
      </c>
      <c r="EO6" s="3" t="e">
        <f t="shared" si="118"/>
        <v>#DIV/0!</v>
      </c>
      <c r="EP6" s="3" t="e">
        <f t="shared" si="74"/>
        <v>#DIV/0!</v>
      </c>
      <c r="EQ6" s="3" t="e">
        <f t="shared" si="119"/>
        <v>#DIV/0!</v>
      </c>
      <c r="ER6" s="9" t="e">
        <f t="shared" si="120"/>
        <v>#DIV/0!</v>
      </c>
      <c r="ES6" s="3" t="e">
        <f t="shared" si="121"/>
        <v>#DIV/0!</v>
      </c>
      <c r="ET6" s="3" t="e">
        <f t="shared" si="122"/>
        <v>#DIV/0!</v>
      </c>
      <c r="EU6" s="3" t="e">
        <f t="shared" si="75"/>
        <v>#DIV/0!</v>
      </c>
      <c r="EV6" s="35" t="e">
        <f t="shared" si="76"/>
        <v>#DIV/0!</v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7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309</v>
      </c>
      <c r="FP6" s="3" t="str">
        <f>IF(FP3&lt;&gt;"",SUM(FH:FH),"")</f>
        <v/>
      </c>
      <c r="FR6" s="137"/>
      <c r="FS6" s="131"/>
      <c r="FT6" s="76">
        <f>IF(AND(Include_study?="Yes",Sufficient_data="Yes"),IF(Additional_weighting_method="Inverse Variance",1/'Publication Bias Analysis'!F:F^2,IF(Additional_weighting_method="Mantel-Haenszel",Weightf_MH,Weightf_Peto)),"")</f>
        <v>10.619604914608828</v>
      </c>
      <c r="FU6" s="3">
        <f>IF(AND(Include_study?="Yes",Sufficient_data="Yes"),1/('Publication Bias Analysis'!F:F^2+IF(Additional_model="Fixed effect",0,Calculations!GH$12)),"")</f>
        <v>10.619604914608828</v>
      </c>
      <c r="FV6" s="3">
        <f>IF(AND(Include_study?="Yes",Sufficient_data="Yes"),1/('Publication Bias Analysis'!F:F^2+IF(Additional_model="Fixed effect",0,'Publication Bias Analysis'!L$32)),"")</f>
        <v>10.619604914608828</v>
      </c>
      <c r="FW6" s="3">
        <f>IF(AND(Include_study?="Yes",Sufficient_data="Yes"),'Publication Bias Analysis'!E:E-'Publication Bias Analysis'!I$37,"")</f>
        <v>0.19347385960516961</v>
      </c>
      <c r="FX6" s="3">
        <f>IF(AND(Include_study?="Yes",Sufficient_data="Yes"),IF(Additional_model="Fixed effect",1/'Publication Bias Analysis'!F:F,1/SQRT('Publication Bias Analysis'!F:F^2+GH$12)),"")</f>
        <v>3.2587735291991109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-0.77657928023410261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-0.23830415746164413</v>
      </c>
      <c r="GE6" s="35">
        <f>IF(AND(Include_study?="Yes",Sufficient_data="Yes"),'Publication Bias Analysis'!F6,NA())</f>
        <v>0.30686391399704416</v>
      </c>
      <c r="GG6" s="24" t="s">
        <v>310</v>
      </c>
      <c r="GH6" s="2" t="s">
        <v>257</v>
      </c>
      <c r="GI6" s="2" t="s">
        <v>258</v>
      </c>
      <c r="GK6" s="121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-0.19347385960516961</v>
      </c>
      <c r="GM6" s="3">
        <f t="shared" si="81"/>
        <v>0.19347385960516961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10.619604914608828</v>
      </c>
      <c r="GO6" s="3">
        <f>IF(AND(Include_study?="Yes",Sufficient_data="Yes"),IF('Publication Bias Analysis'!L$38="Left",'Publication Bias Analysis'!E:E-GW$3,GW$3-'Publication Bias Analysis'!E:E),"")</f>
        <v>-0.19347385960516961</v>
      </c>
      <c r="GP6" s="3">
        <f t="shared" si="82"/>
        <v>0.19347385960516961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10.619604914608828</v>
      </c>
      <c r="GR6" s="3">
        <f>IF(AND(Include_study?="Yes",Sufficient_data="Yes"),IF('Publication Bias Analysis'!L$38="Left",'Publication Bias Analysis'!E:E-GW$10,GW$10-'Publication Bias Analysis'!E:E),"")</f>
        <v>-0.19347385960516961</v>
      </c>
      <c r="GS6" s="3">
        <f t="shared" si="83"/>
        <v>0.19347385960516961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10.619604914608828</v>
      </c>
      <c r="GV6" s="2" t="s">
        <v>160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1"/>
      <c r="HL6" s="3">
        <f t="shared" si="89"/>
        <v>-2.1678453572970886</v>
      </c>
      <c r="HM6" s="35">
        <f>IF(AND(Include_study?="Yes",Sufficient_data="Yes"),Z_score-('Publication Bias Analysis'!P$3+'Publication Bias Analysis'!P$4*Inverse_standard_error),"")</f>
        <v>3.2364263036665508E-2</v>
      </c>
      <c r="HO6" s="121"/>
      <c r="HP6" s="3">
        <f>IF(AND(Include_study?="Yes",Sufficient_data="Yes"),(GD:GD-SUMPRODUCT(Calculations!FT:FT,'Publication Bias Analysis'!E:E)/SUM(Calculations!FT:FT))/SQRT(Calculations!HQ:HQ),"")</f>
        <v>0.65350507735152275</v>
      </c>
      <c r="HQ6" s="3">
        <f>IF(AND(Include_study?="Yes",Sufficient_data="Yes"),GE:GE^2-1/SUM(Calculations!FT:FT),"")</f>
        <v>8.7648938067647369E-2</v>
      </c>
      <c r="HR6" s="6">
        <f t="shared" si="90"/>
        <v>1</v>
      </c>
      <c r="HS6" s="6">
        <f t="shared" si="91"/>
        <v>1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4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21"/>
      <c r="HX6" s="20">
        <v>5</v>
      </c>
      <c r="HY6" s="3">
        <f t="shared" si="123"/>
        <v>-0.1</v>
      </c>
      <c r="HZ6" s="35">
        <f>1/2*HY14</f>
        <v>0.1</v>
      </c>
      <c r="IB6" s="121"/>
      <c r="IC6" s="76">
        <f t="shared" si="92"/>
        <v>3.5549132947976878E-3</v>
      </c>
      <c r="ID6" s="3">
        <f t="shared" si="93"/>
        <v>4.5072115384615381E-3</v>
      </c>
      <c r="IE6" s="3">
        <f t="shared" si="94"/>
        <v>10.710064672799977</v>
      </c>
      <c r="IF6" s="35">
        <f t="shared" si="95"/>
        <v>10.619604914608828</v>
      </c>
      <c r="IH6" s="3">
        <v>0</v>
      </c>
      <c r="II6" s="3">
        <v>0</v>
      </c>
      <c r="IK6" s="121"/>
      <c r="IL6" s="3">
        <f>IF(AND(Include_study?="Yes",Sufficient_data="Yes"),'Publication Bias Analysis'!AV:AV,NA())</f>
        <v>-0.77657928023410261</v>
      </c>
      <c r="IM6" s="3">
        <f>IF(AND(Sufficient_data="Yes",Include_study?="Yes"),'Publication Bias Analysis'!AU:AU,NA())</f>
        <v>3.2587735291991109</v>
      </c>
      <c r="IN6" s="3">
        <f t="shared" si="96"/>
        <v>-2.1678453572970886</v>
      </c>
      <c r="IO6" s="35">
        <f>IF(AND(Include_study?="Yes",Sufficient_data="Yes"),Z_score-('Publication Bias Analysis'!AY$30+'Publication Bias Analysis'!AY$31*Inverse_standard_error),"")</f>
        <v>0.63048749227331202</v>
      </c>
      <c r="IQ6" s="2" t="s">
        <v>113</v>
      </c>
      <c r="IR6" s="3">
        <v>0</v>
      </c>
      <c r="IS6" s="3">
        <f>ABS(TINV((1-Additional_confidence_level),k_-1))*-1</f>
        <v>-2.776445105197793</v>
      </c>
      <c r="IU6" s="121"/>
      <c r="IV6" s="6">
        <f>IF('Publication Bias Analysis'!BG:BG&lt;&gt;"",RANK('Publication Bias Analysis'!BG:BG,'Publication Bias Analysis'!BG:BG,1)+COUNTIF('Publication Bias Analysis'!BG$2:BG5,'Publication Bias Analysis'!BG6),"")</f>
        <v>5</v>
      </c>
      <c r="IW6" s="3">
        <f t="shared" si="97"/>
        <v>0.87500000000000011</v>
      </c>
      <c r="IX6" s="3">
        <f>IF('Publication Bias Analysis'!BF6&lt;&gt;"",'Publication Bias Analysis'!BF6,NA())</f>
        <v>1.150349380376009</v>
      </c>
      <c r="IY6" s="3">
        <f>IF('Publication Bias Analysis'!BG6&lt;&gt;"",'Publication Bias Analysis'!BG6,NA())</f>
        <v>-0.77657928023410261</v>
      </c>
      <c r="IZ6" s="3">
        <f>IF(AND(Include_study?="Yes",Sufficient_data="Yes"),'Publication Bias Analysis'!BF:BF-AVERAGE('Publication Bias Analysis'!BF:BF),"")</f>
        <v>1.1503493803760088</v>
      </c>
      <c r="JA6" s="35">
        <f>IF(AND(Include_study?="Yes",Sufficient_data="Yes"),'Publication Bias Analysis'!BG:BG-('Publication Bias Analysis'!BJ$30+'Publication Bias Analysis'!BJ$31*'Publication Bias Analysis'!BF:BF),"")</f>
        <v>0.58743977457126506</v>
      </c>
      <c r="JC6" s="2" t="s">
        <v>297</v>
      </c>
      <c r="JD6" s="3">
        <f>MIN('Publication Bias Analysis'!BF:BF)</f>
        <v>-1.1503493803760083</v>
      </c>
      <c r="JE6" s="3">
        <f>'Publication Bias Analysis'!BJ30</f>
        <v>-2.2859352938566531</v>
      </c>
      <c r="JG6" s="121"/>
      <c r="JH6" s="3">
        <f t="shared" si="98"/>
        <v>-0.77657928023410261</v>
      </c>
      <c r="JI6" s="10">
        <f t="shared" si="124"/>
        <v>0.21870351491213647</v>
      </c>
      <c r="JJ6" s="35">
        <f t="shared" si="125"/>
        <v>-1.5200382795852347</v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7"/>
      <c r="I7" s="131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1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1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1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7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311</v>
      </c>
      <c r="BB7" s="3">
        <f>CES_PI_Upper_limit-'Forest Plot'!$B$16</f>
        <v>5.1663808981156856E-2</v>
      </c>
      <c r="BD7" s="137"/>
      <c r="BE7" s="131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-0.35522269173257942</v>
      </c>
      <c r="BO7" s="121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312</v>
      </c>
      <c r="CB7" s="3">
        <f>lnCES_OddsRatio_MH-ABS(TINV((1-Confidence_level),k_-1))*SQRT(T2_MH+SElnCES_MH^2)</f>
        <v>-0.5083333424010481</v>
      </c>
      <c r="CD7" s="121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312</v>
      </c>
      <c r="CN7" s="3">
        <f>lnCES_PetoOddsRatio-ABS(TINV((1-Confidence_level),k_-1))*SQRT(T2_Peto+SElnCES_Peto^2)</f>
        <v>-0.5152733584894027</v>
      </c>
      <c r="CP7" s="121"/>
      <c r="CQ7" s="52" t="str">
        <f t="shared" si="52"/>
        <v/>
      </c>
      <c r="CS7" s="2" t="s">
        <v>313</v>
      </c>
      <c r="CT7" s="3">
        <f>IF(Weighting_method="Inverse variance",IF(Model_effect_size_measure="Odds Ratio",PICES_UL,""),"")</f>
        <v>0.70101731506453424</v>
      </c>
      <c r="CU7" s="3">
        <f>IF(Model_effect_size_measure="Odds Ratio",PICES_UL_MH,"")</f>
        <v>0.70101731506453424</v>
      </c>
      <c r="CV7" s="3" t="str">
        <f>IF(Model_effect_size_measure="Peto Odds Ratio",PICES_UL_Peto,"")</f>
        <v/>
      </c>
      <c r="CX7" s="137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7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118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7"/>
      <c r="FS7" s="131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260</v>
      </c>
      <c r="GH7" s="3">
        <f>IF(Trim_and_fill="Off",'Publication Bias Analysis'!I29,'Publication Bias Analysis'!I37)</f>
        <v>-0.43177801706681374</v>
      </c>
      <c r="GI7" s="3">
        <v>0</v>
      </c>
      <c r="GK7" s="121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314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1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1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1"/>
      <c r="HX7" s="20">
        <v>6</v>
      </c>
      <c r="HY7" s="3">
        <f t="shared" si="123"/>
        <v>0.1</v>
      </c>
      <c r="HZ7" s="35">
        <f>HZ6+HY14</f>
        <v>0.30000000000000004</v>
      </c>
      <c r="IB7" s="121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4.0105313547151751E-2</v>
      </c>
      <c r="II7" s="3">
        <f>EXP(SUMPRODUCT(LogRiskRatio,IE:IE)/SUM(IE:IE))*MAX('Publication Bias Analysis'!AH:AH)</f>
        <v>2.6337361264916353E-2</v>
      </c>
      <c r="IK7" s="121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300</v>
      </c>
      <c r="IR7" s="3">
        <f>MAX(Inverse_standard_error)</f>
        <v>6.3213918121584731</v>
      </c>
      <c r="IS7" s="3">
        <f>IR7*'Publication Bias Analysis'!AY31+IS6</f>
        <v>-5.5058831269539708</v>
      </c>
      <c r="IU7" s="121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303</v>
      </c>
      <c r="JD7" s="3">
        <f>MAX('Publication Bias Analysis'!BF:BF)</f>
        <v>1.150349380376009</v>
      </c>
      <c r="JE7" s="3">
        <f>'Publication Bias Analysis'!BJ30</f>
        <v>-2.2859352938566531</v>
      </c>
      <c r="JG7" s="121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>
        <f t="shared" si="0"/>
        <v>1</v>
      </c>
      <c r="B8" s="6">
        <f>IF(AND(Include_study?="Yes",Sufficient_data="Yes"),IF(Input!a_&lt;&gt;"",Input!a_,Input!n1_-Input!b_),"")</f>
        <v>73.5</v>
      </c>
      <c r="C8" s="6">
        <f>IF(AND(Include_study?="Yes",Sufficient_data="Yes"),IF(Input!b_&lt;&gt;"",Input!b_,Input!n1_-Input!a_),"")</f>
        <v>3270.5</v>
      </c>
      <c r="D8" s="6">
        <f>IF(AND(Include_study?="Yes",Sufficient_data="Yes"),IF(Input!c_&lt;&gt;"",Input!c_,Input!n2_-Input!d_),"")</f>
        <v>75.5</v>
      </c>
      <c r="E8" s="6">
        <f>IF(AND(Include_study?="Yes",Sufficient_data="Yes"),IF(Input!d_&lt;&gt;"",Input!d_,Input!n2_-Input!c_),"")</f>
        <v>2111.5</v>
      </c>
      <c r="F8" s="35" t="str">
        <f t="shared" si="1"/>
        <v>No</v>
      </c>
      <c r="H8" s="137"/>
      <c r="I8" s="131"/>
      <c r="J8" s="76">
        <f t="shared" si="2"/>
        <v>0.62851742093428009</v>
      </c>
      <c r="K8" s="3">
        <f t="shared" si="3"/>
        <v>-0.46439153306345715</v>
      </c>
      <c r="L8" s="3">
        <f t="shared" si="4"/>
        <v>0.16622224852027354</v>
      </c>
      <c r="M8" s="3">
        <f t="shared" si="5"/>
        <v>0.45373021928538337</v>
      </c>
      <c r="N8" s="35">
        <f t="shared" si="6"/>
        <v>0.87063662861171209</v>
      </c>
      <c r="P8" s="121"/>
      <c r="Q8" s="76">
        <f t="shared" si="7"/>
        <v>0.61977958861508664</v>
      </c>
      <c r="R8" s="3">
        <f t="shared" si="8"/>
        <v>0.16984146110297826</v>
      </c>
      <c r="S8" s="3">
        <f t="shared" si="9"/>
        <v>0.44425906763770739</v>
      </c>
      <c r="T8" s="35">
        <f t="shared" si="10"/>
        <v>0.8646458034192358</v>
      </c>
      <c r="V8" s="121"/>
      <c r="W8" s="76">
        <f t="shared" si="11"/>
        <v>-1.2542511425714803E-2</v>
      </c>
      <c r="X8" s="3">
        <f t="shared" si="12"/>
        <v>4.6549578740307943E-3</v>
      </c>
      <c r="Y8" s="3">
        <f t="shared" si="13"/>
        <v>-2.1668058893180377E-2</v>
      </c>
      <c r="Z8" s="35">
        <f t="shared" si="14"/>
        <v>-3.4169639582492285E-3</v>
      </c>
      <c r="AB8" s="121"/>
      <c r="AC8" s="76">
        <f t="shared" si="15"/>
        <v>0.63668248360214208</v>
      </c>
      <c r="AD8" s="3">
        <f t="shared" si="16"/>
        <v>-0.45148420356401231</v>
      </c>
      <c r="AE8" s="3">
        <f t="shared" si="17"/>
        <v>0.16153694579391104</v>
      </c>
      <c r="AF8" s="3">
        <f t="shared" si="18"/>
        <v>0.46386573938183689</v>
      </c>
      <c r="AG8" s="35">
        <f t="shared" si="19"/>
        <v>0.87388343330980744</v>
      </c>
      <c r="AI8" s="137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8" s="6">
        <f>IF(AJ8&lt;&gt;"",IF(AJ8=0,COUNTIF(AJ$2:AJ7,0)+1,COUNTIF(AJ$2:AJ7,AJ8)+AJ8+COUNTIF(AJ:AJ,0)),"")</f>
        <v>3</v>
      </c>
      <c r="AL8" s="6">
        <f t="shared" si="20"/>
        <v>1</v>
      </c>
      <c r="AM8" s="3" t="str">
        <f>IF(AND(Include_study?="Yes",Sufficient_data="Yes",Input!Study_name&lt;&gt;""),Input!Study_name,"")</f>
        <v>Mustaqim et al. (A)</v>
      </c>
      <c r="AN8" s="6">
        <f t="shared" si="21"/>
        <v>5531</v>
      </c>
      <c r="AO8" s="3">
        <f t="shared" si="22"/>
        <v>0.62851742093428009</v>
      </c>
      <c r="AP8" s="3">
        <f t="shared" si="23"/>
        <v>36.192759287669702</v>
      </c>
      <c r="AQ8" s="3">
        <f t="shared" si="24"/>
        <v>36.192759287669702</v>
      </c>
      <c r="AR8" s="3">
        <f t="shared" si="25"/>
        <v>0.16622224852027354</v>
      </c>
      <c r="AS8" s="3">
        <f t="shared" si="26"/>
        <v>0.45373021928538337</v>
      </c>
      <c r="AT8" s="3">
        <f t="shared" si="27"/>
        <v>0.87063662861171209</v>
      </c>
      <c r="AU8" s="80">
        <f t="shared" si="28"/>
        <v>0.23585097170983974</v>
      </c>
      <c r="AW8" s="44">
        <f t="shared" si="29"/>
        <v>0.62851742093428009</v>
      </c>
      <c r="AX8" s="3">
        <f t="shared" si="30"/>
        <v>0.17478720164889672</v>
      </c>
      <c r="AY8" s="35">
        <f t="shared" si="31"/>
        <v>0.242119207677432</v>
      </c>
      <c r="BA8" s="2" t="s">
        <v>315</v>
      </c>
      <c r="BB8" s="9">
        <f>IF(BB2&lt;&gt;"",MAX(Weight_lookup),"")</f>
        <v>0.2604002486782126</v>
      </c>
      <c r="BD8" s="137"/>
      <c r="BE8" s="131"/>
      <c r="BF8" s="3">
        <f t="shared" si="32"/>
        <v>-0.46439153306345715</v>
      </c>
      <c r="BG8" s="3">
        <f t="shared" si="33"/>
        <v>0.16622224852027354</v>
      </c>
      <c r="BH8" s="3">
        <f t="shared" si="34"/>
        <v>36.192759287669702</v>
      </c>
      <c r="BI8" s="3">
        <f t="shared" si="99"/>
        <v>36.192759287669702</v>
      </c>
      <c r="BJ8" s="35">
        <f t="shared" si="35"/>
        <v>-3.2613515996643416E-2</v>
      </c>
      <c r="BO8" s="121"/>
      <c r="BP8" s="3">
        <f t="shared" si="36"/>
        <v>28.059166516000722</v>
      </c>
      <c r="BQ8" s="3">
        <f t="shared" si="37"/>
        <v>44.643418911589222</v>
      </c>
      <c r="BR8" s="3">
        <f t="shared" si="38"/>
        <v>11.084664407423897</v>
      </c>
      <c r="BS8" s="3">
        <f>IF(AND(Sufficient_data="Yes",Include_study?="Yes"),IF(Add_0_5="Yes",(a_+d_+1)*(ab_+0.5)*(c_+0.5)/(Number_of_subjects+2)^2,(a_+d_)*b_*c_/Number_of_subjects^2),"")</f>
        <v>17.636208700383737</v>
      </c>
      <c r="BT8" s="3">
        <f t="shared" si="39"/>
        <v>16.974502108576825</v>
      </c>
      <c r="BU8" s="3">
        <f t="shared" si="40"/>
        <v>27.007210211205486</v>
      </c>
      <c r="BV8" s="3">
        <f t="shared" si="41"/>
        <v>44.643418911589222</v>
      </c>
      <c r="BW8" s="3">
        <f t="shared" si="42"/>
        <v>3.7192636474755188E-2</v>
      </c>
      <c r="BX8" s="3">
        <f t="shared" si="43"/>
        <v>36.192759287669702</v>
      </c>
      <c r="BY8" s="35">
        <f t="shared" si="44"/>
        <v>-3.2613515996643361E-2</v>
      </c>
      <c r="CA8" s="3" t="s">
        <v>316</v>
      </c>
      <c r="CB8" s="3">
        <f>lnCES_OddsRatio_MH+ABS(TINV((1-Confidence_level),k_-1))*SQRT(T2_MH+SElnCES_MH^2)</f>
        <v>-0.35522269173257948</v>
      </c>
      <c r="CD8" s="121"/>
      <c r="CE8" s="76">
        <f t="shared" si="45"/>
        <v>90.084252395588507</v>
      </c>
      <c r="CF8" s="3">
        <f t="shared" si="46"/>
        <v>34.666705047356501</v>
      </c>
      <c r="CG8" s="3">
        <f t="shared" si="47"/>
        <v>-0.47839136638263041</v>
      </c>
      <c r="CH8" s="3">
        <f t="shared" si="48"/>
        <v>2.8846121909594482E-2</v>
      </c>
      <c r="CI8" s="3">
        <f t="shared" si="49"/>
        <v>34.666705047356501</v>
      </c>
      <c r="CJ8" s="3">
        <f t="shared" si="50"/>
        <v>34.666705047356501</v>
      </c>
      <c r="CK8" s="35">
        <f t="shared" si="51"/>
        <v>-3.5689226676727526E-2</v>
      </c>
      <c r="CM8" s="3" t="s">
        <v>316</v>
      </c>
      <c r="CN8" s="3">
        <f>lnCES_PetoOddsRatio+ABS(TINV((1-Confidence_level),k_-1))*SQRT(T2_Peto+SElnCES_Peto^2)</f>
        <v>-0.37013092092240302</v>
      </c>
      <c r="CP8" s="121"/>
      <c r="CQ8" s="52">
        <f t="shared" si="52"/>
        <v>3.4522176497485138E-2</v>
      </c>
      <c r="CX8" s="137"/>
      <c r="CY8" s="48">
        <f t="shared" si="53"/>
        <v>3</v>
      </c>
      <c r="CZ8" s="6" t="str">
        <f t="shared" si="54"/>
        <v>Mustaqim et al. (A)</v>
      </c>
      <c r="DA8" s="17" t="str">
        <f t="shared" si="55"/>
        <v>English</v>
      </c>
      <c r="DB8" s="3">
        <f t="shared" si="56"/>
        <v>-0.46439153306345715</v>
      </c>
      <c r="DC8" s="3">
        <f t="shared" si="57"/>
        <v>0.16622224852027354</v>
      </c>
      <c r="DD8" s="3">
        <f t="shared" si="58"/>
        <v>36.192759287669702</v>
      </c>
      <c r="DE8" s="3">
        <f t="shared" si="59"/>
        <v>36.192759287669702</v>
      </c>
      <c r="DF8" s="80">
        <f t="shared" si="60"/>
        <v>0.29401499161948724</v>
      </c>
      <c r="DG8" s="3">
        <f t="shared" si="61"/>
        <v>0.62851742093428009</v>
      </c>
      <c r="DH8" s="3">
        <f t="shared" si="62"/>
        <v>0.45373022513954936</v>
      </c>
      <c r="DI8" s="3">
        <f t="shared" si="63"/>
        <v>0.87063661737849218</v>
      </c>
      <c r="DJ8" s="35" t="e">
        <f t="shared" si="64"/>
        <v>#DIV/0!</v>
      </c>
      <c r="DL8" s="44">
        <f t="shared" si="65"/>
        <v>0.62851742093428009</v>
      </c>
      <c r="DM8" s="3">
        <f t="shared" si="100"/>
        <v>0.17478719579473073</v>
      </c>
      <c r="DN8" s="35">
        <f t="shared" si="101"/>
        <v>0.24211919644421209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7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317</v>
      </c>
      <c r="FP8" s="6">
        <f>COUNTIFS(Include_study?,"Yes",Sufficient_data,"Yes",Moderator,"&lt;&gt;")</f>
        <v>0</v>
      </c>
      <c r="FR8" s="137"/>
      <c r="FS8" s="131"/>
      <c r="FT8" s="76">
        <f>IF(AND(Include_study?="Yes",Sufficient_data="Yes"),IF(Additional_weighting_method="Inverse Variance",1/'Publication Bias Analysis'!F:F^2,IF(Additional_weighting_method="Mantel-Haenszel",Weightf_MH,Weightf_Peto)),"")</f>
        <v>36.192759287669702</v>
      </c>
      <c r="FU8" s="3">
        <f>IF(AND(Include_study?="Yes",Sufficient_data="Yes"),1/('Publication Bias Analysis'!F:F^2+IF(Additional_model="Fixed effect",0,Calculations!GH$12)),"")</f>
        <v>36.192759287669702</v>
      </c>
      <c r="FV8" s="3">
        <f>IF(AND(Include_study?="Yes",Sufficient_data="Yes"),1/('Publication Bias Analysis'!F:F^2+IF(Additional_model="Fixed effect",0,'Publication Bias Analysis'!L$32)),"")</f>
        <v>36.192759287669702</v>
      </c>
      <c r="FW8" s="3">
        <f>IF(AND(Include_study?="Yes",Sufficient_data="Yes"),'Publication Bias Analysis'!E:E-'Publication Bias Analysis'!I$37,"")</f>
        <v>-3.2613515996643416E-2</v>
      </c>
      <c r="FX8" s="3">
        <f>IF(AND(Include_study?="Yes",Sufficient_data="Yes"),IF(Additional_model="Fixed effect",1/'Publication Bias Analysis'!F:F,1/SQRT('Publication Bias Analysis'!F:F^2+GH$12)),"")</f>
        <v>6.0160418289494713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-2.79379888791973</v>
      </c>
      <c r="FZ8" s="6">
        <f t="shared" si="80"/>
        <v>4</v>
      </c>
      <c r="GA8" s="83">
        <f>IF(AND(Include_study?="Yes",Sufficient_data="Yes"),FZ:FZ+IF(GL:GL&lt;0,-1,1)*COUNTIF(FZ$2:FZ7,FZ:FZ),"")</f>
        <v>4</v>
      </c>
      <c r="GB8" s="83">
        <f>IF(AND(Include_study?="Yes",Sufficient_data="Yes"),RANK(GP:GP,GP:GP,1)*IF(GO:GO&lt;0,-1,1)+IF(GO:GO&lt;0,-1,1)*COUNTIF(FZ$2:FZ7,FZ:FZ),"")</f>
        <v>4</v>
      </c>
      <c r="GC8" s="83">
        <f>IF(AND(Include_study?="Yes",Sufficient_data="Yes"),RANK(GS:GS,GS:GS,1)*IF(GR:GR&lt;0,-1,1)+IF(GR:GR&lt;0,-1,1)*COUNTIF(FZ$2:FZ7,FZ:FZ),"")</f>
        <v>4</v>
      </c>
      <c r="GD8" s="3">
        <f>IF(AND(Include_study?="Yes",Sufficient_data="Yes"),'Publication Bias Analysis'!E8,NA())</f>
        <v>-0.46439153306345715</v>
      </c>
      <c r="GE8" s="35">
        <f>IF(AND(Include_study?="Yes",Sufficient_data="Yes"),'Publication Bias Analysis'!F8,NA())</f>
        <v>0.16622224852027354</v>
      </c>
      <c r="GG8" s="2" t="s">
        <v>261</v>
      </c>
      <c r="GH8" s="3">
        <f>IF(Trim_and_fill="Off",'Publication Bias Analysis'!I29,'Publication Bias Analysis'!I37)</f>
        <v>-0.43177801706681374</v>
      </c>
      <c r="GI8" s="3">
        <f>IF(Trim_and_fill="Off",GH17,GH22)</f>
        <v>0.36823669679645299</v>
      </c>
      <c r="GK8" s="121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3.2613515996643416E-2</v>
      </c>
      <c r="GM8" s="3">
        <f t="shared" si="81"/>
        <v>3.2613515996643416E-2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36.192759287669702</v>
      </c>
      <c r="GO8" s="3">
        <f>IF(AND(Include_study?="Yes",Sufficient_data="Yes"),IF('Publication Bias Analysis'!L$38="Left",'Publication Bias Analysis'!E:E-GW$3,GW$3-'Publication Bias Analysis'!E:E),"")</f>
        <v>3.2613515996643416E-2</v>
      </c>
      <c r="GP8" s="3">
        <f t="shared" si="82"/>
        <v>3.2613515996643416E-2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36.192759287669702</v>
      </c>
      <c r="GR8" s="3">
        <f>IF(AND(Include_study?="Yes",Sufficient_data="Yes"),IF('Publication Bias Analysis'!L$38="Left",'Publication Bias Analysis'!E:E-GW$10,GW$10-'Publication Bias Analysis'!E:E),"")</f>
        <v>3.2613515996643416E-2</v>
      </c>
      <c r="GS8" s="3">
        <f t="shared" si="83"/>
        <v>3.2613515996643416E-2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36.192759287669702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1"/>
      <c r="HL8" s="3">
        <f t="shared" si="89"/>
        <v>0.58942294245327176</v>
      </c>
      <c r="HM8" s="35">
        <f>IF(AND(Include_study?="Yes",Sufficient_data="Yes"),Z_score-('Publication Bias Analysis'!P$3+'Publication Bias Analysis'!P$4*Inverse_standard_error),"")</f>
        <v>-0.10627921873891255</v>
      </c>
      <c r="HO8" s="121"/>
      <c r="HP8" s="3">
        <f>IF(AND(Include_study?="Yes",Sufficient_data="Yes"),(GD:GD-SUMPRODUCT(Calculations!FT:FT,'Publication Bias Analysis'!E:E)/SUM(Calculations!FT:FT))/SQRT(Calculations!HQ:HQ),"")</f>
        <v>-0.22444991038491596</v>
      </c>
      <c r="HQ8" s="3">
        <f>IF(AND(Include_study?="Yes",Sufficient_data="Yes"),GE:GE^2-1/SUM(Calculations!FT:FT),"")</f>
        <v>2.1113312257197633E-2</v>
      </c>
      <c r="HR8" s="6">
        <f t="shared" si="90"/>
        <v>5</v>
      </c>
      <c r="HS8" s="6">
        <f t="shared" si="91"/>
        <v>3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2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2</v>
      </c>
      <c r="HW8" s="121"/>
      <c r="HX8" s="20">
        <v>7</v>
      </c>
      <c r="HY8" s="3">
        <f t="shared" si="123"/>
        <v>0.30000000000000004</v>
      </c>
      <c r="HZ8" s="35">
        <f>HZ7+HY14</f>
        <v>0.5</v>
      </c>
      <c r="IB8" s="121"/>
      <c r="IC8" s="76">
        <f t="shared" si="92"/>
        <v>2.1979665071770335E-2</v>
      </c>
      <c r="ID8" s="3">
        <f t="shared" si="93"/>
        <v>3.4522176497485138E-2</v>
      </c>
      <c r="IE8" s="3">
        <f t="shared" si="94"/>
        <v>38.322714639379832</v>
      </c>
      <c r="IF8" s="35">
        <f t="shared" si="95"/>
        <v>36.192759287669702</v>
      </c>
      <c r="IK8" s="121"/>
      <c r="IL8" s="3">
        <f>IF(AND(Include_study?="Yes",Sufficient_data="Yes"),'Publication Bias Analysis'!AV:AV,NA())</f>
        <v>-2.79379888791973</v>
      </c>
      <c r="IM8" s="3">
        <f>IF(AND(Sufficient_data="Yes",Include_study?="Yes"),'Publication Bias Analysis'!AU:AU,NA())</f>
        <v>6.0160418289494713</v>
      </c>
      <c r="IN8" s="3">
        <f t="shared" si="96"/>
        <v>0.58942294245327176</v>
      </c>
      <c r="IO8" s="35">
        <f>IF(AND(Include_study?="Yes",Sufficient_data="Yes"),Z_score-('Publication Bias Analysis'!AY$30+'Publication Bias Analysis'!AY$31*Inverse_standard_error),"")</f>
        <v>-0.19620427642491967</v>
      </c>
      <c r="IQ8" s="24" t="s">
        <v>261</v>
      </c>
      <c r="IR8" s="2" t="s">
        <v>257</v>
      </c>
      <c r="IS8" s="2" t="s">
        <v>258</v>
      </c>
      <c r="IU8" s="121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0.12500000000000003</v>
      </c>
      <c r="IX8" s="3">
        <f>IF('Publication Bias Analysis'!BF8&lt;&gt;"",'Publication Bias Analysis'!BF8,NA())</f>
        <v>-1.1503493803760083</v>
      </c>
      <c r="IY8" s="3">
        <f>IF('Publication Bias Analysis'!BG8&lt;&gt;"",'Publication Bias Analysis'!BG8,NA())</f>
        <v>-2.79379888791973</v>
      </c>
      <c r="IZ8" s="3">
        <f>IF(AND(Include_study?="Yes",Sufficient_data="Yes"),'Publication Bias Analysis'!BF:BF-AVERAGE('Publication Bias Analysis'!BF:BF),"")</f>
        <v>-1.1503493803760085</v>
      </c>
      <c r="JA8" s="35">
        <f>IF(AND(Include_study?="Yes",Sufficient_data="Yes"),'Publication Bias Analysis'!BG:BG-('Publication Bias Analysis'!BJ$30+'Publication Bias Analysis'!BJ$31*'Publication Bias Analysis'!BF:BF),"")</f>
        <v>0.41405264498820804</v>
      </c>
      <c r="JG8" s="121"/>
      <c r="JH8" s="3">
        <f t="shared" si="98"/>
        <v>-2.79379888791973</v>
      </c>
      <c r="JI8" s="10">
        <f t="shared" si="124"/>
        <v>2.6046432219867244E-3</v>
      </c>
      <c r="JJ8" s="35">
        <f t="shared" si="125"/>
        <v>-5.9504595720867774</v>
      </c>
    </row>
    <row r="9" spans="1:270" ht="12" customHeight="1" x14ac:dyDescent="0.3">
      <c r="A9" s="2">
        <f t="shared" si="0"/>
        <v>1</v>
      </c>
      <c r="B9" s="6">
        <f>IF(AND(Include_study?="Yes",Sufficient_data="Yes"),IF(Input!a_&lt;&gt;"",Input!a_,Input!n1_-Input!b_),"")</f>
        <v>83</v>
      </c>
      <c r="C9" s="6">
        <f>IF(AND(Include_study?="Yes",Sufficient_data="Yes"),IF(Input!b_&lt;&gt;"",Input!b_,Input!n1_-Input!a_),"")</f>
        <v>3261</v>
      </c>
      <c r="D9" s="6">
        <f>IF(AND(Include_study?="Yes",Sufficient_data="Yes"),IF(Input!c_&lt;&gt;"",Input!c_,Input!n2_-Input!d_),"")</f>
        <v>82</v>
      </c>
      <c r="E9" s="6">
        <f>IF(AND(Include_study?="Yes",Sufficient_data="Yes"),IF(Input!d_&lt;&gt;"",Input!d_,Input!n2_-Input!c_),"")</f>
        <v>2105</v>
      </c>
      <c r="F9" s="35" t="str">
        <f t="shared" si="1"/>
        <v>No</v>
      </c>
      <c r="H9" s="137"/>
      <c r="I9" s="131"/>
      <c r="J9" s="76">
        <f t="shared" si="2"/>
        <v>0.65337955587467555</v>
      </c>
      <c r="K9" s="3">
        <f t="shared" si="3"/>
        <v>-0.42559706914049256</v>
      </c>
      <c r="L9" s="3">
        <f t="shared" si="4"/>
        <v>0.15819301029191302</v>
      </c>
      <c r="M9" s="3">
        <f t="shared" si="5"/>
        <v>0.47916150808292762</v>
      </c>
      <c r="N9" s="35">
        <f t="shared" si="6"/>
        <v>0.89094144006472376</v>
      </c>
      <c r="P9" s="121"/>
      <c r="Q9" s="76">
        <f t="shared" si="7"/>
        <v>0.64544042001196289</v>
      </c>
      <c r="R9" s="3">
        <f t="shared" si="8"/>
        <v>0.16163722727400912</v>
      </c>
      <c r="S9" s="3">
        <f t="shared" si="9"/>
        <v>0.47015404415887957</v>
      </c>
      <c r="T9" s="35">
        <f t="shared" si="10"/>
        <v>0.88607838422514829</v>
      </c>
      <c r="V9" s="121"/>
      <c r="W9" s="76">
        <f t="shared" si="11"/>
        <v>-1.2673710245185228E-2</v>
      </c>
      <c r="X9" s="3">
        <f t="shared" si="12"/>
        <v>4.8723245590768698E-3</v>
      </c>
      <c r="Y9" s="3">
        <f t="shared" si="13"/>
        <v>-2.222538187014312E-2</v>
      </c>
      <c r="Z9" s="35">
        <f t="shared" si="14"/>
        <v>-3.1220386202273354E-3</v>
      </c>
      <c r="AB9" s="121"/>
      <c r="AC9" s="76">
        <f t="shared" si="15"/>
        <v>0.66198287431438907</v>
      </c>
      <c r="AD9" s="3">
        <f t="shared" si="16"/>
        <v>-0.41251559299547963</v>
      </c>
      <c r="AE9" s="3">
        <f t="shared" si="17"/>
        <v>0.15325476922195694</v>
      </c>
      <c r="AF9" s="3">
        <f t="shared" si="18"/>
        <v>0.49019343977423097</v>
      </c>
      <c r="AG9" s="35">
        <f t="shared" si="19"/>
        <v>0.89397631695636814</v>
      </c>
      <c r="AI9" s="137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9" s="6">
        <f>IF(AJ9&lt;&gt;"",IF(AJ9=0,COUNTIF(AJ$2:AJ8,0)+1,COUNTIF(AJ$2:AJ8,AJ9)+AJ9+COUNTIF(AJ:AJ,0)),"")</f>
        <v>4</v>
      </c>
      <c r="AL9" s="6">
        <f t="shared" si="20"/>
        <v>1</v>
      </c>
      <c r="AM9" s="3" t="str">
        <f>IF(AND(Include_study?="Yes",Sufficient_data="Yes",Input!Study_name&lt;&gt;""),Input!Study_name,"")</f>
        <v>Mustaqim et al. (B)</v>
      </c>
      <c r="AN9" s="6">
        <f t="shared" si="21"/>
        <v>5531</v>
      </c>
      <c r="AO9" s="3">
        <f t="shared" si="22"/>
        <v>0.65337955587467555</v>
      </c>
      <c r="AP9" s="3">
        <f t="shared" si="23"/>
        <v>39.959994442824183</v>
      </c>
      <c r="AQ9" s="3">
        <f t="shared" si="24"/>
        <v>39.959994442824183</v>
      </c>
      <c r="AR9" s="3">
        <f t="shared" si="25"/>
        <v>0.15819301029191302</v>
      </c>
      <c r="AS9" s="3">
        <f t="shared" si="26"/>
        <v>0.47916150808292762</v>
      </c>
      <c r="AT9" s="3">
        <f t="shared" si="27"/>
        <v>0.89094144006472376</v>
      </c>
      <c r="AU9" s="80">
        <f t="shared" si="28"/>
        <v>0.2604002486782126</v>
      </c>
      <c r="AW9" s="44">
        <f t="shared" si="29"/>
        <v>0.65337955587467555</v>
      </c>
      <c r="AX9" s="3">
        <f t="shared" si="30"/>
        <v>0.17421804779174793</v>
      </c>
      <c r="AY9" s="35">
        <f t="shared" si="31"/>
        <v>0.2375618841900482</v>
      </c>
      <c r="BD9" s="137"/>
      <c r="BE9" s="131"/>
      <c r="BF9" s="3">
        <f t="shared" si="32"/>
        <v>-0.42559706914049256</v>
      </c>
      <c r="BG9" s="3">
        <f t="shared" si="33"/>
        <v>0.15819301029191302</v>
      </c>
      <c r="BH9" s="3">
        <f t="shared" si="34"/>
        <v>39.959994442824183</v>
      </c>
      <c r="BI9" s="3">
        <f t="shared" si="99"/>
        <v>39.959994442824183</v>
      </c>
      <c r="BJ9" s="35">
        <f t="shared" si="35"/>
        <v>6.1809479263211786E-3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0.64935350608337739</v>
      </c>
      <c r="BO9" s="121"/>
      <c r="BP9" s="3">
        <f t="shared" si="36"/>
        <v>31.588320376062196</v>
      </c>
      <c r="BQ9" s="3">
        <f t="shared" si="37"/>
        <v>48.346049538962212</v>
      </c>
      <c r="BR9" s="3">
        <f t="shared" si="38"/>
        <v>12.495976312208295</v>
      </c>
      <c r="BS9" s="3">
        <f>IF(AND(Sufficient_data="Yes",Include_study?="Yes"),IF(Add_0_5="Yes",(a_+d_+1)*(ab_+0.5)*(c_+0.5)/(Number_of_subjects+2)^2,(a_+d_)*b_*c_/Number_of_subjects^2),"")</f>
        <v>19.125141274859757</v>
      </c>
      <c r="BT9" s="3">
        <f t="shared" si="39"/>
        <v>19.092344063853901</v>
      </c>
      <c r="BU9" s="3">
        <f t="shared" si="40"/>
        <v>29.220908264102455</v>
      </c>
      <c r="BV9" s="3">
        <f t="shared" si="41"/>
        <v>48.346049538962212</v>
      </c>
      <c r="BW9" s="3">
        <f t="shared" si="42"/>
        <v>1.8141291579247796E-3</v>
      </c>
      <c r="BX9" s="3">
        <f t="shared" si="43"/>
        <v>39.959994442824183</v>
      </c>
      <c r="BY9" s="35">
        <f t="shared" si="44"/>
        <v>6.1809479263212341E-3</v>
      </c>
      <c r="CD9" s="121"/>
      <c r="CE9" s="76">
        <f t="shared" si="45"/>
        <v>99.75772916290002</v>
      </c>
      <c r="CF9" s="3">
        <f t="shared" si="46"/>
        <v>38.275177738720139</v>
      </c>
      <c r="CG9" s="3">
        <f t="shared" si="47"/>
        <v>-0.43782237347907799</v>
      </c>
      <c r="CH9" s="3">
        <f t="shared" si="48"/>
        <v>2.6126593240829676E-2</v>
      </c>
      <c r="CI9" s="3">
        <f t="shared" si="49"/>
        <v>38.275177738720139</v>
      </c>
      <c r="CJ9" s="3">
        <f t="shared" si="50"/>
        <v>38.275177738720139</v>
      </c>
      <c r="CK9" s="35">
        <f t="shared" si="51"/>
        <v>4.8797662268248998E-3</v>
      </c>
      <c r="CP9" s="121"/>
      <c r="CQ9" s="52">
        <f t="shared" si="52"/>
        <v>3.7494284407864654E-2</v>
      </c>
      <c r="CS9" s="119" t="s">
        <v>164</v>
      </c>
      <c r="CT9" s="119"/>
      <c r="CU9" s="119"/>
      <c r="CV9" s="119"/>
      <c r="CX9" s="137"/>
      <c r="CY9" s="48">
        <f t="shared" si="53"/>
        <v>3</v>
      </c>
      <c r="CZ9" s="6" t="str">
        <f t="shared" si="54"/>
        <v>Mustaqim et al. (B)</v>
      </c>
      <c r="DA9" s="17" t="str">
        <f t="shared" si="55"/>
        <v>English</v>
      </c>
      <c r="DB9" s="3">
        <f t="shared" si="56"/>
        <v>-0.42559706914049256</v>
      </c>
      <c r="DC9" s="3">
        <f t="shared" si="57"/>
        <v>0.15819301029191302</v>
      </c>
      <c r="DD9" s="3">
        <f t="shared" si="58"/>
        <v>39.959994442824183</v>
      </c>
      <c r="DE9" s="3">
        <f t="shared" si="59"/>
        <v>39.959994442824183</v>
      </c>
      <c r="DF9" s="80">
        <f t="shared" si="60"/>
        <v>0.32461845027727276</v>
      </c>
      <c r="DG9" s="3">
        <f t="shared" si="61"/>
        <v>0.65337955587467555</v>
      </c>
      <c r="DH9" s="3">
        <f t="shared" si="62"/>
        <v>0.47916151396658518</v>
      </c>
      <c r="DI9" s="3">
        <f t="shared" si="63"/>
        <v>0.89094142912479179</v>
      </c>
      <c r="DJ9" s="35" t="e">
        <f t="shared" si="64"/>
        <v>#DIV/0!</v>
      </c>
      <c r="DL9" s="44">
        <f t="shared" si="65"/>
        <v>0.65337955587467555</v>
      </c>
      <c r="DM9" s="3">
        <f t="shared" si="100"/>
        <v>0.17421804190809037</v>
      </c>
      <c r="DN9" s="35">
        <f t="shared" si="101"/>
        <v>0.23756187325011624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7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7"/>
      <c r="FS9" s="131"/>
      <c r="FT9" s="76">
        <f>IF(AND(Include_study?="Yes",Sufficient_data="Yes"),IF(Additional_weighting_method="Inverse Variance",1/'Publication Bias Analysis'!F:F^2,IF(Additional_weighting_method="Mantel-Haenszel",Weightf_MH,Weightf_Peto)),"")</f>
        <v>39.959994442824183</v>
      </c>
      <c r="FU9" s="3">
        <f>IF(AND(Include_study?="Yes",Sufficient_data="Yes"),1/('Publication Bias Analysis'!F:F^2+IF(Additional_model="Fixed effect",0,Calculations!GH$12)),"")</f>
        <v>39.959994442824183</v>
      </c>
      <c r="FV9" s="3">
        <f>IF(AND(Include_study?="Yes",Sufficient_data="Yes"),1/('Publication Bias Analysis'!F:F^2+IF(Additional_model="Fixed effect",0,'Publication Bias Analysis'!L$32)),"")</f>
        <v>39.959994442824183</v>
      </c>
      <c r="FW9" s="3">
        <f>IF(AND(Include_study?="Yes",Sufficient_data="Yes"),'Publication Bias Analysis'!E:E-'Publication Bias Analysis'!I$37,"")</f>
        <v>6.1809479263211786E-3</v>
      </c>
      <c r="FX9" s="3">
        <f>IF(AND(Include_study?="Yes",Sufficient_data="Yes"),IF(Additional_model="Fixed effect",1/'Publication Bias Analysis'!F:F,1/SQRT('Publication Bias Analysis'!F:F^2+GH$12)),"")</f>
        <v>6.3213918121584731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-2.6903658281433533</v>
      </c>
      <c r="FZ9" s="6">
        <f t="shared" si="80"/>
        <v>-2</v>
      </c>
      <c r="GA9" s="83">
        <f>IF(AND(Include_study?="Yes",Sufficient_data="Yes"),FZ:FZ+IF(GL:GL&lt;0,-1,1)*COUNTIF(FZ$2:FZ8,FZ:FZ),"")</f>
        <v>-2</v>
      </c>
      <c r="GB9" s="83">
        <f>IF(AND(Include_study?="Yes",Sufficient_data="Yes"),RANK(GP:GP,GP:GP,1)*IF(GO:GO&lt;0,-1,1)+IF(GO:GO&lt;0,-1,1)*COUNTIF(FZ$2:FZ8,FZ:FZ),"")</f>
        <v>-2</v>
      </c>
      <c r="GC9" s="83">
        <f>IF(AND(Include_study?="Yes",Sufficient_data="Yes"),RANK(GS:GS,GS:GS,1)*IF(GR:GR&lt;0,-1,1)+IF(GR:GR&lt;0,-1,1)*COUNTIF(FZ$2:FZ8,FZ:FZ),"")</f>
        <v>-2</v>
      </c>
      <c r="GD9" s="3">
        <f>IF(AND(Include_study?="Yes",Sufficient_data="Yes"),'Publication Bias Analysis'!E9,NA())</f>
        <v>-0.42559706914049256</v>
      </c>
      <c r="GE9" s="35">
        <f>IF(AND(Include_study?="Yes",Sufficient_data="Yes"),'Publication Bias Analysis'!F9,NA())</f>
        <v>0.15819301029191302</v>
      </c>
      <c r="GK9" s="121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-6.1809479263211786E-3</v>
      </c>
      <c r="GM9" s="3">
        <f t="shared" si="81"/>
        <v>6.1809479263211786E-3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39.959994442824183</v>
      </c>
      <c r="GO9" s="3">
        <f>IF(AND(Include_study?="Yes",Sufficient_data="Yes"),IF('Publication Bias Analysis'!L$38="Left",'Publication Bias Analysis'!E:E-GW$3,GW$3-'Publication Bias Analysis'!E:E),"")</f>
        <v>-6.1809479263211786E-3</v>
      </c>
      <c r="GP9" s="3">
        <f t="shared" si="82"/>
        <v>6.1809479263211786E-3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39.959994442824183</v>
      </c>
      <c r="GR9" s="3">
        <f>IF(AND(Include_study?="Yes",Sufficient_data="Yes"),IF('Publication Bias Analysis'!L$38="Left",'Publication Bias Analysis'!E:E-GW$10,GW$10-'Publication Bias Analysis'!E:E),"")</f>
        <v>-6.1809479263211786E-3</v>
      </c>
      <c r="GS9" s="3">
        <f t="shared" si="83"/>
        <v>6.1809479263211786E-3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39.959994442824183</v>
      </c>
      <c r="GV9" s="119" t="s">
        <v>117</v>
      </c>
      <c r="GW9" s="119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1"/>
      <c r="HL9" s="3">
        <f t="shared" si="89"/>
        <v>0.89477292566227362</v>
      </c>
      <c r="HM9" s="35">
        <f>IF(AND(Include_study?="Yes",Sufficient_data="Yes"),Z_score-('Publication Bias Analysis'!P$3+'Publication Bias Analysis'!P$4*Inverse_standard_error),"")</f>
        <v>0.20519423687250127</v>
      </c>
      <c r="HO9" s="121"/>
      <c r="HP9" s="3">
        <f>IF(AND(Include_study?="Yes",Sufficient_data="Yes"),(GD:GD-SUMPRODUCT(Calculations!FT:FT,'Publication Bias Analysis'!E:E)/SUM(Calculations!FT:FT))/SQRT(Calculations!HQ:HQ),"")</f>
        <v>4.5432790908737489E-2</v>
      </c>
      <c r="HQ9" s="3">
        <f>IF(AND(Include_study?="Yes",Sufficient_data="Yes"),GE:GE^2-1/SUM(Calculations!FT:FT),"")</f>
        <v>1.8508504859279351E-2</v>
      </c>
      <c r="HR9" s="6">
        <f t="shared" si="90"/>
        <v>2</v>
      </c>
      <c r="HS9" s="6">
        <f t="shared" si="91"/>
        <v>5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1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3</v>
      </c>
      <c r="HW9" s="121"/>
      <c r="HX9" s="20">
        <v>8</v>
      </c>
      <c r="HY9" s="3">
        <f t="shared" si="123"/>
        <v>0.5</v>
      </c>
      <c r="HZ9" s="35">
        <f>HZ8+HY14</f>
        <v>0.7</v>
      </c>
      <c r="IB9" s="121"/>
      <c r="IC9" s="76">
        <f t="shared" si="92"/>
        <v>2.4820574162679427E-2</v>
      </c>
      <c r="ID9" s="3">
        <f t="shared" si="93"/>
        <v>3.7494284407864654E-2</v>
      </c>
      <c r="IE9" s="3">
        <f t="shared" si="94"/>
        <v>42.576700551062281</v>
      </c>
      <c r="IF9" s="35">
        <f t="shared" si="95"/>
        <v>39.959994442824183</v>
      </c>
      <c r="IK9" s="121"/>
      <c r="IL9" s="3">
        <f>IF(AND(Include_study?="Yes",Sufficient_data="Yes"),'Publication Bias Analysis'!AV:AV,NA())</f>
        <v>-2.6903658281433533</v>
      </c>
      <c r="IM9" s="3">
        <f>IF(AND(Sufficient_data="Yes",Include_study?="Yes"),'Publication Bias Analysis'!AU:AU,NA())</f>
        <v>6.3213918121584731</v>
      </c>
      <c r="IN9" s="3">
        <f t="shared" si="96"/>
        <v>0.89477292566227362</v>
      </c>
      <c r="IO9" s="35">
        <f>IF(AND(Include_study?="Yes",Sufficient_data="Yes"),Z_score-('Publication Bias Analysis'!AY$30+'Publication Bias Analysis'!AY$31*Inverse_standard_error),"")</f>
        <v>3.9072193612824435E-2</v>
      </c>
      <c r="IQ9" s="2" t="s">
        <v>113</v>
      </c>
      <c r="IR9" s="3">
        <v>0</v>
      </c>
      <c r="IS9" s="3">
        <f>ABS(TINV((1-Additional_confidence_level),k_-1))</f>
        <v>2.776445105197793</v>
      </c>
      <c r="IU9" s="121"/>
      <c r="IV9" s="6">
        <f>IF('Publication Bias Analysis'!BG:BG&lt;&gt;"",RANK('Publication Bias Analysis'!BG:BG,'Publication Bias Analysis'!BG:BG,1)+COUNTIF('Publication Bias Analysis'!BG$2:BG8,'Publication Bias Analysis'!BG9),"")</f>
        <v>3</v>
      </c>
      <c r="IW9" s="3">
        <f t="shared" si="97"/>
        <v>0.5</v>
      </c>
      <c r="IX9" s="3">
        <f>IF('Publication Bias Analysis'!BF9&lt;&gt;"",'Publication Bias Analysis'!BF9,NA())</f>
        <v>0</v>
      </c>
      <c r="IY9" s="3">
        <f>IF('Publication Bias Analysis'!BG9&lt;&gt;"",'Publication Bias Analysis'!BG9,NA())</f>
        <v>-2.6903658281433533</v>
      </c>
      <c r="IZ9" s="3">
        <f>IF(AND(Include_study?="Yes",Sufficient_data="Yes"),'Publication Bias Analysis'!BF:BF-AVERAGE('Publication Bias Analysis'!BF:BF),"")</f>
        <v>-1.3322676295501878E-16</v>
      </c>
      <c r="JA9" s="35">
        <f>IF(AND(Include_study?="Yes",Sufficient_data="Yes"),'Publication Bias Analysis'!BG:BG-('Publication Bias Analysis'!BJ$30+'Publication Bias Analysis'!BJ$31*'Publication Bias Analysis'!BF:BF),"")</f>
        <v>-0.40443053428670028</v>
      </c>
      <c r="JG9" s="121"/>
      <c r="JH9" s="3">
        <f t="shared" si="98"/>
        <v>-2.6903658281433533</v>
      </c>
      <c r="JI9" s="10">
        <f t="shared" si="124"/>
        <v>3.5686864699833176E-3</v>
      </c>
      <c r="JJ9" s="35">
        <f t="shared" si="125"/>
        <v>-5.635557686474395</v>
      </c>
    </row>
    <row r="10" spans="1:270" ht="13" x14ac:dyDescent="0.35">
      <c r="A10" s="2">
        <f t="shared" si="0"/>
        <v>1</v>
      </c>
      <c r="B10" s="6">
        <f>IF(AND(Include_study?="Yes",Sufficient_data="Yes"),IF(Input!a_&lt;&gt;"",Input!a_,Input!n1_-Input!b_),"")</f>
        <v>68</v>
      </c>
      <c r="C10" s="6">
        <f>IF(AND(Include_study?="Yes",Sufficient_data="Yes"),IF(Input!b_&lt;&gt;"",Input!b_,Input!n1_-Input!a_),"")</f>
        <v>2578</v>
      </c>
      <c r="D10" s="6">
        <f>IF(AND(Include_study?="Yes",Sufficient_data="Yes"),IF(Input!c_&lt;&gt;"",Input!c_,Input!n2_-Input!d_),"")</f>
        <v>83.78</v>
      </c>
      <c r="E10" s="6">
        <f>IF(AND(Include_study?="Yes",Sufficient_data="Yes"),IF(Input!d_&lt;&gt;"",Input!d_,Input!n2_-Input!c_),"")</f>
        <v>2005.22</v>
      </c>
      <c r="F10" s="35" t="str">
        <f t="shared" si="1"/>
        <v>No</v>
      </c>
      <c r="H10" s="137"/>
      <c r="I10" s="131"/>
      <c r="J10" s="76">
        <f t="shared" si="2"/>
        <v>0.63131727208261468</v>
      </c>
      <c r="K10" s="3">
        <f t="shared" si="3"/>
        <v>-0.45994673443488249</v>
      </c>
      <c r="L10" s="3">
        <f t="shared" si="4"/>
        <v>0.16591715180270977</v>
      </c>
      <c r="M10" s="3">
        <f t="shared" si="5"/>
        <v>0.45601865592730101</v>
      </c>
      <c r="N10" s="35">
        <f t="shared" si="6"/>
        <v>0.8740026155714411</v>
      </c>
      <c r="P10" s="121"/>
      <c r="Q10" s="76">
        <f t="shared" si="7"/>
        <v>0.62863403181082722</v>
      </c>
      <c r="R10" s="3">
        <f t="shared" si="8"/>
        <v>0.16614120031610358</v>
      </c>
      <c r="S10" s="3">
        <f t="shared" si="9"/>
        <v>0.45388106795383171</v>
      </c>
      <c r="T10" s="35">
        <f t="shared" si="10"/>
        <v>0.87067025670904052</v>
      </c>
      <c r="V10" s="121"/>
      <c r="W10" s="76">
        <f t="shared" si="11"/>
        <v>-1.4406144990840336E-2</v>
      </c>
      <c r="X10" s="3">
        <f t="shared" si="12"/>
        <v>5.2812151619910513E-3</v>
      </c>
      <c r="Y10" s="3">
        <f t="shared" si="13"/>
        <v>-2.4759784215777556E-2</v>
      </c>
      <c r="Z10" s="35">
        <f t="shared" si="14"/>
        <v>-4.0525057659031149E-3</v>
      </c>
      <c r="AB10" s="121"/>
      <c r="AC10" s="76">
        <f t="shared" si="15"/>
        <v>0.64079211165116423</v>
      </c>
      <c r="AD10" s="3">
        <f t="shared" si="16"/>
        <v>-0.4450501934611174</v>
      </c>
      <c r="AE10" s="3">
        <f t="shared" si="17"/>
        <v>0.16057795109898745</v>
      </c>
      <c r="AF10" s="3">
        <f t="shared" si="18"/>
        <v>0.46773298098614635</v>
      </c>
      <c r="AG10" s="35">
        <f t="shared" si="19"/>
        <v>0.8778823539204732</v>
      </c>
      <c r="AI10" s="137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0" s="6">
        <f>IF(AJ10&lt;&gt;"",IF(AJ10=0,COUNTIF(AJ$2:AJ9,0)+1,COUNTIF(AJ$2:AJ9,AJ10)+AJ10+COUNTIF(AJ:AJ,0)),"")</f>
        <v>5</v>
      </c>
      <c r="AL10" s="6">
        <f t="shared" si="20"/>
        <v>1</v>
      </c>
      <c r="AM10" s="3" t="str">
        <f>IF(AND(Include_study?="Yes",Sufficient_data="Yes",Input!Study_name&lt;&gt;""),Input!Study_name,"")</f>
        <v>Van et al.</v>
      </c>
      <c r="AN10" s="6">
        <f t="shared" si="21"/>
        <v>4735</v>
      </c>
      <c r="AO10" s="3">
        <f t="shared" si="22"/>
        <v>0.63131727208261468</v>
      </c>
      <c r="AP10" s="3">
        <f t="shared" si="23"/>
        <v>36.325987763403539</v>
      </c>
      <c r="AQ10" s="3">
        <f t="shared" si="24"/>
        <v>36.325987763403539</v>
      </c>
      <c r="AR10" s="3">
        <f t="shared" si="25"/>
        <v>0.16591715180270977</v>
      </c>
      <c r="AS10" s="3">
        <f t="shared" si="26"/>
        <v>0.45601865592730101</v>
      </c>
      <c r="AT10" s="3">
        <f t="shared" si="27"/>
        <v>0.8740026155714411</v>
      </c>
      <c r="AU10" s="80">
        <f t="shared" si="28"/>
        <v>0.23671915822227155</v>
      </c>
      <c r="AW10" s="44">
        <f t="shared" si="29"/>
        <v>0.63131727208261468</v>
      </c>
      <c r="AX10" s="3">
        <f t="shared" si="30"/>
        <v>0.17529861615531367</v>
      </c>
      <c r="AY10" s="35">
        <f t="shared" si="31"/>
        <v>0.24268534348882642</v>
      </c>
      <c r="BD10" s="137"/>
      <c r="BE10" s="131"/>
      <c r="BF10" s="3">
        <f t="shared" si="32"/>
        <v>-0.45994673443488249</v>
      </c>
      <c r="BG10" s="3">
        <f t="shared" si="33"/>
        <v>0.16591715180270977</v>
      </c>
      <c r="BH10" s="3">
        <f t="shared" si="34"/>
        <v>36.325987763403539</v>
      </c>
      <c r="BI10" s="3">
        <f t="shared" si="99"/>
        <v>36.325987763403539</v>
      </c>
      <c r="BJ10" s="35">
        <f t="shared" si="35"/>
        <v>-2.8168717368068752E-2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1"/>
      <c r="BP10" s="3">
        <f t="shared" si="36"/>
        <v>28.797246040126716</v>
      </c>
      <c r="BQ10" s="3">
        <f t="shared" si="37"/>
        <v>45.614538542766631</v>
      </c>
      <c r="BR10" s="3">
        <f t="shared" si="38"/>
        <v>12.608875699115421</v>
      </c>
      <c r="BS10" s="3">
        <f>IF(AND(Sufficient_data="Yes",Include_study?="Yes"),IF(Add_0_5="Yes",(a_+d_+1)*(ab_+0.5)*(c_+0.5)/(Number_of_subjects+2)^2,(a_+d_)*b_*c_/Number_of_subjects^2),"")</f>
        <v>19.972328109320941</v>
      </c>
      <c r="BT10" s="3">
        <f t="shared" si="39"/>
        <v>16.1883703410113</v>
      </c>
      <c r="BU10" s="3">
        <f t="shared" si="40"/>
        <v>25.642210433445701</v>
      </c>
      <c r="BV10" s="3">
        <f t="shared" si="41"/>
        <v>45.614538542766631</v>
      </c>
      <c r="BW10" s="3">
        <f t="shared" si="42"/>
        <v>2.7695379796204414E-2</v>
      </c>
      <c r="BX10" s="3">
        <f t="shared" si="43"/>
        <v>36.325987763403539</v>
      </c>
      <c r="BY10" s="35">
        <f t="shared" si="44"/>
        <v>-2.8168717368068696E-2</v>
      </c>
      <c r="CA10" s="3" t="s">
        <v>318</v>
      </c>
      <c r="CB10" s="3">
        <f>IF(Meta_analysis_model="Fixed effect model",SUMPRODUCT(Weightf_MH,OddsRatio)/SUM(Weightf_MH),EXP(SUMPRODUCT(Weight_MH,LogOddsRatio)/SUM(Weight_MH)))</f>
        <v>0.64935350608337739</v>
      </c>
      <c r="CD10" s="121"/>
      <c r="CE10" s="76">
        <f t="shared" si="45"/>
        <v>84.817292502639916</v>
      </c>
      <c r="CF10" s="3">
        <f t="shared" si="46"/>
        <v>36.228079528821823</v>
      </c>
      <c r="CG10" s="3">
        <f t="shared" si="47"/>
        <v>-0.46420601702777681</v>
      </c>
      <c r="CH10" s="3">
        <f t="shared" si="48"/>
        <v>2.7602898442475654E-2</v>
      </c>
      <c r="CI10" s="3">
        <f t="shared" si="49"/>
        <v>36.228079528821823</v>
      </c>
      <c r="CJ10" s="3">
        <f t="shared" si="50"/>
        <v>36.228079528821823</v>
      </c>
      <c r="CK10" s="35">
        <f t="shared" si="51"/>
        <v>-2.1503877321873921E-2</v>
      </c>
      <c r="CM10" s="3" t="s">
        <v>319</v>
      </c>
      <c r="CN10" s="3">
        <f>EXP(lnCES_PetoOddsRatio)</f>
        <v>0.64229849381628668</v>
      </c>
      <c r="CP10" s="121"/>
      <c r="CQ10" s="52">
        <f t="shared" si="52"/>
        <v>4.0105313547151751E-2</v>
      </c>
      <c r="CS10" s="2"/>
      <c r="CT10" s="2" t="s">
        <v>52</v>
      </c>
      <c r="CU10" s="2" t="s">
        <v>76</v>
      </c>
      <c r="CV10" s="2" t="s">
        <v>77</v>
      </c>
      <c r="CX10" s="137"/>
      <c r="CY10" s="48">
        <f t="shared" si="53"/>
        <v>3</v>
      </c>
      <c r="CZ10" s="6" t="str">
        <f t="shared" si="54"/>
        <v>Van et al.</v>
      </c>
      <c r="DA10" s="17" t="str">
        <f t="shared" si="55"/>
        <v>English</v>
      </c>
      <c r="DB10" s="3">
        <f t="shared" si="56"/>
        <v>-0.45994673443488249</v>
      </c>
      <c r="DC10" s="3">
        <f t="shared" si="57"/>
        <v>0.16591715180270977</v>
      </c>
      <c r="DD10" s="3">
        <f t="shared" si="58"/>
        <v>36.325987763403539</v>
      </c>
      <c r="DE10" s="3">
        <f t="shared" si="59"/>
        <v>36.325987763403539</v>
      </c>
      <c r="DF10" s="80">
        <f t="shared" si="60"/>
        <v>0.29509728459596407</v>
      </c>
      <c r="DG10" s="3">
        <f t="shared" si="61"/>
        <v>0.63131727208261468</v>
      </c>
      <c r="DH10" s="3">
        <f t="shared" si="62"/>
        <v>0.45601866394207824</v>
      </c>
      <c r="DI10" s="3">
        <f t="shared" si="63"/>
        <v>0.87400260021036746</v>
      </c>
      <c r="DJ10" s="35" t="e">
        <f t="shared" si="64"/>
        <v>#DIV/0!</v>
      </c>
      <c r="DL10" s="44">
        <f t="shared" si="65"/>
        <v>0.63131727208261468</v>
      </c>
      <c r="DM10" s="3">
        <f t="shared" si="100"/>
        <v>0.17529860814053644</v>
      </c>
      <c r="DN10" s="35">
        <f t="shared" si="101"/>
        <v>0.24268532812775279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7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320</v>
      </c>
      <c r="FP10" s="1"/>
      <c r="FR10" s="137"/>
      <c r="FS10" s="131"/>
      <c r="FT10" s="76">
        <f>IF(AND(Include_study?="Yes",Sufficient_data="Yes"),IF(Additional_weighting_method="Inverse Variance",1/'Publication Bias Analysis'!F:F^2,IF(Additional_weighting_method="Mantel-Haenszel",Weightf_MH,Weightf_Peto)),"")</f>
        <v>36.325987763403539</v>
      </c>
      <c r="FU10" s="3">
        <f>IF(AND(Include_study?="Yes",Sufficient_data="Yes"),1/('Publication Bias Analysis'!F:F^2+IF(Additional_model="Fixed effect",0,Calculations!GH$12)),"")</f>
        <v>36.325987763403539</v>
      </c>
      <c r="FV10" s="3">
        <f>IF(AND(Include_study?="Yes",Sufficient_data="Yes"),1/('Publication Bias Analysis'!F:F^2+IF(Additional_model="Fixed effect",0,'Publication Bias Analysis'!L$32)),"")</f>
        <v>36.325987763403539</v>
      </c>
      <c r="FW10" s="3">
        <f>IF(AND(Include_study?="Yes",Sufficient_data="Yes"),'Publication Bias Analysis'!E:E-'Publication Bias Analysis'!I$37,"")</f>
        <v>-2.8168717368068752E-2</v>
      </c>
      <c r="FX10" s="3">
        <f>IF(AND(Include_study?="Yes",Sufficient_data="Yes"),IF(Additional_model="Fixed effect",1/'Publication Bias Analysis'!F:F,1/SQRT('Publication Bias Analysis'!F:F^2+GH$12)),"")</f>
        <v>6.0271044261240023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-2.7721469988937613</v>
      </c>
      <c r="FZ10" s="6">
        <f t="shared" si="80"/>
        <v>3</v>
      </c>
      <c r="GA10" s="83">
        <f>IF(AND(Include_study?="Yes",Sufficient_data="Yes"),FZ:FZ+IF(GL:GL&lt;0,-1,1)*COUNTIF(FZ$2:FZ9,FZ:FZ),"")</f>
        <v>3</v>
      </c>
      <c r="GB10" s="83">
        <f>IF(AND(Include_study?="Yes",Sufficient_data="Yes"),RANK(GP:GP,GP:GP,1)*IF(GO:GO&lt;0,-1,1)+IF(GO:GO&lt;0,-1,1)*COUNTIF(FZ$2:FZ9,FZ:FZ),"")</f>
        <v>3</v>
      </c>
      <c r="GC10" s="83">
        <f>IF(AND(Include_study?="Yes",Sufficient_data="Yes"),RANK(GS:GS,GS:GS,1)*IF(GR:GR&lt;0,-1,1)+IF(GR:GR&lt;0,-1,1)*COUNTIF(FZ$2:FZ9,FZ:FZ),"")</f>
        <v>3</v>
      </c>
      <c r="GD10" s="3">
        <f>IF(AND(Include_study?="Yes",Sufficient_data="Yes"),'Publication Bias Analysis'!E10,NA())</f>
        <v>-0.45994673443488249</v>
      </c>
      <c r="GE10" s="35">
        <f>IF(AND(Include_study?="Yes",Sufficient_data="Yes"),'Publication Bias Analysis'!F10,NA())</f>
        <v>0.16591715180270977</v>
      </c>
      <c r="GG10" s="119" t="s">
        <v>71</v>
      </c>
      <c r="GH10" s="119"/>
      <c r="GK10" s="121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2.8168717368068752E-2</v>
      </c>
      <c r="GM10" s="3">
        <f t="shared" si="81"/>
        <v>2.8168717368068752E-2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36.325987763403539</v>
      </c>
      <c r="GO10" s="3">
        <f>IF(AND(Include_study?="Yes",Sufficient_data="Yes"),IF('Publication Bias Analysis'!L$38="Left",'Publication Bias Analysis'!E:E-GW$3,GW$3-'Publication Bias Analysis'!E:E),"")</f>
        <v>2.8168717368068752E-2</v>
      </c>
      <c r="GP10" s="3">
        <f t="shared" si="82"/>
        <v>2.8168717368068752E-2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36.325987763403539</v>
      </c>
      <c r="GR10" s="3">
        <f>IF(AND(Include_study?="Yes",Sufficient_data="Yes"),IF('Publication Bias Analysis'!L$38="Left",'Publication Bias Analysis'!E:E-GW$10,GW$10-'Publication Bias Analysis'!E:E),"")</f>
        <v>2.8168717368068752E-2</v>
      </c>
      <c r="GS10" s="3">
        <f t="shared" si="83"/>
        <v>2.8168717368068752E-2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36.325987763403539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-0.43177801706681374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1"/>
      <c r="HL10" s="3">
        <f t="shared" si="89"/>
        <v>0.60048553962780282</v>
      </c>
      <c r="HM10" s="35">
        <f>IF(AND(Include_study?="Yes",Sufficient_data="Yes"),Z_score-('Publication Bias Analysis'!P$3+'Publication Bias Analysis'!P$4*Inverse_standard_error),"")</f>
        <v>-7.7090184726177124E-2</v>
      </c>
      <c r="HO10" s="121"/>
      <c r="HP10" s="3">
        <f>IF(AND(Include_study?="Yes",Sufficient_data="Yes"),(GD:GD-SUMPRODUCT(Calculations!FT:FT,'Publication Bias Analysis'!E:E)/SUM(Calculations!FT:FT))/SQRT(Calculations!HQ:HQ),"")</f>
        <v>-0.19432720647180979</v>
      </c>
      <c r="HQ10" s="3">
        <f>IF(AND(Include_study?="Yes",Sufficient_data="Yes"),GE:GE^2-1/SUM(Calculations!FT:FT),"")</f>
        <v>2.1011977616385492E-2</v>
      </c>
      <c r="HR10" s="6">
        <f t="shared" si="90"/>
        <v>4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2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2</v>
      </c>
      <c r="HW10" s="121"/>
      <c r="HX10" s="54">
        <v>9</v>
      </c>
      <c r="HY10" s="32">
        <f t="shared" si="123"/>
        <v>0.7</v>
      </c>
      <c r="HZ10" s="39"/>
      <c r="IB10" s="121"/>
      <c r="IC10" s="76">
        <f t="shared" si="92"/>
        <v>2.5699168556311415E-2</v>
      </c>
      <c r="ID10" s="3">
        <f t="shared" si="93"/>
        <v>4.0105313547151751E-2</v>
      </c>
      <c r="IE10" s="3">
        <f t="shared" si="94"/>
        <v>38.781819040148399</v>
      </c>
      <c r="IF10" s="35">
        <f t="shared" si="95"/>
        <v>36.325987763403539</v>
      </c>
      <c r="IK10" s="121"/>
      <c r="IL10" s="3">
        <f>IF(AND(Include_study?="Yes",Sufficient_data="Yes"),'Publication Bias Analysis'!AV:AV,NA())</f>
        <v>-2.7721469988937613</v>
      </c>
      <c r="IM10" s="3">
        <f>IF(AND(Sufficient_data="Yes",Include_study?="Yes"),'Publication Bias Analysis'!AU:AU,NA())</f>
        <v>6.0271044261240023</v>
      </c>
      <c r="IN10" s="3">
        <f t="shared" si="96"/>
        <v>0.60048553962780282</v>
      </c>
      <c r="IO10" s="35">
        <f>IF(AND(Include_study?="Yes",Sufficient_data="Yes"),Z_score-('Publication Bias Analysis'!AY$30+'Publication Bias Analysis'!AY$31*Inverse_standard_error),"")</f>
        <v>-0.16977580112732316</v>
      </c>
      <c r="IQ10" s="2" t="s">
        <v>300</v>
      </c>
      <c r="IR10" s="3">
        <f>MAX(Inverse_standard_error)</f>
        <v>6.3213918121584731</v>
      </c>
      <c r="IS10" s="3">
        <f>IR10*'Publication Bias Analysis'!AY31+IS9</f>
        <v>4.7007083441615194E-2</v>
      </c>
      <c r="IU10" s="121"/>
      <c r="IV10" s="6">
        <f>IF('Publication Bias Analysis'!BG:BG&lt;&gt;"",RANK('Publication Bias Analysis'!BG:BG,'Publication Bias Analysis'!BG:BG,1)+COUNTIF('Publication Bias Analysis'!BG$2:BG9,'Publication Bias Analysis'!BG10),"")</f>
        <v>2</v>
      </c>
      <c r="IW10" s="3">
        <f t="shared" si="97"/>
        <v>0.31250000000000006</v>
      </c>
      <c r="IX10" s="3">
        <f>IF('Publication Bias Analysis'!BF10&lt;&gt;"",'Publication Bias Analysis'!BF10,NA())</f>
        <v>-0.4887764111146693</v>
      </c>
      <c r="IY10" s="3">
        <f>IF('Publication Bias Analysis'!BG10&lt;&gt;"",'Publication Bias Analysis'!BG10,NA())</f>
        <v>-2.7721469988937613</v>
      </c>
      <c r="IZ10" s="3">
        <f>IF(AND(Include_study?="Yes",Sufficient_data="Yes"),'Publication Bias Analysis'!BF:BF-AVERAGE('Publication Bias Analysis'!BF:BF),"")</f>
        <v>-0.48877641111466941</v>
      </c>
      <c r="JA10" s="35">
        <f>IF(AND(Include_study?="Yes",Sufficient_data="Yes"),'Publication Bias Analysis'!BG:BG-('Publication Bias Analysis'!BJ$30+'Publication Bias Analysis'!BJ$31*'Publication Bias Analysis'!BF:BF),"")</f>
        <v>-9.4495137567378595E-2</v>
      </c>
      <c r="JG10" s="121"/>
      <c r="JH10" s="3">
        <f t="shared" si="98"/>
        <v>-2.7721469988937613</v>
      </c>
      <c r="JI10" s="10">
        <f t="shared" si="124"/>
        <v>2.7843941200976774E-3</v>
      </c>
      <c r="JJ10" s="35">
        <f t="shared" si="125"/>
        <v>-5.8837249804024632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7"/>
      <c r="I11" s="131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1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1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1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7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7"/>
      <c r="BE11" s="131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321</v>
      </c>
      <c r="BM11" s="3">
        <f>IF(Model_effect_size_measure="Risk Difference",CES_IV-ABS(TINV((1-Confidence_level),k_-1))*SECES_Risk_Difference,EXP(CIlnCES_LL))</f>
        <v>0.60149723380792341</v>
      </c>
      <c r="BO11" s="121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321</v>
      </c>
      <c r="CB11" s="3">
        <f>EXP(CIlnCES_LL_MH)</f>
        <v>0.60149723380792341</v>
      </c>
      <c r="CD11" s="121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321</v>
      </c>
      <c r="CN11" s="3">
        <f>EXP(CIlnCES_LL_Peto)</f>
        <v>0.59733728508031669</v>
      </c>
      <c r="CP11" s="121"/>
      <c r="CQ11" s="52" t="str">
        <f t="shared" si="52"/>
        <v/>
      </c>
      <c r="CS11" s="2" t="s">
        <v>295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0.65731029994847223</v>
      </c>
      <c r="CU11" s="3">
        <f>IF(Model_effect_size_measure="Odds Ratio",CES_OddsRatio_MH/(1-MEDIAN(Control_group_risk)+(MEDIAN(Control_group_risk)*CES_OddsRatio_MH)),NA())</f>
        <v>0.65731029994847223</v>
      </c>
      <c r="CV11" s="3" t="e">
        <f>IF(Model_effect_size_measure="Peto Odds Ratio",CES_PetoOddsRatio/(1-MEDIAN(Control_group_risk)+(MEDIAN(Control_group_risk)*CES_PetoOddsRatio)),NA())</f>
        <v>#N/A</v>
      </c>
      <c r="CX11" s="137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>
        <f t="shared" si="102"/>
        <v>23</v>
      </c>
      <c r="DQ11" s="17" t="str">
        <f>IF(AND(Sufficient_data="Yes",Subgroup&lt;&gt;""),IF(COUNTIFS(Input!J$2:J13,"="&amp;"Yes",Input!C$2:C13,"="&amp;"Yes",Input!K$2:K13,"="&amp;Subgroup)&gt;0,"",Subgroup),"")</f>
        <v>Malay</v>
      </c>
      <c r="DR11" s="6">
        <f t="shared" si="103"/>
        <v>6</v>
      </c>
      <c r="DS11" s="6">
        <f t="shared" si="66"/>
        <v>0</v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210</v>
      </c>
      <c r="EY11" s="3" t="e">
        <f>IF(Subgroup_valid_options="Yes",IF(Subgroup_effect_size_measure="Risk Difference",EY9-ABS(TINV((1-Subgroup_confidence_level),Subgroup_k-1))*EY10,EXP(EY4)),"")</f>
        <v>#DIV/0!</v>
      </c>
      <c r="FA11" s="137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257</v>
      </c>
      <c r="FP11" s="2" t="s">
        <v>258</v>
      </c>
      <c r="FR11" s="137"/>
      <c r="FS11" s="131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72</v>
      </c>
      <c r="GH11" s="3">
        <f>SUMPRODUCT(Calculations!FT:FT,'Publication Bias Analysis'!E:E,'Publication Bias Analysis'!E:E)-SUMPRODUCT(Calculations!FT:FT,'Publication Bias Analysis'!E:E)^2/SUM(Calculations!FT:FT)</f>
        <v>0.46667726752718153</v>
      </c>
      <c r="GK11" s="121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9" t="s">
        <v>71</v>
      </c>
      <c r="GW11" s="119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1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1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1"/>
      <c r="IB11" s="121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1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1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1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7"/>
      <c r="I12" s="131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1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1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1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7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7"/>
      <c r="BE12" s="131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322</v>
      </c>
      <c r="BM12" s="3">
        <f>IF(Model_effect_size_measure="Risk Difference",CES_IV+ABS(TINV((1-Confidence_level),k_-1))*SECES_Risk_Difference,EXP(CIlnCES_UL))</f>
        <v>0.70101731506453424</v>
      </c>
      <c r="BO12" s="121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322</v>
      </c>
      <c r="CB12" s="3">
        <f>EXP(CIlnCES_UL_MH)</f>
        <v>0.70101731506453424</v>
      </c>
      <c r="CD12" s="121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322</v>
      </c>
      <c r="CN12" s="3">
        <f>EXP(CIlnCES_UL_Peto)</f>
        <v>0.69064390498108652</v>
      </c>
      <c r="CP12" s="121"/>
      <c r="CQ12" s="52" t="str">
        <f t="shared" si="52"/>
        <v/>
      </c>
      <c r="CS12" s="2" t="s">
        <v>109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0.60988756859434357</v>
      </c>
      <c r="CU12" s="3">
        <f>IF(Model_effect_size_measure="Odds Ratio",CICES_LL_MH/(1-MEDIAN(Control_group_risk)+(MEDIAN(Control_group_risk)*CICES_LL_MH)),"")</f>
        <v>0.60988756859434357</v>
      </c>
      <c r="CV12" s="3" t="str">
        <f>IF(Model_effect_size_measure="Peto Odds Ratio",CICES_LL_Peto/(1-MEDIAN(Control_group_risk)+(MEDIAN(Control_group_risk)*CICES_LL_Peto)),"")</f>
        <v/>
      </c>
      <c r="CX12" s="137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211</v>
      </c>
      <c r="EY12" s="3" t="e">
        <f>IF(Subgroup_valid_options="Yes",IF(Subgroup_effect_size_measure="Risk Difference",EY9+ABS(TINV((1-Subgroup_confidence_level),Subgroup_k-1))*EY10,EXP(EY5)),"")</f>
        <v>#DIV/0!</v>
      </c>
      <c r="FA12" s="137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7"/>
      <c r="FS12" s="131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160</v>
      </c>
      <c r="GH12" s="3">
        <f>MAX(0,(GH11-(k_-1))/((SUM(Calculations!FT:FT))-SUMPRODUCT(Calculations!FT:FT,Calculations!FT:FT)/SUM(Calculations!FT:FT)))</f>
        <v>0</v>
      </c>
      <c r="GK12" s="121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72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0.46667726752718153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1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1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1"/>
      <c r="HX12" s="139" t="s">
        <v>323</v>
      </c>
      <c r="HY12" s="119"/>
      <c r="IB12" s="121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1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1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1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7"/>
      <c r="I13" s="131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1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1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1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7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7"/>
      <c r="BE13" s="131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324</v>
      </c>
      <c r="BM13" s="3">
        <f>IF(Model_effect_size_measure="Risk Difference",CES_IV-ABS(TINV((1-Confidence_level),k_-1))*SQRT(T2_+SECES_Risk_Difference^2),EXP(PIlnCES_LL))</f>
        <v>0.60149723380792341</v>
      </c>
      <c r="BO13" s="121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324</v>
      </c>
      <c r="CB13" s="3">
        <f>EXP(PIlnCES_LL_MH)</f>
        <v>0.60149723380792341</v>
      </c>
      <c r="CD13" s="121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324</v>
      </c>
      <c r="CN13" s="3">
        <f>EXP(PIlnCES_LL_Peto)</f>
        <v>0.59733728508031669</v>
      </c>
      <c r="CP13" s="121"/>
      <c r="CQ13" s="52" t="str">
        <f t="shared" si="52"/>
        <v/>
      </c>
      <c r="CS13" s="2" t="s">
        <v>110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0.70832834951234391</v>
      </c>
      <c r="CU13" s="3">
        <f>IF(Model_effect_size_measure="Odds Ratio",CICES_UL_MH/(1-MEDIAN(Control_group_risk)+(MEDIAN(Control_group_risk)*CICES_UL_MH)),"")</f>
        <v>0.70832834951234391</v>
      </c>
      <c r="CV13" s="3" t="str">
        <f>IF(Model_effect_size_measure="Peto Odds Ratio",CICES_UL_Peto/(1-MEDIAN(Control_group_risk)+(MEDIAN(Control_group_risk)*CICES_UL_Peto)),"")</f>
        <v/>
      </c>
      <c r="CX13" s="137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>
        <f t="shared" si="102"/>
        <v>23</v>
      </c>
      <c r="DQ13" s="17" t="str">
        <f>IF(AND(Sufficient_data="Yes",Subgroup&lt;&gt;""),IF(COUNTIFS(Input!J$2:J15,"="&amp;"Yes",Input!C$2:C15,"="&amp;"Yes",Input!K$2:K15,"="&amp;Subgroup)&gt;0,"",Subgroup),"")</f>
        <v>Greek</v>
      </c>
      <c r="DR13" s="6">
        <f t="shared" si="103"/>
        <v>6</v>
      </c>
      <c r="DS13" s="6">
        <f t="shared" si="66"/>
        <v>0</v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325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7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7"/>
      <c r="FS13" s="131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1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160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1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1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1"/>
      <c r="HX13" s="2" t="s">
        <v>326</v>
      </c>
      <c r="HY13" s="3">
        <f>MAX(MAX(Standardized_residual),ABS(MIN(Standardized_residual)))</f>
        <v>0.65350507735152275</v>
      </c>
      <c r="IB13" s="121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1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1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1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>
        <f t="shared" si="0"/>
        <v>0</v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7"/>
      <c r="I14" s="131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1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1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1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7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>
        <f t="shared" si="20"/>
        <v>0</v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7"/>
      <c r="BE14" s="131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327</v>
      </c>
      <c r="BM14" s="3">
        <f>IF(Model_effect_size_measure="Risk Difference",CES_IV+ABS(TINV((1-Confidence_level),k_-1))*SQRT(T2_+SECES_Risk_Difference^2),EXP(PIlnCES_UL))</f>
        <v>0.70101731506453424</v>
      </c>
      <c r="BO14" s="121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327</v>
      </c>
      <c r="CB14" s="3">
        <f>EXP(PIlnCES_UL_MH)</f>
        <v>0.70101731506453424</v>
      </c>
      <c r="CD14" s="121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327</v>
      </c>
      <c r="CN14" s="3">
        <f>EXP(PIlnCES_UL_Peto)</f>
        <v>0.69064390498108652</v>
      </c>
      <c r="CP14" s="121"/>
      <c r="CQ14" s="52" t="str">
        <f t="shared" si="52"/>
        <v/>
      </c>
      <c r="CS14" s="2" t="s">
        <v>308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0.60988756859434357</v>
      </c>
      <c r="CU14" s="3">
        <f>IF(Model_effect_size_measure="Odds Ratio",PICES_LL_MH/(1-MEDIAN(Control_group_risk)+(MEDIAN(Control_group_risk)*PICES_LL_MH)),"")</f>
        <v>0.60988756859434357</v>
      </c>
      <c r="CV14" s="3" t="str">
        <f>IF(Model_effect_size_measure="Peto Odds Ratio",PICES_LL_Peto/(1-MEDIAN(Control_group_risk)+(MEDIAN(Control_group_risk)*PICES_LL_Peto)),"")</f>
        <v/>
      </c>
      <c r="CX14" s="137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328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7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7"/>
      <c r="FS14" s="131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9" t="s">
        <v>329</v>
      </c>
      <c r="GH14" s="119"/>
      <c r="GK14" s="121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314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1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1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1"/>
      <c r="HX14" s="2" t="s">
        <v>323</v>
      </c>
      <c r="HY14" s="21">
        <f>ROUND(HY13/4,1)</f>
        <v>0.2</v>
      </c>
      <c r="IB14" s="121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1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1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1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7"/>
      <c r="I15" s="131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1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1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1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7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7"/>
      <c r="BE15" s="131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1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1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1"/>
      <c r="CQ15" s="52" t="str">
        <f t="shared" si="52"/>
        <v/>
      </c>
      <c r="CS15" s="2" t="s">
        <v>313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0.70832834951234391</v>
      </c>
      <c r="CU15" s="3">
        <f>IF(Model_effect_size_measure="Odds Ratio",PICES_UL_MH/(1-MEDIAN(Control_group_risk)+(MEDIAN(Control_group_risk)*PICES_UL_MH)),"")</f>
        <v>0.70832834951234391</v>
      </c>
      <c r="CV15" s="3" t="str">
        <f>IF(Model_effect_size_measure="Peto Odds Ratio",PICES_UL_Peto/(1-MEDIAN(Control_group_risk)+(MEDIAN(Control_group_risk)*PICES_UL_Peto)),"")</f>
        <v/>
      </c>
      <c r="CX15" s="137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7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7"/>
      <c r="FS15" s="131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330</v>
      </c>
      <c r="GH15" s="3">
        <f>IF(Additional_valid_options="Yes",'Publication Bias Analysis'!I29-'Publication Bias Analysis'!I31,NA())</f>
        <v>0.2241284970832883</v>
      </c>
      <c r="GK15" s="121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1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1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1"/>
      <c r="IB15" s="121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1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1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1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>
        <f t="shared" si="0"/>
        <v>0</v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7"/>
      <c r="I16" s="131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1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1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1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7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>
        <f t="shared" si="20"/>
        <v>0</v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7"/>
      <c r="BE16" s="131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66</v>
      </c>
      <c r="BM16" s="3">
        <f>IF(Model_effect_size_measure="Risk Difference",CES_IV/SECES_Risk_Difference,lnCES_IV/SElnCES)</f>
        <v>-15.659367350125761</v>
      </c>
      <c r="BO16" s="121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66</v>
      </c>
      <c r="CB16" s="3">
        <f>lnCES_OddsRatio_MH/SElnCES_MH</f>
        <v>-15.659367350125763</v>
      </c>
      <c r="CD16" s="121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66</v>
      </c>
      <c r="CN16" s="3">
        <f>lnCES_PetoOddsRatio/SElnCES_Peto</f>
        <v>-16.936992508199491</v>
      </c>
      <c r="CP16" s="121"/>
      <c r="CQ16" s="52" t="str">
        <f t="shared" si="52"/>
        <v/>
      </c>
      <c r="CX16" s="137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9" t="s">
        <v>331</v>
      </c>
      <c r="EY16" s="119"/>
      <c r="FA16" s="137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7"/>
      <c r="FS16" s="131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332</v>
      </c>
      <c r="GH16" s="3">
        <f>IF(Additional_valid_options="Yes",'Publication Bias Analysis'!I29-'Publication Bias Analysis'!I33,NA())</f>
        <v>0.2241284970832883</v>
      </c>
      <c r="GK16" s="121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9" t="s">
        <v>117</v>
      </c>
      <c r="GW16" s="119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1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1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1"/>
      <c r="IB16" s="121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1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1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1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7"/>
      <c r="I17" s="131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1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1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1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7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7"/>
      <c r="BE17" s="131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1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1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1"/>
      <c r="CQ17" s="52" t="str">
        <f t="shared" si="52"/>
        <v/>
      </c>
      <c r="CS17" s="119" t="s">
        <v>183</v>
      </c>
      <c r="CT17" s="119"/>
      <c r="CU17" s="119"/>
      <c r="CV17" s="119"/>
      <c r="CX17" s="137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72</v>
      </c>
      <c r="EY17" s="3">
        <f>SUMPRODUCT(Subgroup_weightf,Subgroup_effect_size,Subgroup_effect_size)-SUMPRODUCT(Subgroup_weightf,Subgroup_effect_size)^2/SUM(Subgroup_weightf)</f>
        <v>0.46667726752718153</v>
      </c>
      <c r="FA17" s="137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7"/>
      <c r="FS17" s="131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333</v>
      </c>
      <c r="GH17" s="3">
        <f>IF(Additional_valid_options="Yes",MAX('Publication Bias Analysis'!F:F)*1.1,NA())</f>
        <v>0.33755030539674857</v>
      </c>
      <c r="GK17" s="121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-0.43177801706681374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1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1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1"/>
      <c r="IB17" s="121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1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1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1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7"/>
      <c r="I18" s="131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1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1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1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7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7"/>
      <c r="BE18" s="131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71</v>
      </c>
      <c r="BM18" s="28"/>
      <c r="BO18" s="121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9" t="s">
        <v>71</v>
      </c>
      <c r="CB18" s="119"/>
      <c r="CD18" s="121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71</v>
      </c>
      <c r="CN18" s="1"/>
      <c r="CP18" s="121"/>
      <c r="CQ18" s="52" t="str">
        <f t="shared" si="52"/>
        <v/>
      </c>
      <c r="CS18" s="2"/>
      <c r="CT18" s="2" t="s">
        <v>52</v>
      </c>
      <c r="CU18" s="2" t="s">
        <v>76</v>
      </c>
      <c r="CV18" s="2" t="s">
        <v>77</v>
      </c>
      <c r="CX18" s="137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73</v>
      </c>
      <c r="EY18" s="3">
        <f>CHIDIST(EY17,Subgroup_k-1)</f>
        <v>0.97666281909057151</v>
      </c>
      <c r="FA18" s="137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7"/>
      <c r="FS18" s="131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1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9" t="s">
        <v>71</v>
      </c>
      <c r="GW18" s="119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1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1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1"/>
      <c r="IB18" s="121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1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1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1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7"/>
      <c r="I19" s="131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1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1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1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7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7"/>
      <c r="BE19" s="131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72</v>
      </c>
      <c r="BM19" s="3">
        <f>SUMPRODUCT(Weightf,Model_Effect_size,Model_Effect_size)-SUMPRODUCT(Weightf,Model_Effect_size)^2/SUM(Weightf)</f>
        <v>0.46667726752718153</v>
      </c>
      <c r="BO19" s="121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72</v>
      </c>
      <c r="CB19" s="3">
        <f>SUM(Weighted_squared_residual)</f>
        <v>0.46672486051813156</v>
      </c>
      <c r="CD19" s="121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72</v>
      </c>
      <c r="CN19" s="3">
        <f>SUMPRODUCT(Weightf_Peto,LogPetoOddsRatio,LogPetoOddsRatio)-SUMPRODUCT(Weightf_Peto,LogPetoOddsRatio)^2/SUM(Weightf_Peto)</f>
        <v>0.40585950675097848</v>
      </c>
      <c r="CP19" s="121"/>
      <c r="CQ19" s="52" t="str">
        <f t="shared" si="52"/>
        <v/>
      </c>
      <c r="CS19" s="2" t="s">
        <v>295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-1.1830394309049082E-2</v>
      </c>
      <c r="CU19" s="3">
        <f>IF(Model_effect_size_measure="Odds Ratio",CU11*MEDIAN(Control_group_risk)-MEDIAN(Control_group_risk),NA())</f>
        <v>-1.1830394309049082E-2</v>
      </c>
      <c r="CV19" s="3" t="e">
        <f>IF(Model_effect_size_measure="Peto Odds Ratio",CV11*MEDIAN(Control_group_risk)-MEDIAN(Control_group_risk),NA())</f>
        <v>#N/A</v>
      </c>
      <c r="CX19" s="137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74</v>
      </c>
      <c r="EY19" s="9">
        <f>MAX(0,(EY17-(Subgroup_k-1))/EY17)</f>
        <v>0</v>
      </c>
      <c r="FA19" s="137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7"/>
      <c r="FS19" s="131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9" t="s">
        <v>334</v>
      </c>
      <c r="GH19" s="119"/>
      <c r="GK19" s="121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72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0.46667726752718153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1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1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1"/>
      <c r="IB19" s="121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1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1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1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7"/>
      <c r="I20" s="131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1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1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1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7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7"/>
      <c r="BE20" s="131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160</v>
      </c>
      <c r="BM20" s="3">
        <f>MAX((Q_-(k_-1))/(SUM(Weightf)-SUMPRODUCT(Weightf,Weightf)/SUM(Weightf)),0)</f>
        <v>0</v>
      </c>
      <c r="BO20" s="121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160</v>
      </c>
      <c r="CB20" s="3">
        <f>MAX((Q_MH-(k_-1))/(SUM(Weightf_MH)-SUMPRODUCT(Weightf_MH,Weightf_MH)/SUM(Weightf_MH)),0)</f>
        <v>0</v>
      </c>
      <c r="CD20" s="121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160</v>
      </c>
      <c r="CN20" s="3">
        <f>MAX((Q_Peto-(k_-1))/(SUM(Weightf_Peto)-SUMPRODUCT(Weightf_Peto,Weightf_Peto)/SUM(Weightf_Peto)),0)</f>
        <v>0</v>
      </c>
      <c r="CP20" s="121"/>
      <c r="CQ20" s="52" t="str">
        <f t="shared" si="52"/>
        <v/>
      </c>
      <c r="CS20" s="2" t="s">
        <v>335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7.5548354186569819E-4</v>
      </c>
      <c r="CU20" s="3">
        <f>IF(Model_effect_size_measure="Odds Ratio",CU19/Z_value_MH,"")</f>
        <v>7.5548354186569808E-4</v>
      </c>
      <c r="CV20" s="3" t="str">
        <f>IF(Model_effect_size_measure="Peto Odds Ratio",CV19/Z_value_Peto,"")</f>
        <v/>
      </c>
      <c r="CX20" s="137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160</v>
      </c>
      <c r="EY20" s="3">
        <f>MAX(0,(EY17-(Subgroup_k-1))/(SUM(Subgroup_weightf)-(SUMPRODUCT(Subgroup_weightf,Subgroup_weightf)/SUM(Subgroup_weightf))))</f>
        <v>0</v>
      </c>
      <c r="FA20" s="137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7"/>
      <c r="FS20" s="131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336</v>
      </c>
      <c r="GH20" s="3">
        <f>IF(AND(Trim_and_fill="On",Additional_valid_options="Yes"),'Publication Bias Analysis'!I37-'Publication Bias Analysis'!I39,NA())</f>
        <v>0.2241284970832883</v>
      </c>
      <c r="GK20" s="121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160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1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1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1"/>
      <c r="IB20" s="121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1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1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1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7"/>
      <c r="I21" s="131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1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1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1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7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7"/>
      <c r="BE21" s="131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1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1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1"/>
      <c r="CQ21" s="52" t="str">
        <f t="shared" si="52"/>
        <v/>
      </c>
      <c r="CS21" s="2" t="s">
        <v>109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-1.3927952890919592E-2</v>
      </c>
      <c r="CU21" s="3">
        <f>IF(Model_effect_size_measure="Odds Ratio",CU19-CU20*ABS(TINV((1-Confidence_level),k_-1)),"")</f>
        <v>-1.3927952890919592E-2</v>
      </c>
      <c r="CV21" s="3" t="str">
        <f>IF(Model_effect_size_measure="Peto Odds Ratio",CV19-CV20*ABS(TINV((1-Confidence_level),k_-1)),"")</f>
        <v/>
      </c>
      <c r="CX21" s="137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84</v>
      </c>
      <c r="EY21" s="3">
        <f>SQRT(EY20)</f>
        <v>0</v>
      </c>
      <c r="FA21" s="137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7"/>
      <c r="FS21" s="131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337</v>
      </c>
      <c r="GH21" s="3">
        <f>IF(AND(Trim_and_fill="On",Additional_valid_options="Yes"),'Publication Bias Analysis'!I37-'Publication Bias Analysis'!I41,NA())</f>
        <v>0.2241284970832883</v>
      </c>
      <c r="GK21" s="121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314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1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1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1"/>
      <c r="IB21" s="121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1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1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1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7"/>
      <c r="I22" s="131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1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1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1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7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7"/>
      <c r="BE22" s="131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1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1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1"/>
      <c r="CQ22" s="52" t="str">
        <f t="shared" si="52"/>
        <v/>
      </c>
      <c r="CS22" s="2" t="s">
        <v>110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-9.732835727178573E-3</v>
      </c>
      <c r="CU22" s="3">
        <f>IF(Model_effect_size_measure="Odds Ratio",CU19+CU20*ABS(TINV((1-Confidence_level),k_-1)),"")</f>
        <v>-9.732835727178573E-3</v>
      </c>
      <c r="CV22" s="3" t="str">
        <f>IF(Model_effect_size_measure="Peto Odds Ratio",CV19+CV20*ABS(TINV((1-Confidence_level),k_-1)),"")</f>
        <v/>
      </c>
      <c r="CX22" s="137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7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7"/>
      <c r="FS22" s="131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338</v>
      </c>
      <c r="GH22" s="3">
        <f>IF(AND(Trim_and_fill="On",Additional_valid_options="Yes"),MAX('Publication Bias Analysis'!F:F)*1.2,NA())</f>
        <v>0.36823669679645299</v>
      </c>
      <c r="GK22" s="121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1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1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1"/>
      <c r="IB22" s="121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1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1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1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7"/>
      <c r="I23" s="131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1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1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1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7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7"/>
      <c r="BE23" s="131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1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1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1"/>
      <c r="CQ23" s="52" t="str">
        <f t="shared" si="52"/>
        <v/>
      </c>
      <c r="CS23" s="2" t="s">
        <v>308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-1.3927952890919592E-2</v>
      </c>
      <c r="CU23" s="3">
        <f>IF(Model_effect_size_measure="Odds Ratio",CU19-((lnCES_OddsRatio_MH-PIlnCES_LL_MH)/SElnCES_MH)*CU20,"")</f>
        <v>-1.3927952890919592E-2</v>
      </c>
      <c r="CV23" s="3" t="str">
        <f>IF(Model_effect_size_measure="Peto Odds Ratio",CV19-((lnCES_PetoOddsRatio-PIlnCES_LL_Peto)/SElnCES_Peto)*CV20,"")</f>
        <v/>
      </c>
      <c r="CX23" s="137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9" t="s">
        <v>339</v>
      </c>
      <c r="EY23" s="119"/>
      <c r="FA23" s="137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7"/>
      <c r="FS23" s="131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1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1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1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1"/>
      <c r="IB23" s="121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1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1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1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7"/>
      <c r="I24" s="131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1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1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1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7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7"/>
      <c r="BE24" s="131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1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1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1"/>
      <c r="CQ24" s="52" t="str">
        <f t="shared" si="52"/>
        <v/>
      </c>
      <c r="CS24" s="2" t="s">
        <v>313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-9.732835727178573E-3</v>
      </c>
      <c r="CU24" s="3">
        <f>IF(Model_effect_size_measure="Odds Ratio",CU19+((lnCES_OddsRatio_MH-PIlnCES_LL_MH)/SElnCES_MH)*CU20,"")</f>
        <v>-9.732835727178573E-3</v>
      </c>
      <c r="CV24" s="3" t="str">
        <f>IF(Model_effect_size_measure="Peto Odds Ratio",CV19+((lnCES_PetoOddsRatio-PIlnCES_LL_Peto)/SElnCES_Peto)*CV20,"")</f>
        <v/>
      </c>
      <c r="CX24" s="137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276</v>
      </c>
      <c r="EY24" s="3" t="e">
        <f>EY9</f>
        <v>#DIV/0!</v>
      </c>
      <c r="FA24" s="137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7"/>
      <c r="FS24" s="131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1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1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1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1"/>
      <c r="IB24" s="121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1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1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1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7"/>
      <c r="I25" s="131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1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1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1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7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7"/>
      <c r="BE25" s="131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1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1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1"/>
      <c r="CQ25" s="52" t="str">
        <f t="shared" si="52"/>
        <v/>
      </c>
      <c r="CX25" s="137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293</v>
      </c>
      <c r="EY25" s="6">
        <f>IF(Subgroup_valid_options="Yes",MAX(DP:DP)+1,"")</f>
        <v>24</v>
      </c>
      <c r="FA25" s="137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7"/>
      <c r="FS25" s="131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1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1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1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1"/>
      <c r="IB25" s="121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1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1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1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7"/>
      <c r="I26" s="131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1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1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1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7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7"/>
      <c r="BE26" s="131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1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1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1"/>
      <c r="CQ26" s="52" t="str">
        <f t="shared" si="52"/>
        <v/>
      </c>
      <c r="CX26" s="137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340</v>
      </c>
      <c r="EY26" s="6">
        <f>IF(Subgroup_valid_options="Yes",MAX(DR:DR)+1,"")</f>
        <v>7</v>
      </c>
      <c r="FA26" s="137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7"/>
      <c r="FS26" s="131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1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1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1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1"/>
      <c r="IB26" s="121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1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1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1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7"/>
      <c r="I27" s="131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1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1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1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7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7"/>
      <c r="BE27" s="131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1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1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1"/>
      <c r="CQ27" s="52" t="str">
        <f t="shared" si="52"/>
        <v/>
      </c>
      <c r="CX27" s="137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298</v>
      </c>
      <c r="EY27" s="3" t="e">
        <f>IF(Subgroup_valid_options="Yes",EY9-EY11,"")</f>
        <v>#DIV/0!</v>
      </c>
      <c r="FA27" s="137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7"/>
      <c r="FS27" s="131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1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1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1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1"/>
      <c r="IB27" s="121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1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1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1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7"/>
      <c r="I28" s="131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1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1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1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7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7"/>
      <c r="BE28" s="131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1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1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1"/>
      <c r="CQ28" s="52" t="str">
        <f t="shared" si="52"/>
        <v/>
      </c>
      <c r="CX28" s="137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301</v>
      </c>
      <c r="EY28" s="3" t="e">
        <f>IF(Subgroup_valid_options="Yes",EY12-EY9,"")</f>
        <v>#DIV/0!</v>
      </c>
      <c r="FA28" s="137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7"/>
      <c r="FS28" s="131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1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1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1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1"/>
      <c r="IB28" s="121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1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1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1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7"/>
      <c r="I29" s="131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1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1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1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7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7"/>
      <c r="BE29" s="131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1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1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1"/>
      <c r="CQ29" s="52" t="str">
        <f t="shared" si="52"/>
        <v/>
      </c>
      <c r="CX29" s="137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306</v>
      </c>
      <c r="EY29" s="3" t="e">
        <f>IF(Subgroup_valid_options="Yes",EY9-EY13,"")</f>
        <v>#DIV/0!</v>
      </c>
      <c r="FA29" s="137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7"/>
      <c r="FS29" s="131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1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1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1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1"/>
      <c r="IB29" s="121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1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1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1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7"/>
      <c r="I30" s="131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1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1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1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7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7"/>
      <c r="BE30" s="131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1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1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1"/>
      <c r="CQ30" s="52" t="str">
        <f t="shared" si="52"/>
        <v/>
      </c>
      <c r="CX30" s="137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311</v>
      </c>
      <c r="EY30" s="3" t="e">
        <f>IF(Subgroup_valid_options="Yes",EY14-EY9,"")</f>
        <v>#DIV/0!</v>
      </c>
      <c r="FA30" s="137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7"/>
      <c r="FS30" s="131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1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1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1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1"/>
      <c r="IB30" s="121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1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1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1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7"/>
      <c r="I31" s="131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1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1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1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7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7"/>
      <c r="BE31" s="131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1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1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1"/>
      <c r="CQ31" s="52" t="str">
        <f t="shared" si="52"/>
        <v/>
      </c>
      <c r="CX31" s="137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341</v>
      </c>
      <c r="EY31" s="3" t="e">
        <f>IF(Subgroup_valid_options="Yes",MAX(ER:ER),"")</f>
        <v>#DIV/0!</v>
      </c>
      <c r="FA31" s="137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7"/>
      <c r="FS31" s="131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1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1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1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1"/>
      <c r="IB31" s="121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1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1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1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7"/>
      <c r="I32" s="131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1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1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1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7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7"/>
      <c r="BE32" s="131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1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1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1"/>
      <c r="CQ32" s="52" t="str">
        <f t="shared" si="52"/>
        <v/>
      </c>
      <c r="CX32" s="137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7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7"/>
      <c r="FS32" s="131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1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1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1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1"/>
      <c r="IB32" s="121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1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1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1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7"/>
      <c r="I33" s="131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1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1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1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7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7"/>
      <c r="BE33" s="131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1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1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1"/>
      <c r="CQ33" s="52" t="str">
        <f t="shared" si="52"/>
        <v/>
      </c>
      <c r="CX33" s="137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9" t="s">
        <v>342</v>
      </c>
      <c r="EY33" s="119"/>
      <c r="FA33" s="137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7"/>
      <c r="FS33" s="131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1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1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1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1"/>
      <c r="IB33" s="121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1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1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1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7"/>
      <c r="I34" s="131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1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1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1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7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7"/>
      <c r="BE34" s="131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1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1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1"/>
      <c r="CQ34" s="52" t="str">
        <f t="shared" ref="CQ34:CQ97" si="175">IF(AND(Sufficient_data="Yes",Include_study?="Yes"),c_/(c_+d_),"")</f>
        <v/>
      </c>
      <c r="CX34" s="137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343</v>
      </c>
      <c r="EY34" s="3" t="e">
        <f>IF(Subgroup_valid_options="Yes",SUMPRODUCT(ES:ES,DZ:DZ,DZ:DZ)-SUMPRODUCT(ES:ES,DZ:DZ)^2/SUM(ES:ES),"")</f>
        <v>#DIV/0!</v>
      </c>
      <c r="FA34" s="137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7"/>
      <c r="FS34" s="131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1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1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1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1"/>
      <c r="IB34" s="121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1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1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1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7"/>
      <c r="I35" s="131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1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1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1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7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7"/>
      <c r="BE35" s="131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1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1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1"/>
      <c r="CQ35" s="52" t="str">
        <f t="shared" si="175"/>
        <v/>
      </c>
      <c r="CX35" s="137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160</v>
      </c>
      <c r="EY35" s="3" t="e">
        <f>IF(Subgroup_valid_options="Yes",MAX(0,(EY34-(COUNT(DT:DT)-1))/(SUM(ES:ES)-(SUMPRODUCT(ES:ES,ES:ES)/SUM(ES:ES)))),"")</f>
        <v>#DIV/0!</v>
      </c>
      <c r="FA35" s="137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7"/>
      <c r="FS35" s="131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1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1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1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1"/>
      <c r="IB35" s="121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1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1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1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7"/>
      <c r="I36" s="131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1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1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1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7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7"/>
      <c r="BE36" s="131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1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1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1"/>
      <c r="CQ36" s="52" t="str">
        <f t="shared" si="175"/>
        <v/>
      </c>
      <c r="CX36" s="137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7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7"/>
      <c r="FS36" s="131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1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1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1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1"/>
      <c r="IB36" s="121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1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1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1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7"/>
      <c r="I37" s="131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1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1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1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7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7"/>
      <c r="BE37" s="131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1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1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1"/>
      <c r="CQ37" s="52" t="str">
        <f t="shared" si="175"/>
        <v/>
      </c>
      <c r="CX37" s="137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9" t="s">
        <v>344</v>
      </c>
      <c r="EY37" s="119"/>
      <c r="FA37" s="137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7"/>
      <c r="FS37" s="131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1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1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1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1"/>
      <c r="IB37" s="121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1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1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1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7"/>
      <c r="I38" s="131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1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1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1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7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7"/>
      <c r="BE38" s="131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1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1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1"/>
      <c r="CQ38" s="52" t="str">
        <f t="shared" si="175"/>
        <v/>
      </c>
      <c r="CX38" s="137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106</v>
      </c>
      <c r="EY38" s="3"/>
      <c r="FA38" s="137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7"/>
      <c r="FS38" s="131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1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1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1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1"/>
      <c r="IB38" s="121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1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1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1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7"/>
      <c r="I39" s="131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1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1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1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7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7"/>
      <c r="BE39" s="131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1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1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1"/>
      <c r="CQ39" s="52" t="str">
        <f t="shared" si="175"/>
        <v/>
      </c>
      <c r="CX39" s="137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94</v>
      </c>
      <c r="EY39" s="3"/>
      <c r="FA39" s="137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7"/>
      <c r="FS39" s="131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1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1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1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1"/>
      <c r="IB39" s="121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1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1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1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7"/>
      <c r="I40" s="131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1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1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1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7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7"/>
      <c r="BE40" s="131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1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1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1"/>
      <c r="CQ40" s="52" t="str">
        <f t="shared" si="175"/>
        <v/>
      </c>
      <c r="CX40" s="137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7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7"/>
      <c r="FS40" s="131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1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1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1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1"/>
      <c r="IB40" s="121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1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1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1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7"/>
      <c r="I41" s="131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1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1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1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7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7"/>
      <c r="BE41" s="131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1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1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1"/>
      <c r="CQ41" s="52" t="str">
        <f t="shared" si="175"/>
        <v/>
      </c>
      <c r="CX41" s="137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9" t="s">
        <v>345</v>
      </c>
      <c r="EY41" s="119"/>
      <c r="FA41" s="137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7"/>
      <c r="FS41" s="131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1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1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1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1"/>
      <c r="IB41" s="121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1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1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1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7"/>
      <c r="I42" s="131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1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1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1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7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7"/>
      <c r="BE42" s="131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1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1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1"/>
      <c r="CQ42" s="52" t="str">
        <f t="shared" si="175"/>
        <v/>
      </c>
      <c r="CX42" s="137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106</v>
      </c>
      <c r="EY42" s="30"/>
      <c r="FA42" s="137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7"/>
      <c r="FS42" s="131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1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1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1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1"/>
      <c r="IB42" s="121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1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1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1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7"/>
      <c r="I43" s="131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1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1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1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7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7"/>
      <c r="BE43" s="131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1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1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1"/>
      <c r="CQ43" s="52" t="str">
        <f t="shared" si="175"/>
        <v/>
      </c>
      <c r="CX43" s="137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96</v>
      </c>
      <c r="EY43" s="31"/>
      <c r="FA43" s="137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7"/>
      <c r="FS43" s="131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1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1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1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1"/>
      <c r="IB43" s="121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1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1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1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7"/>
      <c r="I44" s="131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1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1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1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7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7"/>
      <c r="BE44" s="131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1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1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1"/>
      <c r="CQ44" s="52" t="str">
        <f t="shared" si="175"/>
        <v/>
      </c>
      <c r="CX44" s="137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346</v>
      </c>
      <c r="EY44" s="31"/>
      <c r="FA44" s="137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7"/>
      <c r="FS44" s="131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1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1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1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1"/>
      <c r="IB44" s="121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1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1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1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7"/>
      <c r="I45" s="131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1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1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1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7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7"/>
      <c r="BE45" s="131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1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1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1"/>
      <c r="CQ45" s="52" t="str">
        <f t="shared" si="175"/>
        <v/>
      </c>
      <c r="CX45" s="137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7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7"/>
      <c r="FS45" s="131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1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1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1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1"/>
      <c r="IB45" s="121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1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1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1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7"/>
      <c r="I46" s="131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1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1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1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7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7"/>
      <c r="BE46" s="131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1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1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1"/>
      <c r="CQ46" s="52" t="str">
        <f t="shared" si="175"/>
        <v/>
      </c>
      <c r="CX46" s="137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7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7"/>
      <c r="FS46" s="131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1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1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1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1"/>
      <c r="IB46" s="121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1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1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1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7"/>
      <c r="I47" s="131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1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1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1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7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7"/>
      <c r="BE47" s="131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1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1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1"/>
      <c r="CQ47" s="52" t="str">
        <f t="shared" si="175"/>
        <v/>
      </c>
      <c r="CX47" s="137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7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7"/>
      <c r="FS47" s="131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1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1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1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1"/>
      <c r="IB47" s="121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1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1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1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7"/>
      <c r="I48" s="131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1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1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1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7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7"/>
      <c r="BE48" s="131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1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1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1"/>
      <c r="CQ48" s="52" t="str">
        <f t="shared" si="175"/>
        <v/>
      </c>
      <c r="CX48" s="137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7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7"/>
      <c r="FS48" s="131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1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1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1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1"/>
      <c r="IB48" s="121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1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1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1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7"/>
      <c r="I49" s="131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1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1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1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7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7"/>
      <c r="BE49" s="131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1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1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1"/>
      <c r="CQ49" s="52" t="str">
        <f t="shared" si="175"/>
        <v/>
      </c>
      <c r="CX49" s="137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7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7"/>
      <c r="FS49" s="131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1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1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1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1"/>
      <c r="IB49" s="121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1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1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1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7"/>
      <c r="I50" s="131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1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1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1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7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7"/>
      <c r="BE50" s="131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1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1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1"/>
      <c r="CQ50" s="52" t="str">
        <f t="shared" si="175"/>
        <v/>
      </c>
      <c r="CX50" s="137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7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7"/>
      <c r="FS50" s="131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1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1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1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1"/>
      <c r="IB50" s="121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1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1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1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7"/>
      <c r="I51" s="131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1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1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1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7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7"/>
      <c r="BE51" s="131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1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1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1"/>
      <c r="CQ51" s="52" t="str">
        <f t="shared" si="175"/>
        <v/>
      </c>
      <c r="CX51" s="137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7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7"/>
      <c r="FS51" s="131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1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1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1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1"/>
      <c r="IB51" s="121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1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1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1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7"/>
      <c r="I52" s="131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1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1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1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7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7"/>
      <c r="BE52" s="131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1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1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1"/>
      <c r="CQ52" s="52" t="str">
        <f t="shared" si="175"/>
        <v/>
      </c>
      <c r="CX52" s="137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7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7"/>
      <c r="FS52" s="131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1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1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1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1"/>
      <c r="IB52" s="121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1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1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1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7"/>
      <c r="I53" s="131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1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1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1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7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7"/>
      <c r="BE53" s="131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1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1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1"/>
      <c r="CQ53" s="52" t="str">
        <f t="shared" si="175"/>
        <v/>
      </c>
      <c r="CX53" s="137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7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7"/>
      <c r="FS53" s="131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1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1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1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1"/>
      <c r="IB53" s="121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1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1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1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7"/>
      <c r="I54" s="131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1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1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1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7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7"/>
      <c r="BE54" s="131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1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1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1"/>
      <c r="CQ54" s="52" t="str">
        <f t="shared" si="175"/>
        <v/>
      </c>
      <c r="CX54" s="137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7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7"/>
      <c r="FS54" s="131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1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1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1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1"/>
      <c r="IB54" s="121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1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1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1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7"/>
      <c r="I55" s="131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1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1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1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7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7"/>
      <c r="BE55" s="131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1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1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1"/>
      <c r="CQ55" s="52" t="str">
        <f t="shared" si="175"/>
        <v/>
      </c>
      <c r="CX55" s="137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7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7"/>
      <c r="FS55" s="131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1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1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1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1"/>
      <c r="IB55" s="121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1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1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1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7"/>
      <c r="I56" s="131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1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1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1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7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7"/>
      <c r="BE56" s="131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1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1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1"/>
      <c r="CQ56" s="52" t="str">
        <f t="shared" si="175"/>
        <v/>
      </c>
      <c r="CX56" s="137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7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7"/>
      <c r="FS56" s="131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1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1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1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1"/>
      <c r="IB56" s="121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1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1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1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7"/>
      <c r="I57" s="131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1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1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1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7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7"/>
      <c r="BE57" s="131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1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1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1"/>
      <c r="CQ57" s="52" t="str">
        <f t="shared" si="175"/>
        <v/>
      </c>
      <c r="CX57" s="137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7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7"/>
      <c r="FS57" s="131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1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1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1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1"/>
      <c r="IB57" s="121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1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1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1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7"/>
      <c r="I58" s="131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1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1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1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7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7"/>
      <c r="BE58" s="131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1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1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1"/>
      <c r="CQ58" s="52" t="str">
        <f t="shared" si="175"/>
        <v/>
      </c>
      <c r="CX58" s="137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7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7"/>
      <c r="FS58" s="131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1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1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1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1"/>
      <c r="IB58" s="121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1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1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1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7"/>
      <c r="I59" s="131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1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1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1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7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7"/>
      <c r="BE59" s="131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1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1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1"/>
      <c r="CQ59" s="52" t="str">
        <f t="shared" si="175"/>
        <v/>
      </c>
      <c r="CX59" s="137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7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7"/>
      <c r="FS59" s="131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1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1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1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1"/>
      <c r="IB59" s="121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1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1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1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7"/>
      <c r="I60" s="131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1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1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1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7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7"/>
      <c r="BE60" s="131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1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1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1"/>
      <c r="CQ60" s="52" t="str">
        <f t="shared" si="175"/>
        <v/>
      </c>
      <c r="CX60" s="137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7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7"/>
      <c r="FS60" s="131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1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1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1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1"/>
      <c r="IB60" s="121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1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1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1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7"/>
      <c r="I61" s="131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1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1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1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7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7"/>
      <c r="BE61" s="131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1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1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1"/>
      <c r="CQ61" s="52" t="str">
        <f t="shared" si="175"/>
        <v/>
      </c>
      <c r="CX61" s="137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7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7"/>
      <c r="FS61" s="131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1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1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1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1"/>
      <c r="IB61" s="121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1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1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1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7"/>
      <c r="I62" s="131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1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1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1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7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7"/>
      <c r="BE62" s="131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1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1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1"/>
      <c r="CQ62" s="52" t="str">
        <f t="shared" si="175"/>
        <v/>
      </c>
      <c r="CX62" s="137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7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7"/>
      <c r="FS62" s="131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1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1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1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1"/>
      <c r="IB62" s="121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1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1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1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7"/>
      <c r="I63" s="131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1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1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1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7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7"/>
      <c r="BE63" s="131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1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1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1"/>
      <c r="CQ63" s="52" t="str">
        <f t="shared" si="175"/>
        <v/>
      </c>
      <c r="CX63" s="137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7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7"/>
      <c r="FS63" s="131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1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1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1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1"/>
      <c r="IB63" s="121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1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1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1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7"/>
      <c r="I64" s="131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1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1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1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7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7"/>
      <c r="BE64" s="131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1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1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1"/>
      <c r="CQ64" s="52" t="str">
        <f t="shared" si="175"/>
        <v/>
      </c>
      <c r="CX64" s="137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7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7"/>
      <c r="FS64" s="131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1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1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1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1"/>
      <c r="IB64" s="121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1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1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1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7"/>
      <c r="I65" s="131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1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1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1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7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7"/>
      <c r="BE65" s="131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1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1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1"/>
      <c r="CQ65" s="52" t="str">
        <f t="shared" si="175"/>
        <v/>
      </c>
      <c r="CX65" s="137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7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7"/>
      <c r="FS65" s="131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1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1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1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1"/>
      <c r="IB65" s="121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1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1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1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7"/>
      <c r="I66" s="131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1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1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1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7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7"/>
      <c r="BE66" s="131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1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1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1"/>
      <c r="CQ66" s="52" t="str">
        <f t="shared" si="175"/>
        <v/>
      </c>
      <c r="CX66" s="137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7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7"/>
      <c r="FS66" s="131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1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1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1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1"/>
      <c r="IB66" s="121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1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1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1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7"/>
      <c r="I67" s="131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1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1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1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7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7"/>
      <c r="BE67" s="131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1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1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1"/>
      <c r="CQ67" s="52" t="str">
        <f t="shared" si="175"/>
        <v/>
      </c>
      <c r="CX67" s="137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7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7"/>
      <c r="FS67" s="131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1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1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1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1"/>
      <c r="IB67" s="121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1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1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1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7"/>
      <c r="I68" s="131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1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1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1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7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7"/>
      <c r="BE68" s="131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1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1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1"/>
      <c r="CQ68" s="52" t="str">
        <f t="shared" si="175"/>
        <v/>
      </c>
      <c r="CX68" s="137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7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7"/>
      <c r="FS68" s="131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1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1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1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1"/>
      <c r="IB68" s="121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1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1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1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7"/>
      <c r="I69" s="131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1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1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1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7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7"/>
      <c r="BE69" s="131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1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1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1"/>
      <c r="CQ69" s="52" t="str">
        <f t="shared" si="175"/>
        <v/>
      </c>
      <c r="CX69" s="137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7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7"/>
      <c r="FS69" s="131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1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1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1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1"/>
      <c r="IB69" s="121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1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1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1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7"/>
      <c r="I70" s="131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1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1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1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7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7"/>
      <c r="BE70" s="131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1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1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1"/>
      <c r="CQ70" s="52" t="str">
        <f t="shared" si="175"/>
        <v/>
      </c>
      <c r="CX70" s="137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7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7"/>
      <c r="FS70" s="131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1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1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1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1"/>
      <c r="IB70" s="121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1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1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1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7"/>
      <c r="I71" s="131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1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1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1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7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7"/>
      <c r="BE71" s="131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1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1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1"/>
      <c r="CQ71" s="52" t="str">
        <f t="shared" si="175"/>
        <v/>
      </c>
      <c r="CX71" s="137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7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7"/>
      <c r="FS71" s="131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1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1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1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1"/>
      <c r="IB71" s="121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1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1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1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7"/>
      <c r="I72" s="131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1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1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1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7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7"/>
      <c r="BE72" s="131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1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1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1"/>
      <c r="CQ72" s="52" t="str">
        <f t="shared" si="175"/>
        <v/>
      </c>
      <c r="CX72" s="137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7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7"/>
      <c r="FS72" s="131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1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1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1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1"/>
      <c r="IB72" s="121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1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1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1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7"/>
      <c r="I73" s="131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1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1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1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7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7"/>
      <c r="BE73" s="131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1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1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1"/>
      <c r="CQ73" s="52" t="str">
        <f t="shared" si="175"/>
        <v/>
      </c>
      <c r="CX73" s="137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7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7"/>
      <c r="FS73" s="131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1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1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1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1"/>
      <c r="IB73" s="121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1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1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1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7"/>
      <c r="I74" s="131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1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1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1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7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7"/>
      <c r="BE74" s="131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1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1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1"/>
      <c r="CQ74" s="52" t="str">
        <f t="shared" si="175"/>
        <v/>
      </c>
      <c r="CX74" s="137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7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7"/>
      <c r="FS74" s="131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1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1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1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1"/>
      <c r="IB74" s="121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1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1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1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7"/>
      <c r="I75" s="131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1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1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1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7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7"/>
      <c r="BE75" s="131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1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1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1"/>
      <c r="CQ75" s="52" t="str">
        <f t="shared" si="175"/>
        <v/>
      </c>
      <c r="CX75" s="137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7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7"/>
      <c r="FS75" s="131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1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1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1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1"/>
      <c r="IB75" s="121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1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1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1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7"/>
      <c r="I76" s="131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1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1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1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7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7"/>
      <c r="BE76" s="131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1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1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1"/>
      <c r="CQ76" s="52" t="str">
        <f t="shared" si="175"/>
        <v/>
      </c>
      <c r="CX76" s="137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7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7"/>
      <c r="FS76" s="131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1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1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1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1"/>
      <c r="IB76" s="121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1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1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1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7"/>
      <c r="I77" s="131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1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1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1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7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7"/>
      <c r="BE77" s="131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1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1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1"/>
      <c r="CQ77" s="52" t="str">
        <f t="shared" si="175"/>
        <v/>
      </c>
      <c r="CX77" s="137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7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7"/>
      <c r="FS77" s="131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1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1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1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1"/>
      <c r="IB77" s="121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1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1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1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7"/>
      <c r="I78" s="131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1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1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1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7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7"/>
      <c r="BE78" s="131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1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1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1"/>
      <c r="CQ78" s="52" t="str">
        <f t="shared" si="175"/>
        <v/>
      </c>
      <c r="CX78" s="137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7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7"/>
      <c r="FS78" s="131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1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1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1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1"/>
      <c r="IB78" s="121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1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1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1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7"/>
      <c r="I79" s="131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1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1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1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7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7"/>
      <c r="BE79" s="131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1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1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1"/>
      <c r="CQ79" s="52" t="str">
        <f t="shared" si="175"/>
        <v/>
      </c>
      <c r="CX79" s="137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7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7"/>
      <c r="FS79" s="131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1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1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1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1"/>
      <c r="IB79" s="121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1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1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1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7"/>
      <c r="I80" s="131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1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1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1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7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7"/>
      <c r="BE80" s="131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1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1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1"/>
      <c r="CQ80" s="52" t="str">
        <f t="shared" si="175"/>
        <v/>
      </c>
      <c r="CX80" s="137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7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7"/>
      <c r="FS80" s="131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1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1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1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1"/>
      <c r="IB80" s="121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1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1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1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7"/>
      <c r="I81" s="131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1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1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1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7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7"/>
      <c r="BE81" s="131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1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1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1"/>
      <c r="CQ81" s="52" t="str">
        <f t="shared" si="175"/>
        <v/>
      </c>
      <c r="CX81" s="137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7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7"/>
      <c r="FS81" s="131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1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1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1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1"/>
      <c r="IB81" s="121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1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1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1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7"/>
      <c r="I82" s="131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1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1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1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7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7"/>
      <c r="BE82" s="131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1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1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1"/>
      <c r="CQ82" s="52" t="str">
        <f t="shared" si="175"/>
        <v/>
      </c>
      <c r="CX82" s="137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7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7"/>
      <c r="FS82" s="131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1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1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1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1"/>
      <c r="IB82" s="121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1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1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1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7"/>
      <c r="I83" s="131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1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1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1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7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7"/>
      <c r="BE83" s="131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1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1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1"/>
      <c r="CQ83" s="52" t="str">
        <f t="shared" si="175"/>
        <v/>
      </c>
      <c r="CX83" s="137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7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7"/>
      <c r="FS83" s="131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1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1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1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1"/>
      <c r="IB83" s="121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1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1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1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7"/>
      <c r="I84" s="131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1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1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1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7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7"/>
      <c r="BE84" s="131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1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1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1"/>
      <c r="CQ84" s="52" t="str">
        <f t="shared" si="175"/>
        <v/>
      </c>
      <c r="CX84" s="137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7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7"/>
      <c r="FS84" s="131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1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1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1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1"/>
      <c r="IB84" s="121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1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1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1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7"/>
      <c r="I85" s="131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1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1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1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7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7"/>
      <c r="BE85" s="131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1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1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1"/>
      <c r="CQ85" s="52" t="str">
        <f t="shared" si="175"/>
        <v/>
      </c>
      <c r="CX85" s="137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7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7"/>
      <c r="FS85" s="131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1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1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1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1"/>
      <c r="IB85" s="121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1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1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1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7"/>
      <c r="I86" s="131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1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1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1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7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7"/>
      <c r="BE86" s="131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1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1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1"/>
      <c r="CQ86" s="52" t="str">
        <f t="shared" si="175"/>
        <v/>
      </c>
      <c r="CX86" s="137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7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7"/>
      <c r="FS86" s="131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1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1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1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1"/>
      <c r="IB86" s="121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1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1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1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7"/>
      <c r="I87" s="131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1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1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1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7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7"/>
      <c r="BE87" s="131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1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1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1"/>
      <c r="CQ87" s="52" t="str">
        <f t="shared" si="175"/>
        <v/>
      </c>
      <c r="CX87" s="137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7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7"/>
      <c r="FS87" s="131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1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1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1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1"/>
      <c r="IB87" s="121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1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1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1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7"/>
      <c r="I88" s="131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1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1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1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7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7"/>
      <c r="BE88" s="131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1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1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1"/>
      <c r="CQ88" s="52" t="str">
        <f t="shared" si="175"/>
        <v/>
      </c>
      <c r="CX88" s="137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7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7"/>
      <c r="FS88" s="131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1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1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1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1"/>
      <c r="IB88" s="121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1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1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1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7"/>
      <c r="I89" s="131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1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1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1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7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7"/>
      <c r="BE89" s="131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1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1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1"/>
      <c r="CQ89" s="52" t="str">
        <f t="shared" si="175"/>
        <v/>
      </c>
      <c r="CX89" s="137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7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7"/>
      <c r="FS89" s="131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1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1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1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1"/>
      <c r="IB89" s="121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1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1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1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7"/>
      <c r="I90" s="131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1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1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1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7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7"/>
      <c r="BE90" s="131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1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1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1"/>
      <c r="CQ90" s="52" t="str">
        <f t="shared" si="175"/>
        <v/>
      </c>
      <c r="CX90" s="137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7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7"/>
      <c r="FS90" s="131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1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1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1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1"/>
      <c r="IB90" s="121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1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1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1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7"/>
      <c r="I91" s="131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1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1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1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7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7"/>
      <c r="BE91" s="131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1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1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1"/>
      <c r="CQ91" s="52" t="str">
        <f t="shared" si="175"/>
        <v/>
      </c>
      <c r="CX91" s="137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7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7"/>
      <c r="FS91" s="131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1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1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1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1"/>
      <c r="IB91" s="121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1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1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1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7"/>
      <c r="I92" s="131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1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1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1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7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7"/>
      <c r="BE92" s="131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1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1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1"/>
      <c r="CQ92" s="52" t="str">
        <f t="shared" si="175"/>
        <v/>
      </c>
      <c r="CX92" s="137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7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7"/>
      <c r="FS92" s="131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1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1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1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1"/>
      <c r="IB92" s="121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1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1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1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7"/>
      <c r="I93" s="131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1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1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1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7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7"/>
      <c r="BE93" s="131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1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1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1"/>
      <c r="CQ93" s="52" t="str">
        <f t="shared" si="175"/>
        <v/>
      </c>
      <c r="CX93" s="137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7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7"/>
      <c r="FS93" s="131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1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1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1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1"/>
      <c r="IB93" s="121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1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1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1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7"/>
      <c r="I94" s="131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1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1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1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7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7"/>
      <c r="BE94" s="131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1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1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1"/>
      <c r="CQ94" s="52" t="str">
        <f t="shared" si="175"/>
        <v/>
      </c>
      <c r="CX94" s="137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7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7"/>
      <c r="FS94" s="131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1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1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1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1"/>
      <c r="IB94" s="121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1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1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1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7"/>
      <c r="I95" s="131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1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1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1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7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7"/>
      <c r="BE95" s="131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1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1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1"/>
      <c r="CQ95" s="52" t="str">
        <f t="shared" si="175"/>
        <v/>
      </c>
      <c r="CX95" s="137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7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7"/>
      <c r="FS95" s="131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1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1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1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1"/>
      <c r="IB95" s="121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1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1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1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7"/>
      <c r="I96" s="131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1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1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1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7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7"/>
      <c r="BE96" s="131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1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1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1"/>
      <c r="CQ96" s="52" t="str">
        <f t="shared" si="175"/>
        <v/>
      </c>
      <c r="CX96" s="137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7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7"/>
      <c r="FS96" s="131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1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1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1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1"/>
      <c r="IB96" s="121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1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1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1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7"/>
      <c r="I97" s="131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1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1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1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7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7"/>
      <c r="BE97" s="131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1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1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1"/>
      <c r="CQ97" s="52" t="str">
        <f t="shared" si="175"/>
        <v/>
      </c>
      <c r="CX97" s="137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7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7"/>
      <c r="FS97" s="131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1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1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1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1"/>
      <c r="IB97" s="121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1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1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1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7"/>
      <c r="I98" s="131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1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1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1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7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7"/>
      <c r="BE98" s="131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1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1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1"/>
      <c r="CQ98" s="52" t="str">
        <f t="shared" ref="CQ98:CQ161" si="383">IF(AND(Sufficient_data="Yes",Include_study?="Yes"),c_/(c_+d_),"")</f>
        <v/>
      </c>
      <c r="CX98" s="137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7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7"/>
      <c r="FS98" s="131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1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1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1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1"/>
      <c r="IB98" s="121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1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1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1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7"/>
      <c r="I99" s="131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1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1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1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7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7"/>
      <c r="BE99" s="131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1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1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1"/>
      <c r="CQ99" s="52" t="str">
        <f t="shared" si="383"/>
        <v/>
      </c>
      <c r="CX99" s="137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7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7"/>
      <c r="FS99" s="131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1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1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1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1"/>
      <c r="IB99" s="121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1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1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1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7"/>
      <c r="I100" s="131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1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1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1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7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7"/>
      <c r="BE100" s="131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1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1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1"/>
      <c r="CQ100" s="52" t="str">
        <f t="shared" si="383"/>
        <v/>
      </c>
      <c r="CX100" s="137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7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7"/>
      <c r="FS100" s="131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1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1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1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1"/>
      <c r="IB100" s="121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1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1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1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7"/>
      <c r="I101" s="131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1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1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1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7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7"/>
      <c r="BE101" s="131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1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1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1"/>
      <c r="CQ101" s="52" t="str">
        <f t="shared" si="383"/>
        <v/>
      </c>
      <c r="CX101" s="137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7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7"/>
      <c r="FS101" s="131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1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1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1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1"/>
      <c r="IB101" s="121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1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1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1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7"/>
      <c r="I102" s="131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1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1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1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7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7"/>
      <c r="BE102" s="131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1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1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1"/>
      <c r="CQ102" s="52" t="str">
        <f t="shared" si="383"/>
        <v/>
      </c>
      <c r="CX102" s="137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7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7"/>
      <c r="FS102" s="131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1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1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1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1"/>
      <c r="IB102" s="121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1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1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1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7"/>
      <c r="I103" s="131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1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1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1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7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7"/>
      <c r="BE103" s="131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1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1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1"/>
      <c r="CQ103" s="52" t="str">
        <f t="shared" si="383"/>
        <v/>
      </c>
      <c r="CX103" s="137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7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7"/>
      <c r="FS103" s="131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1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1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1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1"/>
      <c r="IB103" s="121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1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1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1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7"/>
      <c r="I104" s="131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1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1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1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7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7"/>
      <c r="BE104" s="131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1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1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1"/>
      <c r="CQ104" s="52" t="str">
        <f t="shared" si="383"/>
        <v/>
      </c>
      <c r="CX104" s="137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7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7"/>
      <c r="FS104" s="131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1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1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1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1"/>
      <c r="IB104" s="121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1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1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1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7"/>
      <c r="I105" s="131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1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1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1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7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7"/>
      <c r="BE105" s="131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1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1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1"/>
      <c r="CQ105" s="52" t="str">
        <f t="shared" si="383"/>
        <v/>
      </c>
      <c r="CX105" s="137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7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7"/>
      <c r="FS105" s="131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1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1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1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1"/>
      <c r="IB105" s="121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1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1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1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7"/>
      <c r="I106" s="131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1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1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1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7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7"/>
      <c r="BE106" s="131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1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1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1"/>
      <c r="CQ106" s="52" t="str">
        <f t="shared" si="383"/>
        <v/>
      </c>
      <c r="CX106" s="137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7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7"/>
      <c r="FS106" s="131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1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1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1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1"/>
      <c r="IB106" s="121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1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1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1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7"/>
      <c r="I107" s="131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1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1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1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7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7"/>
      <c r="BE107" s="131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1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1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1"/>
      <c r="CQ107" s="52" t="str">
        <f t="shared" si="383"/>
        <v/>
      </c>
      <c r="CX107" s="137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7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7"/>
      <c r="FS107" s="131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1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1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1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1"/>
      <c r="IB107" s="121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1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1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1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7"/>
      <c r="I108" s="131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1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1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1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7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7"/>
      <c r="BE108" s="131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1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1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1"/>
      <c r="CQ108" s="52" t="str">
        <f t="shared" si="383"/>
        <v/>
      </c>
      <c r="CX108" s="137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7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7"/>
      <c r="FS108" s="131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1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1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1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1"/>
      <c r="IB108" s="121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1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1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1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7"/>
      <c r="I109" s="131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1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1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1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7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7"/>
      <c r="BE109" s="131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1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1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1"/>
      <c r="CQ109" s="52" t="str">
        <f t="shared" si="383"/>
        <v/>
      </c>
      <c r="CX109" s="137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7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7"/>
      <c r="FS109" s="131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1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1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1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1"/>
      <c r="IB109" s="121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1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1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1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7"/>
      <c r="I110" s="131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1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1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1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7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7"/>
      <c r="BE110" s="131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1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1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1"/>
      <c r="CQ110" s="52" t="str">
        <f t="shared" si="383"/>
        <v/>
      </c>
      <c r="CX110" s="137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7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7"/>
      <c r="FS110" s="131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1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1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1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1"/>
      <c r="IB110" s="121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1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1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1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7"/>
      <c r="I111" s="131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1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1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1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7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7"/>
      <c r="BE111" s="131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1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1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1"/>
      <c r="CQ111" s="52" t="str">
        <f t="shared" si="383"/>
        <v/>
      </c>
      <c r="CX111" s="137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7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7"/>
      <c r="FS111" s="131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1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1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1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1"/>
      <c r="IB111" s="121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1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1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1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7"/>
      <c r="I112" s="131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1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1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1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7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7"/>
      <c r="BE112" s="131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1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1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1"/>
      <c r="CQ112" s="52" t="str">
        <f t="shared" si="383"/>
        <v/>
      </c>
      <c r="CX112" s="137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7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7"/>
      <c r="FS112" s="131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1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1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1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1"/>
      <c r="IB112" s="121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1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1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1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7"/>
      <c r="I113" s="131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1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1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1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7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7"/>
      <c r="BE113" s="131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1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1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1"/>
      <c r="CQ113" s="52" t="str">
        <f t="shared" si="383"/>
        <v/>
      </c>
      <c r="CX113" s="137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7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7"/>
      <c r="FS113" s="131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1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1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1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1"/>
      <c r="IB113" s="121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1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1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1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7"/>
      <c r="I114" s="131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1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1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1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7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7"/>
      <c r="BE114" s="131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1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1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1"/>
      <c r="CQ114" s="52" t="str">
        <f t="shared" si="383"/>
        <v/>
      </c>
      <c r="CX114" s="137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7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7"/>
      <c r="FS114" s="131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1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1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1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1"/>
      <c r="IB114" s="121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1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1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1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7"/>
      <c r="I115" s="131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1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1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1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7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7"/>
      <c r="BE115" s="131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1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1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1"/>
      <c r="CQ115" s="52" t="str">
        <f t="shared" si="383"/>
        <v/>
      </c>
      <c r="CX115" s="137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7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7"/>
      <c r="FS115" s="131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1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1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1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1"/>
      <c r="IB115" s="121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1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1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1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7"/>
      <c r="I116" s="131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1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1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1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7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7"/>
      <c r="BE116" s="131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1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1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1"/>
      <c r="CQ116" s="52" t="str">
        <f t="shared" si="383"/>
        <v/>
      </c>
      <c r="CX116" s="137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7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7"/>
      <c r="FS116" s="131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1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1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1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1"/>
      <c r="IB116" s="121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1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1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1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7"/>
      <c r="I117" s="131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1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1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1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7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7"/>
      <c r="BE117" s="131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1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1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1"/>
      <c r="CQ117" s="52" t="str">
        <f t="shared" si="383"/>
        <v/>
      </c>
      <c r="CX117" s="137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7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7"/>
      <c r="FS117" s="131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1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1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1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1"/>
      <c r="IB117" s="121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1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1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1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7"/>
      <c r="I118" s="131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1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1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1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7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7"/>
      <c r="BE118" s="131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1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1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1"/>
      <c r="CQ118" s="52" t="str">
        <f t="shared" si="383"/>
        <v/>
      </c>
      <c r="CX118" s="137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7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7"/>
      <c r="FS118" s="131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1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1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1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1"/>
      <c r="IB118" s="121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1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1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1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7"/>
      <c r="I119" s="131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1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1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1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7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7"/>
      <c r="BE119" s="131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1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1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1"/>
      <c r="CQ119" s="52" t="str">
        <f t="shared" si="383"/>
        <v/>
      </c>
      <c r="CX119" s="137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7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7"/>
      <c r="FS119" s="131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1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1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1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1"/>
      <c r="IB119" s="121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1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1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1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7"/>
      <c r="I120" s="131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1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1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1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7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7"/>
      <c r="BE120" s="131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1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1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1"/>
      <c r="CQ120" s="52" t="str">
        <f t="shared" si="383"/>
        <v/>
      </c>
      <c r="CX120" s="137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7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7"/>
      <c r="FS120" s="131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1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1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1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1"/>
      <c r="IB120" s="121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1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1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1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7"/>
      <c r="I121" s="131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1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1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1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7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7"/>
      <c r="BE121" s="131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1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1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1"/>
      <c r="CQ121" s="52" t="str">
        <f t="shared" si="383"/>
        <v/>
      </c>
      <c r="CX121" s="137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7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7"/>
      <c r="FS121" s="131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1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1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1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1"/>
      <c r="IB121" s="121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1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1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1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7"/>
      <c r="I122" s="131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1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1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1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7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7"/>
      <c r="BE122" s="131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1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1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1"/>
      <c r="CQ122" s="52" t="str">
        <f t="shared" si="383"/>
        <v/>
      </c>
      <c r="CX122" s="137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7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7"/>
      <c r="FS122" s="131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1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1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1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1"/>
      <c r="IB122" s="121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1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1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1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7"/>
      <c r="I123" s="131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1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1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1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7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7"/>
      <c r="BE123" s="131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1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1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1"/>
      <c r="CQ123" s="52" t="str">
        <f t="shared" si="383"/>
        <v/>
      </c>
      <c r="CX123" s="137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7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7"/>
      <c r="FS123" s="131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1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1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1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1"/>
      <c r="IB123" s="121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1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1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1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7"/>
      <c r="I124" s="131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1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1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1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7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7"/>
      <c r="BE124" s="131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1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1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1"/>
      <c r="CQ124" s="52" t="str">
        <f t="shared" si="383"/>
        <v/>
      </c>
      <c r="CX124" s="137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7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7"/>
      <c r="FS124" s="131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1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1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1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1"/>
      <c r="IB124" s="121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1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1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1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7"/>
      <c r="I125" s="131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1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1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1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7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7"/>
      <c r="BE125" s="131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1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1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1"/>
      <c r="CQ125" s="52" t="str">
        <f t="shared" si="383"/>
        <v/>
      </c>
      <c r="CX125" s="137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7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7"/>
      <c r="FS125" s="131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1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1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1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1"/>
      <c r="IB125" s="121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1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1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1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7"/>
      <c r="I126" s="131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1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1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1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7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7"/>
      <c r="BE126" s="131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1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1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1"/>
      <c r="CQ126" s="52" t="str">
        <f t="shared" si="383"/>
        <v/>
      </c>
      <c r="CX126" s="137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7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7"/>
      <c r="FS126" s="131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1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1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1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1"/>
      <c r="IB126" s="121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1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1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1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7"/>
      <c r="I127" s="131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1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1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1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7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7"/>
      <c r="BE127" s="131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1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1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1"/>
      <c r="CQ127" s="52" t="str">
        <f t="shared" si="383"/>
        <v/>
      </c>
      <c r="CX127" s="137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7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7"/>
      <c r="FS127" s="131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1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1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1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1"/>
      <c r="IB127" s="121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1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1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1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7"/>
      <c r="I128" s="131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1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1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1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7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7"/>
      <c r="BE128" s="131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1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1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1"/>
      <c r="CQ128" s="52" t="str">
        <f t="shared" si="383"/>
        <v/>
      </c>
      <c r="CX128" s="137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7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7"/>
      <c r="FS128" s="131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1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1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1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1"/>
      <c r="IB128" s="121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1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1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1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7"/>
      <c r="I129" s="131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1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1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1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7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7"/>
      <c r="BE129" s="131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1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1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1"/>
      <c r="CQ129" s="52" t="str">
        <f t="shared" si="383"/>
        <v/>
      </c>
      <c r="CX129" s="137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7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7"/>
      <c r="FS129" s="131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1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1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1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1"/>
      <c r="IB129" s="121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1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1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1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7"/>
      <c r="I130" s="131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1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1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1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7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7"/>
      <c r="BE130" s="131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1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1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1"/>
      <c r="CQ130" s="52" t="str">
        <f t="shared" si="383"/>
        <v/>
      </c>
      <c r="CX130" s="137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7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7"/>
      <c r="FS130" s="131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1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1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1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1"/>
      <c r="IB130" s="121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1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1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1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7"/>
      <c r="I131" s="131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1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1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1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7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7"/>
      <c r="BE131" s="131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1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1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1"/>
      <c r="CQ131" s="52" t="str">
        <f t="shared" si="383"/>
        <v/>
      </c>
      <c r="CX131" s="137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7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7"/>
      <c r="FS131" s="131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1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1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1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1"/>
      <c r="IB131" s="121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1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1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1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7"/>
      <c r="I132" s="131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1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1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1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7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7"/>
      <c r="BE132" s="131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1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1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1"/>
      <c r="CQ132" s="52" t="str">
        <f t="shared" si="383"/>
        <v/>
      </c>
      <c r="CX132" s="137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7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7"/>
      <c r="FS132" s="131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1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1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1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1"/>
      <c r="IB132" s="121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1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1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1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7"/>
      <c r="I133" s="131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1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1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1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7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7"/>
      <c r="BE133" s="131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1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1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1"/>
      <c r="CQ133" s="52" t="str">
        <f t="shared" si="383"/>
        <v/>
      </c>
      <c r="CX133" s="137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7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7"/>
      <c r="FS133" s="131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1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1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1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1"/>
      <c r="IB133" s="121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1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1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1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7"/>
      <c r="I134" s="131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1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1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1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7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7"/>
      <c r="BE134" s="131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1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1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1"/>
      <c r="CQ134" s="52" t="str">
        <f t="shared" si="383"/>
        <v/>
      </c>
      <c r="CX134" s="137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7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7"/>
      <c r="FS134" s="131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1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1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1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1"/>
      <c r="IB134" s="121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1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1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1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7"/>
      <c r="I135" s="131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1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1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1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7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7"/>
      <c r="BE135" s="131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1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1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1"/>
      <c r="CQ135" s="52" t="str">
        <f t="shared" si="383"/>
        <v/>
      </c>
      <c r="CX135" s="137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7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7"/>
      <c r="FS135" s="131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1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1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1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1"/>
      <c r="IB135" s="121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1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1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1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7"/>
      <c r="I136" s="131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1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1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1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7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7"/>
      <c r="BE136" s="131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1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1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1"/>
      <c r="CQ136" s="52" t="str">
        <f t="shared" si="383"/>
        <v/>
      </c>
      <c r="CX136" s="137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7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7"/>
      <c r="FS136" s="131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1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1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1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1"/>
      <c r="IB136" s="121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1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1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1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7"/>
      <c r="I137" s="131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1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1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1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7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7"/>
      <c r="BE137" s="131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1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1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1"/>
      <c r="CQ137" s="52" t="str">
        <f t="shared" si="383"/>
        <v/>
      </c>
      <c r="CX137" s="137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7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7"/>
      <c r="FS137" s="131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1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1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1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1"/>
      <c r="IB137" s="121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1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1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1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7"/>
      <c r="I138" s="131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1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1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1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7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7"/>
      <c r="BE138" s="131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1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1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1"/>
      <c r="CQ138" s="52" t="str">
        <f t="shared" si="383"/>
        <v/>
      </c>
      <c r="CX138" s="137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7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7"/>
      <c r="FS138" s="131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1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1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1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1"/>
      <c r="IB138" s="121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1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1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1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7"/>
      <c r="I139" s="131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1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1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1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7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7"/>
      <c r="BE139" s="131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1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1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1"/>
      <c r="CQ139" s="52" t="str">
        <f t="shared" si="383"/>
        <v/>
      </c>
      <c r="CX139" s="137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7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7"/>
      <c r="FS139" s="131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1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1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1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1"/>
      <c r="IB139" s="121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1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1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1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7"/>
      <c r="I140" s="131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1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1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1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7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7"/>
      <c r="BE140" s="131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1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1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1"/>
      <c r="CQ140" s="52" t="str">
        <f t="shared" si="383"/>
        <v/>
      </c>
      <c r="CX140" s="137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7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7"/>
      <c r="FS140" s="131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1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1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1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1"/>
      <c r="IB140" s="121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1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1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1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7"/>
      <c r="I141" s="131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1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1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1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7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7"/>
      <c r="BE141" s="131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1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1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1"/>
      <c r="CQ141" s="52" t="str">
        <f t="shared" si="383"/>
        <v/>
      </c>
      <c r="CX141" s="137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7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7"/>
      <c r="FS141" s="131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1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1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1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1"/>
      <c r="IB141" s="121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1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1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1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7"/>
      <c r="I142" s="131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1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1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1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7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7"/>
      <c r="BE142" s="131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1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1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1"/>
      <c r="CQ142" s="52" t="str">
        <f t="shared" si="383"/>
        <v/>
      </c>
      <c r="CX142" s="137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7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7"/>
      <c r="FS142" s="131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1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1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1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1"/>
      <c r="IB142" s="121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1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1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1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7"/>
      <c r="I143" s="131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1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1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1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7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7"/>
      <c r="BE143" s="131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1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1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1"/>
      <c r="CQ143" s="52" t="str">
        <f t="shared" si="383"/>
        <v/>
      </c>
      <c r="CX143" s="137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7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7"/>
      <c r="FS143" s="131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1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1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1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1"/>
      <c r="IB143" s="121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1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1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1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7"/>
      <c r="I144" s="131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1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1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1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7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7"/>
      <c r="BE144" s="131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1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1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1"/>
      <c r="CQ144" s="52" t="str">
        <f t="shared" si="383"/>
        <v/>
      </c>
      <c r="CX144" s="137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7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7"/>
      <c r="FS144" s="131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1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1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1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1"/>
      <c r="IB144" s="121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1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1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1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7"/>
      <c r="I145" s="131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1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1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1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7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7"/>
      <c r="BE145" s="131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1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1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1"/>
      <c r="CQ145" s="52" t="str">
        <f t="shared" si="383"/>
        <v/>
      </c>
      <c r="CX145" s="137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7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7"/>
      <c r="FS145" s="131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1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1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1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1"/>
      <c r="IB145" s="121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1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1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1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7"/>
      <c r="I146" s="131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1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1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1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7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7"/>
      <c r="BE146" s="131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1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1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1"/>
      <c r="CQ146" s="52" t="str">
        <f t="shared" si="383"/>
        <v/>
      </c>
      <c r="CX146" s="137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7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7"/>
      <c r="FS146" s="131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1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1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1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1"/>
      <c r="IB146" s="121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1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1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1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7"/>
      <c r="I147" s="131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1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1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1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7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7"/>
      <c r="BE147" s="131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1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1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1"/>
      <c r="CQ147" s="52" t="str">
        <f t="shared" si="383"/>
        <v/>
      </c>
      <c r="CX147" s="137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7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7"/>
      <c r="FS147" s="131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1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1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1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1"/>
      <c r="IB147" s="121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1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1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1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7"/>
      <c r="I148" s="131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1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1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1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7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7"/>
      <c r="BE148" s="131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1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1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1"/>
      <c r="CQ148" s="52" t="str">
        <f t="shared" si="383"/>
        <v/>
      </c>
      <c r="CX148" s="137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7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7"/>
      <c r="FS148" s="131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1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1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1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1"/>
      <c r="IB148" s="121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1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1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1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7"/>
      <c r="I149" s="131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1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1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1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7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7"/>
      <c r="BE149" s="131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1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1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1"/>
      <c r="CQ149" s="52" t="str">
        <f t="shared" si="383"/>
        <v/>
      </c>
      <c r="CX149" s="137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7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7"/>
      <c r="FS149" s="131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1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1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1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1"/>
      <c r="IB149" s="121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1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1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1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7"/>
      <c r="I150" s="131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1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1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1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7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7"/>
      <c r="BE150" s="131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1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1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1"/>
      <c r="CQ150" s="52" t="str">
        <f t="shared" si="383"/>
        <v/>
      </c>
      <c r="CX150" s="137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7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7"/>
      <c r="FS150" s="131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1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1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1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1"/>
      <c r="IB150" s="121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1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1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1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7"/>
      <c r="I151" s="131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1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1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1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7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7"/>
      <c r="BE151" s="131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1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1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1"/>
      <c r="CQ151" s="52" t="str">
        <f t="shared" si="383"/>
        <v/>
      </c>
      <c r="CX151" s="137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7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7"/>
      <c r="FS151" s="131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1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1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1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1"/>
      <c r="IB151" s="121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1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1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1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7"/>
      <c r="I152" s="131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1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1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1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7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7"/>
      <c r="BE152" s="131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1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1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1"/>
      <c r="CQ152" s="52" t="str">
        <f t="shared" si="383"/>
        <v/>
      </c>
      <c r="CX152" s="137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7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7"/>
      <c r="FS152" s="131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1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1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1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1"/>
      <c r="IB152" s="121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1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1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1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7"/>
      <c r="I153" s="131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1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1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1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7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7"/>
      <c r="BE153" s="131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1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1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1"/>
      <c r="CQ153" s="52" t="str">
        <f t="shared" si="383"/>
        <v/>
      </c>
      <c r="CX153" s="137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7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7"/>
      <c r="FS153" s="131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1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1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1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1"/>
      <c r="IB153" s="121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1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1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1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7"/>
      <c r="I154" s="131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1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1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1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7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7"/>
      <c r="BE154" s="131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1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1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1"/>
      <c r="CQ154" s="52" t="str">
        <f t="shared" si="383"/>
        <v/>
      </c>
      <c r="CX154" s="137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7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7"/>
      <c r="FS154" s="131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1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1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1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1"/>
      <c r="IB154" s="121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1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1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1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7"/>
      <c r="I155" s="131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1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1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1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7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7"/>
      <c r="BE155" s="131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1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1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1"/>
      <c r="CQ155" s="52" t="str">
        <f t="shared" si="383"/>
        <v/>
      </c>
      <c r="CX155" s="137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7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7"/>
      <c r="FS155" s="131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1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1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1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1"/>
      <c r="IB155" s="121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1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1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1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7"/>
      <c r="I156" s="131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1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1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1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7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7"/>
      <c r="BE156" s="131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1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1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1"/>
      <c r="CQ156" s="52" t="str">
        <f t="shared" si="383"/>
        <v/>
      </c>
      <c r="CX156" s="137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7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7"/>
      <c r="FS156" s="131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1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1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1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1"/>
      <c r="IB156" s="121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1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1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1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7"/>
      <c r="I157" s="131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1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1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1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7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7"/>
      <c r="BE157" s="131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1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1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1"/>
      <c r="CQ157" s="52" t="str">
        <f t="shared" si="383"/>
        <v/>
      </c>
      <c r="CX157" s="137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7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7"/>
      <c r="FS157" s="131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1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1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1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1"/>
      <c r="IB157" s="121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1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1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1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7"/>
      <c r="I158" s="131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1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1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1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7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7"/>
      <c r="BE158" s="131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1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1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1"/>
      <c r="CQ158" s="52" t="str">
        <f t="shared" si="383"/>
        <v/>
      </c>
      <c r="CX158" s="137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7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7"/>
      <c r="FS158" s="131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1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1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1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1"/>
      <c r="IB158" s="121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1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1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1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7"/>
      <c r="I159" s="131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1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1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1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7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7"/>
      <c r="BE159" s="131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1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1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1"/>
      <c r="CQ159" s="52" t="str">
        <f t="shared" si="383"/>
        <v/>
      </c>
      <c r="CX159" s="137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7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7"/>
      <c r="FS159" s="131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1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1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1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1"/>
      <c r="IB159" s="121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1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1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1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7"/>
      <c r="I160" s="131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1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1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1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7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7"/>
      <c r="BE160" s="131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1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1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1"/>
      <c r="CQ160" s="52" t="str">
        <f t="shared" si="383"/>
        <v/>
      </c>
      <c r="CX160" s="137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7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7"/>
      <c r="FS160" s="131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1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1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1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1"/>
      <c r="IB160" s="121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1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1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1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7"/>
      <c r="I161" s="131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1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1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1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7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7"/>
      <c r="BE161" s="131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1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1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1"/>
      <c r="CQ161" s="52" t="str">
        <f t="shared" si="383"/>
        <v/>
      </c>
      <c r="CX161" s="137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7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7"/>
      <c r="FS161" s="131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1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1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1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1"/>
      <c r="IB161" s="121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1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1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1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7"/>
      <c r="I162" s="131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1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1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1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7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7"/>
      <c r="BE162" s="131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1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1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1"/>
      <c r="CQ162" s="52" t="str">
        <f t="shared" ref="CQ162:CQ201" si="582">IF(AND(Sufficient_data="Yes",Include_study?="Yes"),c_/(c_+d_),"")</f>
        <v/>
      </c>
      <c r="CX162" s="137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7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7"/>
      <c r="FS162" s="131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1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1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1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1"/>
      <c r="IB162" s="121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1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1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1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7"/>
      <c r="I163" s="131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1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1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1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7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7"/>
      <c r="BE163" s="131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1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1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1"/>
      <c r="CQ163" s="52" t="str">
        <f t="shared" si="582"/>
        <v/>
      </c>
      <c r="CX163" s="137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7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7"/>
      <c r="FS163" s="131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1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1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1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1"/>
      <c r="IB163" s="121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1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1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1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7"/>
      <c r="I164" s="131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1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1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1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7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7"/>
      <c r="BE164" s="131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1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1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1"/>
      <c r="CQ164" s="52" t="str">
        <f t="shared" si="582"/>
        <v/>
      </c>
      <c r="CX164" s="137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7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7"/>
      <c r="FS164" s="131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1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1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1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1"/>
      <c r="IB164" s="121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1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1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1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7"/>
      <c r="I165" s="131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1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1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1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7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7"/>
      <c r="BE165" s="131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1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1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1"/>
      <c r="CQ165" s="52" t="str">
        <f t="shared" si="582"/>
        <v/>
      </c>
      <c r="CX165" s="137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7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7"/>
      <c r="FS165" s="131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1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1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1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1"/>
      <c r="IB165" s="121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1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1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1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7"/>
      <c r="I166" s="131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1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1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1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7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7"/>
      <c r="BE166" s="131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1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1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1"/>
      <c r="CQ166" s="52" t="str">
        <f t="shared" si="582"/>
        <v/>
      </c>
      <c r="CX166" s="137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7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7"/>
      <c r="FS166" s="131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1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1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1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1"/>
      <c r="IB166" s="121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1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1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1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7"/>
      <c r="I167" s="131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1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1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1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7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7"/>
      <c r="BE167" s="131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1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1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1"/>
      <c r="CQ167" s="52" t="str">
        <f t="shared" si="582"/>
        <v/>
      </c>
      <c r="CX167" s="137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7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7"/>
      <c r="FS167" s="131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1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1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1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1"/>
      <c r="IB167" s="121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1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1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1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7"/>
      <c r="I168" s="131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1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1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1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7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7"/>
      <c r="BE168" s="131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1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1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1"/>
      <c r="CQ168" s="52" t="str">
        <f t="shared" si="582"/>
        <v/>
      </c>
      <c r="CX168" s="137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7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7"/>
      <c r="FS168" s="131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1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1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1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1"/>
      <c r="IB168" s="121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1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1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1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7"/>
      <c r="I169" s="131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1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1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1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7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7"/>
      <c r="BE169" s="131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1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1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1"/>
      <c r="CQ169" s="52" t="str">
        <f t="shared" si="582"/>
        <v/>
      </c>
      <c r="CX169" s="137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7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7"/>
      <c r="FS169" s="131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1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1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1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1"/>
      <c r="IB169" s="121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1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1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1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7"/>
      <c r="I170" s="131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1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1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1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7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7"/>
      <c r="BE170" s="131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1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1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1"/>
      <c r="CQ170" s="52" t="str">
        <f t="shared" si="582"/>
        <v/>
      </c>
      <c r="CX170" s="137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7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7"/>
      <c r="FS170" s="131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1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1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1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1"/>
      <c r="IB170" s="121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1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1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1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7"/>
      <c r="I171" s="131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1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1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1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7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7"/>
      <c r="BE171" s="131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1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1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1"/>
      <c r="CQ171" s="52" t="str">
        <f t="shared" si="582"/>
        <v/>
      </c>
      <c r="CX171" s="137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7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7"/>
      <c r="FS171" s="131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1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1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1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1"/>
      <c r="IB171" s="121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1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1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1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7"/>
      <c r="I172" s="131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1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1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1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7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7"/>
      <c r="BE172" s="131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1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1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1"/>
      <c r="CQ172" s="52" t="str">
        <f t="shared" si="582"/>
        <v/>
      </c>
      <c r="CX172" s="137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7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7"/>
      <c r="FS172" s="131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1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1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1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1"/>
      <c r="IB172" s="121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1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1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1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7"/>
      <c r="I173" s="131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1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1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1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7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7"/>
      <c r="BE173" s="131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1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1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1"/>
      <c r="CQ173" s="52" t="str">
        <f t="shared" si="582"/>
        <v/>
      </c>
      <c r="CX173" s="137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7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7"/>
      <c r="FS173" s="131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1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1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1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1"/>
      <c r="IB173" s="121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1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1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1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7"/>
      <c r="I174" s="131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1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1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1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7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7"/>
      <c r="BE174" s="131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1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1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1"/>
      <c r="CQ174" s="52" t="str">
        <f t="shared" si="582"/>
        <v/>
      </c>
      <c r="CX174" s="137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7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7"/>
      <c r="FS174" s="131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1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1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1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1"/>
      <c r="IB174" s="121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1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1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1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7"/>
      <c r="I175" s="131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1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1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1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7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7"/>
      <c r="BE175" s="131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1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1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1"/>
      <c r="CQ175" s="52" t="str">
        <f t="shared" si="582"/>
        <v/>
      </c>
      <c r="CX175" s="137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7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7"/>
      <c r="FS175" s="131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1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1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1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1"/>
      <c r="IB175" s="121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1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1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1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7"/>
      <c r="I176" s="131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1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1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1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7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7"/>
      <c r="BE176" s="131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1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1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1"/>
      <c r="CQ176" s="52" t="str">
        <f t="shared" si="582"/>
        <v/>
      </c>
      <c r="CX176" s="137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7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7"/>
      <c r="FS176" s="131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1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1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1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1"/>
      <c r="IB176" s="121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1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1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1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7"/>
      <c r="I177" s="131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1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1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1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7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7"/>
      <c r="BE177" s="131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1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1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1"/>
      <c r="CQ177" s="52" t="str">
        <f t="shared" si="582"/>
        <v/>
      </c>
      <c r="CX177" s="137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7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7"/>
      <c r="FS177" s="131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1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1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1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1"/>
      <c r="IB177" s="121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1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1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1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7"/>
      <c r="I178" s="131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1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1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1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7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7"/>
      <c r="BE178" s="131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1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1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1"/>
      <c r="CQ178" s="52" t="str">
        <f t="shared" si="582"/>
        <v/>
      </c>
      <c r="CX178" s="137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7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7"/>
      <c r="FS178" s="131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1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1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1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1"/>
      <c r="IB178" s="121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1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1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1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7"/>
      <c r="I179" s="131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1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1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1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7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7"/>
      <c r="BE179" s="131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1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1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1"/>
      <c r="CQ179" s="52" t="str">
        <f t="shared" si="582"/>
        <v/>
      </c>
      <c r="CX179" s="137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7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7"/>
      <c r="FS179" s="131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1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1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1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1"/>
      <c r="IB179" s="121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1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1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1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7"/>
      <c r="I180" s="131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1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1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1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7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7"/>
      <c r="BE180" s="131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1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1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1"/>
      <c r="CQ180" s="52" t="str">
        <f t="shared" si="582"/>
        <v/>
      </c>
      <c r="CX180" s="137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7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7"/>
      <c r="FS180" s="131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1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1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1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1"/>
      <c r="IB180" s="121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1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1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1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7"/>
      <c r="I181" s="131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1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1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1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7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7"/>
      <c r="BE181" s="131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1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1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1"/>
      <c r="CQ181" s="52" t="str">
        <f t="shared" si="582"/>
        <v/>
      </c>
      <c r="CX181" s="137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7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7"/>
      <c r="FS181" s="131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1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1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1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1"/>
      <c r="IB181" s="121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1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1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1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7"/>
      <c r="I182" s="131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1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1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1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7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7"/>
      <c r="BE182" s="131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1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1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1"/>
      <c r="CQ182" s="52" t="str">
        <f t="shared" si="582"/>
        <v/>
      </c>
      <c r="CX182" s="137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7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7"/>
      <c r="FS182" s="131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1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1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1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1"/>
      <c r="IB182" s="121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1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1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1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7"/>
      <c r="I183" s="131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1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1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1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7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7"/>
      <c r="BE183" s="131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1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1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1"/>
      <c r="CQ183" s="52" t="str">
        <f t="shared" si="582"/>
        <v/>
      </c>
      <c r="CX183" s="137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7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7"/>
      <c r="FS183" s="131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1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1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1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1"/>
      <c r="IB183" s="121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1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1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1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7"/>
      <c r="I184" s="131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1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1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1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7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7"/>
      <c r="BE184" s="131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1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1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1"/>
      <c r="CQ184" s="52" t="str">
        <f t="shared" si="582"/>
        <v/>
      </c>
      <c r="CX184" s="137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7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7"/>
      <c r="FS184" s="131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1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1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1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1"/>
      <c r="IB184" s="121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1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1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1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7"/>
      <c r="I185" s="131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1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1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1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7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7"/>
      <c r="BE185" s="131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1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1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1"/>
      <c r="CQ185" s="52" t="str">
        <f t="shared" si="582"/>
        <v/>
      </c>
      <c r="CX185" s="137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7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7"/>
      <c r="FS185" s="131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1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1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1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1"/>
      <c r="IB185" s="121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1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1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1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7"/>
      <c r="I186" s="131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1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1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1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7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7"/>
      <c r="BE186" s="131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1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1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1"/>
      <c r="CQ186" s="52" t="str">
        <f t="shared" si="582"/>
        <v/>
      </c>
      <c r="CX186" s="137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7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7"/>
      <c r="FS186" s="131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1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1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1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1"/>
      <c r="IB186" s="121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1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1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1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7"/>
      <c r="I187" s="131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1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1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1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7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7"/>
      <c r="BE187" s="131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1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1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1"/>
      <c r="CQ187" s="52" t="str">
        <f t="shared" si="582"/>
        <v/>
      </c>
      <c r="CX187" s="137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7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7"/>
      <c r="FS187" s="131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1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1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1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1"/>
      <c r="IB187" s="121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1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1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1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7"/>
      <c r="I188" s="131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1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1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1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7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7"/>
      <c r="BE188" s="131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1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1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1"/>
      <c r="CQ188" s="52" t="str">
        <f t="shared" si="582"/>
        <v/>
      </c>
      <c r="CX188" s="137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7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7"/>
      <c r="FS188" s="131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1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1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1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1"/>
      <c r="IB188" s="121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1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1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1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7"/>
      <c r="I189" s="131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1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1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1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7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7"/>
      <c r="BE189" s="131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1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1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1"/>
      <c r="CQ189" s="52" t="str">
        <f t="shared" si="582"/>
        <v/>
      </c>
      <c r="CX189" s="137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7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7"/>
      <c r="FS189" s="131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1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1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1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1"/>
      <c r="IB189" s="121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1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1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1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7"/>
      <c r="I190" s="131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1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1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1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7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7"/>
      <c r="BE190" s="131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1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1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1"/>
      <c r="CQ190" s="52" t="str">
        <f t="shared" si="582"/>
        <v/>
      </c>
      <c r="CX190" s="137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7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7"/>
      <c r="FS190" s="131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1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1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1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1"/>
      <c r="IB190" s="121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1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1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1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7"/>
      <c r="I191" s="131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1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1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1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7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7"/>
      <c r="BE191" s="131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1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1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1"/>
      <c r="CQ191" s="52" t="str">
        <f t="shared" si="582"/>
        <v/>
      </c>
      <c r="CX191" s="137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7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7"/>
      <c r="FS191" s="131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1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1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1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1"/>
      <c r="IB191" s="121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1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1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1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7"/>
      <c r="I192" s="131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1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1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1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7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7"/>
      <c r="BE192" s="131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1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1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1"/>
      <c r="CQ192" s="52" t="str">
        <f t="shared" si="582"/>
        <v/>
      </c>
      <c r="CX192" s="137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7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7"/>
      <c r="FS192" s="131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1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1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1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1"/>
      <c r="IB192" s="121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1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1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1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7"/>
      <c r="I193" s="131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1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1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1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7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7"/>
      <c r="BE193" s="131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1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1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1"/>
      <c r="CQ193" s="52" t="str">
        <f t="shared" si="582"/>
        <v/>
      </c>
      <c r="CX193" s="137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7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7"/>
      <c r="FS193" s="131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1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1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1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1"/>
      <c r="IB193" s="121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1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1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1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7"/>
      <c r="I194" s="131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1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1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1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7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7"/>
      <c r="BE194" s="131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1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1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1"/>
      <c r="CQ194" s="52" t="str">
        <f t="shared" si="582"/>
        <v/>
      </c>
      <c r="CX194" s="137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7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7"/>
      <c r="FS194" s="131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1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1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1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1"/>
      <c r="IB194" s="121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1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1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1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7"/>
      <c r="I195" s="131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1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1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1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7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7"/>
      <c r="BE195" s="131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1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1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1"/>
      <c r="CQ195" s="52" t="str">
        <f t="shared" si="582"/>
        <v/>
      </c>
      <c r="CX195" s="137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7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7"/>
      <c r="FS195" s="131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1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1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1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1"/>
      <c r="IB195" s="121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1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1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1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7"/>
      <c r="I196" s="131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1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1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1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7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7"/>
      <c r="BE196" s="131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1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1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1"/>
      <c r="CQ196" s="52" t="str">
        <f t="shared" si="582"/>
        <v/>
      </c>
      <c r="CX196" s="137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7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7"/>
      <c r="FS196" s="131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1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1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1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1"/>
      <c r="IB196" s="121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1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1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1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7"/>
      <c r="I197" s="131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1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1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1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7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7"/>
      <c r="BE197" s="131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1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1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1"/>
      <c r="CQ197" s="52" t="str">
        <f t="shared" si="582"/>
        <v/>
      </c>
      <c r="CX197" s="137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7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7"/>
      <c r="FS197" s="131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1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1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1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1"/>
      <c r="IB197" s="121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1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1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1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7"/>
      <c r="I198" s="131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1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1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1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7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7"/>
      <c r="BE198" s="131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1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1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1"/>
      <c r="CQ198" s="52" t="str">
        <f t="shared" si="582"/>
        <v/>
      </c>
      <c r="CX198" s="137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7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7"/>
      <c r="FS198" s="131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1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1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1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1"/>
      <c r="IB198" s="121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1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1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1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7"/>
      <c r="I199" s="131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1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1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1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7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7"/>
      <c r="BE199" s="131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1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1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1"/>
      <c r="CQ199" s="52" t="str">
        <f t="shared" si="582"/>
        <v/>
      </c>
      <c r="CX199" s="137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7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7"/>
      <c r="FS199" s="131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1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1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1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1"/>
      <c r="IB199" s="121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1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1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1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7"/>
      <c r="I200" s="131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1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1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1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7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7"/>
      <c r="BE200" s="131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1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1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1"/>
      <c r="CQ200" s="52" t="str">
        <f t="shared" si="582"/>
        <v/>
      </c>
      <c r="CX200" s="137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7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7"/>
      <c r="FS200" s="131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1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1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1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1"/>
      <c r="IB200" s="121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1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1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1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8"/>
      <c r="I201" s="132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2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2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2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8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8"/>
      <c r="BE201" s="132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2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2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2"/>
      <c r="CQ201" s="53" t="str">
        <f t="shared" si="582"/>
        <v/>
      </c>
      <c r="CX201" s="138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8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8"/>
      <c r="FS201" s="132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2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2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2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2"/>
      <c r="IB201" s="122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2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2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2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01BA-25EA-49E8-B63E-DDFD77ECA1AA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Sheet1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</cp:lastModifiedBy>
  <cp:revision/>
  <dcterms:created xsi:type="dcterms:W3CDTF">2013-09-05T11:10:04Z</dcterms:created>
  <dcterms:modified xsi:type="dcterms:W3CDTF">2023-06-23T21:08:24Z</dcterms:modified>
  <cp:category/>
  <cp:contentStatus/>
</cp:coreProperties>
</file>