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za\OneDrive - ku.ac.ae\Documents\RA_2023\Leontios\meta-analysis\Meta_essential\Emotional model metaanalysis\"/>
    </mc:Choice>
  </mc:AlternateContent>
  <xr:revisionPtr revIDLastSave="0" documentId="13_ncr:1_{1C21CD97-49CA-4C84-B15E-6A7A68327CAD}" xr6:coauthVersionLast="47" xr6:coauthVersionMax="47" xr10:uidLastSave="{00000000-0000-0000-0000-000000000000}"/>
  <bookViews>
    <workbookView xWindow="-110" yWindow="-110" windowWidth="19420" windowHeight="10300" tabRatio="590" firstSheet="4" activeTab="5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Sheet1" sheetId="12" r:id="rId7"/>
    <sheet name="Calculations" sheetId="2" r:id="rId8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5" l="1"/>
  <c r="F12" i="1"/>
  <c r="D12" i="1"/>
  <c r="I12" i="1"/>
  <c r="H12" i="1"/>
  <c r="F11" i="1" l="1"/>
  <c r="I11" i="1"/>
  <c r="H11" i="1"/>
  <c r="F10" i="1"/>
  <c r="D10" i="1"/>
  <c r="I10" i="1"/>
  <c r="H10" i="1"/>
  <c r="F7" i="1"/>
  <c r="D7" i="1"/>
  <c r="B4" i="8"/>
  <c r="J2" i="1"/>
  <c r="A2" i="1" s="1"/>
  <c r="J3" i="1"/>
  <c r="B3" i="2" s="1"/>
  <c r="J4" i="1"/>
  <c r="B4" i="2" s="1"/>
  <c r="J5" i="1"/>
  <c r="A5" i="1" s="1"/>
  <c r="J6" i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18" i="2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18" i="10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18" i="2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18" i="2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18" i="10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18" i="2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18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18" i="2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E18" i="2"/>
  <c r="C18" i="2"/>
  <c r="D18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A125" i="2" s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AL93" i="2" s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FB6" i="2"/>
  <c r="DA18" i="2"/>
  <c r="DA14" i="2"/>
  <c r="DA20" i="2"/>
  <c r="DA15" i="2"/>
  <c r="FB20" i="2"/>
  <c r="FB15" i="2"/>
  <c r="FB18" i="2"/>
  <c r="FB13" i="2"/>
  <c r="D15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L37" i="2" l="1"/>
  <c r="A3" i="1"/>
  <c r="A4" i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B10" i="2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FE115" i="2"/>
  <c r="BW107" i="2"/>
  <c r="F107" i="10"/>
  <c r="FF107" i="2"/>
  <c r="E107" i="10"/>
  <c r="FW107" i="2"/>
  <c r="S107" i="2"/>
  <c r="BV107" i="2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A83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L105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AL35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AL115" i="2" s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D5" i="8"/>
  <c r="A146" i="2"/>
  <c r="E10" i="2"/>
  <c r="D10" i="2"/>
  <c r="B12" i="2"/>
  <c r="C12" i="2"/>
  <c r="C10" i="2"/>
  <c r="AI10" i="8" s="1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DP51" i="2"/>
  <c r="A51" i="2"/>
  <c r="E7" i="2"/>
  <c r="D7" i="2"/>
  <c r="C7" i="2"/>
  <c r="AT9" i="8"/>
  <c r="BE11" i="8"/>
  <c r="D12" i="10"/>
  <c r="CZ11" i="2"/>
  <c r="IY186" i="2"/>
  <c r="A39" i="2"/>
  <c r="BY48" i="2"/>
  <c r="AX39" i="2"/>
  <c r="D6" i="2"/>
  <c r="DR138" i="2"/>
  <c r="AW107" i="2"/>
  <c r="DP154" i="2"/>
  <c r="DR66" i="2"/>
  <c r="DP42" i="2"/>
  <c r="DR130" i="2"/>
  <c r="DP58" i="2"/>
  <c r="DP34" i="2"/>
  <c r="AX180" i="2"/>
  <c r="AW100" i="2"/>
  <c r="AX123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AX107" i="2"/>
  <c r="DR82" i="2"/>
  <c r="BJ135" i="2"/>
  <c r="DP50" i="2"/>
  <c r="DR114" i="2"/>
  <c r="AY100" i="2"/>
  <c r="DR178" i="2"/>
  <c r="DP122" i="2"/>
  <c r="DR162" i="2"/>
  <c r="AX139" i="2"/>
  <c r="IY43" i="2"/>
  <c r="DR42" i="2"/>
  <c r="DP114" i="2"/>
  <c r="DP162" i="2"/>
  <c r="DP82" i="2"/>
  <c r="AW59" i="2"/>
  <c r="BJ127" i="2"/>
  <c r="DR146" i="2"/>
  <c r="DP138" i="2"/>
  <c r="DP66" i="2"/>
  <c r="BJ79" i="2"/>
  <c r="DR34" i="2"/>
  <c r="DP146" i="2"/>
  <c r="DR58" i="2"/>
  <c r="DR26" i="2"/>
  <c r="DR194" i="2"/>
  <c r="DP130" i="2"/>
  <c r="DR170" i="2"/>
  <c r="AX59" i="2"/>
  <c r="C6" i="2"/>
  <c r="AX42" i="2"/>
  <c r="DR50" i="2"/>
  <c r="DP26" i="2"/>
  <c r="DP194" i="2"/>
  <c r="DR122" i="2"/>
  <c r="DP170" i="2"/>
  <c r="AW75" i="2"/>
  <c r="E6" i="2"/>
  <c r="D10" i="10"/>
  <c r="D9" i="8"/>
  <c r="BE9" i="8"/>
  <c r="V9" i="8"/>
  <c r="D9" i="10"/>
  <c r="AG9" i="8"/>
  <c r="IY183" i="2"/>
  <c r="IY192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Y51" i="2"/>
  <c r="AW42" i="2"/>
  <c r="AW67" i="2"/>
  <c r="AX67" i="2"/>
  <c r="AW148" i="2"/>
  <c r="AY52" i="2"/>
  <c r="AY132" i="2"/>
  <c r="A197" i="2"/>
  <c r="AX199" i="2"/>
  <c r="AX171" i="2"/>
  <c r="AW180" i="2"/>
  <c r="AY115" i="2"/>
  <c r="AX132" i="2"/>
  <c r="AY68" i="2"/>
  <c r="IV195" i="2"/>
  <c r="IW195" i="2" s="1"/>
  <c r="AW91" i="2"/>
  <c r="AX99" i="2"/>
  <c r="AX187" i="2"/>
  <c r="AX147" i="2"/>
  <c r="AX115" i="2"/>
  <c r="AX68" i="2"/>
  <c r="AW99" i="2"/>
  <c r="AY199" i="2"/>
  <c r="AY171" i="2"/>
  <c r="AW196" i="2"/>
  <c r="AX148" i="2"/>
  <c r="AY196" i="2"/>
  <c r="AW123" i="2"/>
  <c r="AW147" i="2"/>
  <c r="AX135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CK143" i="2"/>
  <c r="AX143" i="2"/>
  <c r="A148" i="2"/>
  <c r="DR72" i="2"/>
  <c r="DR120" i="2"/>
  <c r="AX167" i="2"/>
  <c r="BI45" i="2"/>
  <c r="AX151" i="2"/>
  <c r="AW72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DP120" i="2"/>
  <c r="AX157" i="2"/>
  <c r="AW101" i="2"/>
  <c r="AM4" i="2"/>
  <c r="V4" i="8" s="1"/>
  <c r="BY53" i="2"/>
  <c r="AW133" i="2"/>
  <c r="A47" i="2"/>
  <c r="AW156" i="2"/>
  <c r="IY178" i="2"/>
  <c r="IY122" i="2"/>
  <c r="DP71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DR200" i="2"/>
  <c r="AX77" i="2"/>
  <c r="AY157" i="2"/>
  <c r="AW117" i="2"/>
  <c r="BJ117" i="2"/>
  <c r="AX37" i="2"/>
  <c r="AW109" i="2"/>
  <c r="A56" i="2"/>
  <c r="IV74" i="2"/>
  <c r="IW74" i="2" s="1"/>
  <c r="IV59" i="2"/>
  <c r="IW59" i="2" s="1"/>
  <c r="IV170" i="2"/>
  <c r="IW170" i="2" s="1"/>
  <c r="DP200" i="2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DR127" i="2"/>
  <c r="DR192" i="2"/>
  <c r="AX61" i="2"/>
  <c r="A151" i="2"/>
  <c r="AW140" i="2"/>
  <c r="AY173" i="2"/>
  <c r="CJ85" i="2"/>
  <c r="DA4" i="2"/>
  <c r="AW37" i="2"/>
  <c r="A175" i="2"/>
  <c r="DP192" i="2"/>
  <c r="AY61" i="2"/>
  <c r="AX197" i="2"/>
  <c r="AY189" i="2"/>
  <c r="AL159" i="2"/>
  <c r="BJ109" i="2"/>
  <c r="BJ85" i="2"/>
  <c r="CK92" i="2"/>
  <c r="BX93" i="2"/>
  <c r="IY52" i="2"/>
  <c r="AY50" i="2"/>
  <c r="AW50" i="2"/>
  <c r="AX72" i="2"/>
  <c r="IV91" i="2"/>
  <c r="IW91" i="2" s="1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DP31" i="2"/>
  <c r="AW114" i="2"/>
  <c r="AY111" i="2"/>
  <c r="AW111" i="2"/>
  <c r="AL68" i="2"/>
  <c r="DR143" i="2"/>
  <c r="AW151" i="2"/>
  <c r="AY119" i="2"/>
  <c r="CJ37" i="2"/>
  <c r="BX82" i="2"/>
  <c r="AW119" i="2"/>
  <c r="AL60" i="2"/>
  <c r="IY163" i="2"/>
  <c r="IY197" i="2"/>
  <c r="IY124" i="2"/>
  <c r="DP143" i="2"/>
  <c r="AY178" i="2"/>
  <c r="AW143" i="2"/>
  <c r="AY200" i="2"/>
  <c r="AW135" i="2"/>
  <c r="AL74" i="2"/>
  <c r="IV148" i="2"/>
  <c r="IW148" i="2" s="1"/>
  <c r="IV40" i="2"/>
  <c r="IW40" i="2" s="1"/>
  <c r="IV108" i="2"/>
  <c r="IW108" i="2" s="1"/>
  <c r="A140" i="2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107" i="2"/>
  <c r="AX90" i="2"/>
  <c r="A114" i="2"/>
  <c r="IV116" i="2"/>
  <c r="IW116" i="2" s="1"/>
  <c r="A170" i="2"/>
  <c r="DP53" i="2"/>
  <c r="DR29" i="2"/>
  <c r="DP37" i="2"/>
  <c r="IV179" i="2"/>
  <c r="IW179" i="2" s="1"/>
  <c r="IY155" i="2"/>
  <c r="IY131" i="2"/>
  <c r="IV84" i="2"/>
  <c r="IW84" i="2" s="1"/>
  <c r="IY172" i="2"/>
  <c r="A138" i="2"/>
  <c r="DP69" i="2"/>
  <c r="AX200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J130" i="2"/>
  <c r="BY127" i="2"/>
  <c r="A50" i="2"/>
  <c r="AX32" i="2"/>
  <c r="DP45" i="2"/>
  <c r="AX96" i="2"/>
  <c r="IV171" i="2"/>
  <c r="IW171" i="2" s="1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AW96" i="2"/>
  <c r="BI50" i="2"/>
  <c r="AL122" i="2"/>
  <c r="IV99" i="2"/>
  <c r="IW99" i="2" s="1"/>
  <c r="IV68" i="2"/>
  <c r="IW68" i="2" s="1"/>
  <c r="IV67" i="2"/>
  <c r="IW67" i="2" s="1"/>
  <c r="IV156" i="2"/>
  <c r="IW156" i="2" s="1"/>
  <c r="DP93" i="2"/>
  <c r="BY184" i="2"/>
  <c r="BY95" i="2"/>
  <c r="CK91" i="2"/>
  <c r="A82" i="2"/>
  <c r="DR77" i="2"/>
  <c r="DR85" i="2"/>
  <c r="BI34" i="2"/>
  <c r="CK157" i="2"/>
  <c r="CK93" i="2"/>
  <c r="CJ149" i="2"/>
  <c r="CJ141" i="2"/>
  <c r="AY32" i="2"/>
  <c r="CK189" i="2"/>
  <c r="E4" i="2"/>
  <c r="A99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CK175" i="2"/>
  <c r="BX194" i="2"/>
  <c r="AX31" i="2"/>
  <c r="BY170" i="2"/>
  <c r="A35" i="2"/>
  <c r="AY191" i="2"/>
  <c r="A91" i="2"/>
  <c r="BY71" i="2"/>
  <c r="A200" i="2"/>
  <c r="AL83" i="2"/>
  <c r="BJ104" i="2"/>
  <c r="IV53" i="2"/>
  <c r="IW53" i="2" s="1"/>
  <c r="AY47" i="2"/>
  <c r="AX47" i="2"/>
  <c r="BJ72" i="2"/>
  <c r="BY103" i="2"/>
  <c r="BY79" i="2"/>
  <c r="IY36" i="2"/>
  <c r="BY159" i="2"/>
  <c r="CJ58" i="2"/>
  <c r="IV45" i="2"/>
  <c r="IW45" i="2" s="1"/>
  <c r="DR51" i="2"/>
  <c r="AY90" i="2"/>
  <c r="AW87" i="2"/>
  <c r="BY87" i="2"/>
  <c r="CK154" i="2"/>
  <c r="BY143" i="2"/>
  <c r="IY34" i="2"/>
  <c r="CK114" i="2"/>
  <c r="CJ122" i="2"/>
  <c r="IV30" i="2"/>
  <c r="IW30" i="2" s="1"/>
  <c r="IV31" i="2"/>
  <c r="IW31" i="2" s="1"/>
  <c r="DS132" i="2"/>
  <c r="AX87" i="2"/>
  <c r="BY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79" i="2"/>
  <c r="AY103" i="2"/>
  <c r="BX193" i="2"/>
  <c r="AW58" i="2"/>
  <c r="AY58" i="2"/>
  <c r="AY154" i="2"/>
  <c r="AW154" i="2"/>
  <c r="AY195" i="2"/>
  <c r="AX195" i="2"/>
  <c r="IY63" i="2"/>
  <c r="IV63" i="2"/>
  <c r="IW63" i="2" s="1"/>
  <c r="AL67" i="2"/>
  <c r="A67" i="2"/>
  <c r="A75" i="2"/>
  <c r="AL187" i="2"/>
  <c r="A187" i="2"/>
  <c r="A37" i="2"/>
  <c r="AW191" i="2"/>
  <c r="AW195" i="2"/>
  <c r="CK187" i="2"/>
  <c r="CJ147" i="2"/>
  <c r="CK147" i="2"/>
  <c r="CK131" i="2"/>
  <c r="CK123" i="2"/>
  <c r="CJ123" i="2"/>
  <c r="CJ107" i="2"/>
  <c r="CK107" i="2"/>
  <c r="AX64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DP72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200" i="2"/>
  <c r="CJ103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AX98" i="2"/>
  <c r="CK199" i="2"/>
  <c r="CK167" i="2"/>
  <c r="IV111" i="2"/>
  <c r="IW111" i="2" s="1"/>
  <c r="AX43" i="2"/>
  <c r="AY116" i="2"/>
  <c r="IV127" i="2"/>
  <c r="IW127" i="2" s="1"/>
  <c r="A149" i="2"/>
  <c r="AY164" i="2"/>
  <c r="AW92" i="2"/>
  <c r="AW116" i="2"/>
  <c r="AY82" i="2"/>
  <c r="CJ32" i="2"/>
  <c r="AY43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CK95" i="2"/>
  <c r="CJ96" i="2"/>
  <c r="CJ72" i="2"/>
  <c r="CJ56" i="2"/>
  <c r="IY35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CK180" i="2"/>
  <c r="CJ172" i="2"/>
  <c r="CK172" i="2"/>
  <c r="CJ132" i="2"/>
  <c r="CK116" i="2"/>
  <c r="CJ116" i="2"/>
  <c r="CJ108" i="2"/>
  <c r="CK108" i="2"/>
  <c r="AW189" i="2"/>
  <c r="AY165" i="2"/>
  <c r="A191" i="2"/>
  <c r="A79" i="2"/>
  <c r="AY141" i="2"/>
  <c r="AW141" i="2"/>
  <c r="A143" i="2"/>
  <c r="AL143" i="2"/>
  <c r="AY35" i="2"/>
  <c r="AW35" i="2"/>
  <c r="A87" i="2"/>
  <c r="AX85" i="2"/>
  <c r="A135" i="2"/>
  <c r="BY171" i="2"/>
  <c r="BX171" i="2"/>
  <c r="BY123" i="2"/>
  <c r="BX123" i="2"/>
  <c r="BY115" i="2"/>
  <c r="BX115" i="2"/>
  <c r="BY107" i="2"/>
  <c r="BX107" i="2"/>
  <c r="BY91" i="2"/>
  <c r="BX91" i="2"/>
  <c r="BY83" i="2"/>
  <c r="BX83" i="2"/>
  <c r="BY75" i="2"/>
  <c r="BX75" i="2"/>
  <c r="BY51" i="2"/>
  <c r="BX51" i="2"/>
  <c r="BY43" i="2"/>
  <c r="BX4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18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83" i="2"/>
  <c r="DS20" i="2"/>
  <c r="DS109" i="2"/>
  <c r="DS71" i="2"/>
  <c r="E2" i="2"/>
  <c r="D2" i="2"/>
  <c r="C2" i="2"/>
  <c r="DS31" i="2" l="1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6" i="1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3" i="2"/>
  <c r="DP13" i="2"/>
  <c r="DR14" i="2" l="1"/>
  <c r="DP14" i="2" s="1"/>
  <c r="A7" i="1"/>
  <c r="A9" i="1" s="1"/>
  <c r="A10" i="1" s="1"/>
  <c r="A11" i="1" s="1"/>
  <c r="DG7" i="2"/>
  <c r="BT7" i="2"/>
  <c r="AO7" i="2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AX7" i="2" s="1"/>
  <c r="FE6" i="2"/>
  <c r="Z2" i="2"/>
  <c r="Y2" i="2"/>
  <c r="DD9" i="2"/>
  <c r="A12" i="1" l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AW25" i="2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DT24" i="2" s="1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GD14" i="2" l="1"/>
  <c r="BG7" i="8"/>
  <c r="IY7" i="2" s="1"/>
  <c r="AV7" i="8"/>
  <c r="IL7" i="2" s="1"/>
  <c r="JH7" i="2"/>
  <c r="JI7" i="2" s="1"/>
  <c r="JJ7" i="2" s="1"/>
  <c r="DT71" i="2"/>
  <c r="EM71" i="2" s="1"/>
  <c r="DT89" i="2"/>
  <c r="EI89" i="2" s="1"/>
  <c r="DT194" i="2"/>
  <c r="EI194" i="2" s="1"/>
  <c r="DT192" i="2"/>
  <c r="DU192" i="2" s="1"/>
  <c r="DT42" i="2"/>
  <c r="EQ42" i="2" s="1"/>
  <c r="DT164" i="2"/>
  <c r="EE164" i="2" s="1"/>
  <c r="DT135" i="2"/>
  <c r="DT183" i="2"/>
  <c r="DT88" i="2"/>
  <c r="EK88" i="2" s="1"/>
  <c r="DT63" i="2"/>
  <c r="DT148" i="2"/>
  <c r="DT12" i="2"/>
  <c r="DV12" i="2" s="1"/>
  <c r="DT199" i="2"/>
  <c r="EN199" i="2" s="1"/>
  <c r="DT93" i="2"/>
  <c r="DT184" i="2"/>
  <c r="DT149" i="2"/>
  <c r="DT187" i="2"/>
  <c r="DT101" i="2"/>
  <c r="DX101" i="2" s="1"/>
  <c r="DY101" i="2" s="1"/>
  <c r="DT97" i="2"/>
  <c r="DT158" i="2"/>
  <c r="EM158" i="2" s="1"/>
  <c r="DT162" i="2"/>
  <c r="DZ162" i="2" s="1"/>
  <c r="DT94" i="2"/>
  <c r="ED94" i="2" s="1"/>
  <c r="DT62" i="2"/>
  <c r="DT189" i="2"/>
  <c r="DT47" i="2"/>
  <c r="EC47" i="2" s="1"/>
  <c r="DT115" i="2"/>
  <c r="EC115" i="2" s="1"/>
  <c r="DT130" i="2"/>
  <c r="DT120" i="2"/>
  <c r="EM120" i="2" s="1"/>
  <c r="DT185" i="2"/>
  <c r="ES185" i="2" s="1"/>
  <c r="EU185" i="2" s="1"/>
  <c r="DT193" i="2"/>
  <c r="DT150" i="2"/>
  <c r="DT87" i="2"/>
  <c r="DT13" i="2"/>
  <c r="DT86" i="2"/>
  <c r="DT119" i="2"/>
  <c r="DT198" i="2"/>
  <c r="ER198" i="2" s="1"/>
  <c r="DT197" i="2"/>
  <c r="DT161" i="2"/>
  <c r="DT67" i="2"/>
  <c r="DT76" i="2"/>
  <c r="DT59" i="2"/>
  <c r="DU59" i="2" s="1"/>
  <c r="DT188" i="2"/>
  <c r="ER188" i="2" s="1"/>
  <c r="DT52" i="2"/>
  <c r="DT35" i="2"/>
  <c r="ES35" i="2" s="1"/>
  <c r="EU35" i="2" s="1"/>
  <c r="DT25" i="2"/>
  <c r="EQ25" i="2" s="1"/>
  <c r="DT111" i="2"/>
  <c r="EP111" i="2" s="1"/>
  <c r="DT171" i="2"/>
  <c r="DT15" i="2"/>
  <c r="DT131" i="2"/>
  <c r="EC131" i="2" s="1"/>
  <c r="DT126" i="2"/>
  <c r="EH126" i="2" s="1"/>
  <c r="DT140" i="2"/>
  <c r="DT70" i="2"/>
  <c r="EB70" i="2" s="1"/>
  <c r="DT154" i="2"/>
  <c r="DZ154" i="2" s="1"/>
  <c r="DT75" i="2"/>
  <c r="ES75" i="2" s="1"/>
  <c r="EU75" i="2" s="1"/>
  <c r="DT155" i="2"/>
  <c r="DT77" i="2"/>
  <c r="DT107" i="2"/>
  <c r="EQ107" i="2" s="1"/>
  <c r="DT186" i="2"/>
  <c r="DT43" i="2"/>
  <c r="DT159" i="2"/>
  <c r="EE159" i="2" s="1"/>
  <c r="DT132" i="2"/>
  <c r="EG132" i="2" s="1"/>
  <c r="DT23" i="2"/>
  <c r="DU23" i="2" s="1"/>
  <c r="DT22" i="2"/>
  <c r="DT112" i="2"/>
  <c r="DT137" i="2"/>
  <c r="EJ137" i="2" s="1"/>
  <c r="DT79" i="2"/>
  <c r="DT85" i="2"/>
  <c r="DT142" i="2"/>
  <c r="EL142" i="2" s="1"/>
  <c r="DT157" i="2"/>
  <c r="EP157" i="2" s="1"/>
  <c r="DT200" i="2"/>
  <c r="ES200" i="2" s="1"/>
  <c r="EU200" i="2" s="1"/>
  <c r="DT127" i="2"/>
  <c r="DT180" i="2"/>
  <c r="DT14" i="2"/>
  <c r="EC14" i="2" s="1"/>
  <c r="DT125" i="2"/>
  <c r="EQ125" i="2" s="1"/>
  <c r="DT116" i="2"/>
  <c r="DT40" i="2"/>
  <c r="EA40" i="2" s="1"/>
  <c r="ET40" i="2" s="1"/>
  <c r="DT58" i="2"/>
  <c r="EF58" i="2" s="1"/>
  <c r="DT36" i="2"/>
  <c r="DT73" i="2"/>
  <c r="DT34" i="2"/>
  <c r="DT46" i="2"/>
  <c r="DT121" i="2"/>
  <c r="DT145" i="2"/>
  <c r="DT136" i="2"/>
  <c r="EE136" i="2" s="1"/>
  <c r="DT45" i="2"/>
  <c r="DV45" i="2" s="1"/>
  <c r="DT151" i="2"/>
  <c r="DX151" i="2" s="1"/>
  <c r="DY151" i="2" s="1"/>
  <c r="DT141" i="2"/>
  <c r="EE141" i="2" s="1"/>
  <c r="DT83" i="2"/>
  <c r="DT113" i="2"/>
  <c r="DT179" i="2"/>
  <c r="DT105" i="2"/>
  <c r="DT175" i="2"/>
  <c r="EO175" i="2" s="1"/>
  <c r="DT146" i="2"/>
  <c r="DZ146" i="2" s="1"/>
  <c r="DT81" i="2"/>
  <c r="EK81" i="2" s="1"/>
  <c r="DT160" i="2"/>
  <c r="DT129" i="2"/>
  <c r="DT32" i="2"/>
  <c r="DT110" i="2"/>
  <c r="DZ110" i="2" s="1"/>
  <c r="DT96" i="2"/>
  <c r="DT122" i="2"/>
  <c r="DT118" i="2"/>
  <c r="EM118" i="2" s="1"/>
  <c r="DT177" i="2"/>
  <c r="DU177" i="2" s="1"/>
  <c r="DT167" i="2"/>
  <c r="DT84" i="2"/>
  <c r="DT21" i="2"/>
  <c r="DT9" i="2"/>
  <c r="DT48" i="2"/>
  <c r="DT26" i="2"/>
  <c r="EF26" i="2" s="1"/>
  <c r="DT108" i="2"/>
  <c r="EA108" i="2" s="1"/>
  <c r="ET108" i="2" s="1"/>
  <c r="DT80" i="2"/>
  <c r="DT124" i="2"/>
  <c r="EI124" i="2" s="1"/>
  <c r="DT163" i="2"/>
  <c r="DT173" i="2"/>
  <c r="DT60" i="2"/>
  <c r="DT72" i="2"/>
  <c r="DT165" i="2"/>
  <c r="DT168" i="2"/>
  <c r="DW168" i="2" s="1"/>
  <c r="DT50" i="2"/>
  <c r="EI50" i="2" s="1"/>
  <c r="DT174" i="2"/>
  <c r="DT38" i="2"/>
  <c r="DT104" i="2"/>
  <c r="DT44" i="2"/>
  <c r="DT152" i="2"/>
  <c r="DV152" i="2" s="1"/>
  <c r="DT30" i="2"/>
  <c r="EG30" i="2" s="1"/>
  <c r="DT74" i="2"/>
  <c r="DX74" i="2" s="1"/>
  <c r="DY74" i="2" s="1"/>
  <c r="DT16" i="2"/>
  <c r="ES16" i="2" s="1"/>
  <c r="EU16" i="2" s="1"/>
  <c r="DT49" i="2"/>
  <c r="DT39" i="2"/>
  <c r="DT27" i="2"/>
  <c r="DT28" i="2"/>
  <c r="DT98" i="2"/>
  <c r="EP98" i="2" s="1"/>
  <c r="DT182" i="2"/>
  <c r="EO182" i="2" s="1"/>
  <c r="DT201" i="2"/>
  <c r="EG201" i="2" s="1"/>
  <c r="DT195" i="2"/>
  <c r="DT106" i="2"/>
  <c r="EI106" i="2" s="1"/>
  <c r="DT90" i="2"/>
  <c r="DT57" i="2"/>
  <c r="DT64" i="2"/>
  <c r="DT66" i="2"/>
  <c r="EQ66" i="2" s="1"/>
  <c r="DT78" i="2"/>
  <c r="DX78" i="2" s="1"/>
  <c r="DY78" i="2" s="1"/>
  <c r="DT53" i="2"/>
  <c r="EV53" i="2" s="1"/>
  <c r="DT153" i="2"/>
  <c r="EQ153" i="2" s="1"/>
  <c r="DT82" i="2"/>
  <c r="DT95" i="2"/>
  <c r="DT19" i="2"/>
  <c r="EK19" i="2" s="1"/>
  <c r="DT31" i="2"/>
  <c r="EB31" i="2" s="1"/>
  <c r="DT92" i="2"/>
  <c r="DT55" i="2"/>
  <c r="ED55" i="2" s="1"/>
  <c r="DT156" i="2"/>
  <c r="DV156" i="2" s="1"/>
  <c r="DT133" i="2"/>
  <c r="EB133" i="2" s="1"/>
  <c r="DT178" i="2"/>
  <c r="DT147" i="2"/>
  <c r="DT102" i="2"/>
  <c r="DT176" i="2"/>
  <c r="DT69" i="2"/>
  <c r="DT144" i="2"/>
  <c r="EI144" i="2" s="1"/>
  <c r="DT33" i="2"/>
  <c r="DV33" i="2" s="1"/>
  <c r="DT100" i="2"/>
  <c r="DT114" i="2"/>
  <c r="DT18" i="2"/>
  <c r="DT170" i="2"/>
  <c r="DX170" i="2" s="1"/>
  <c r="DY170" i="2" s="1"/>
  <c r="DT166" i="2"/>
  <c r="DT56" i="2"/>
  <c r="ER56" i="2" s="1"/>
  <c r="DT68" i="2"/>
  <c r="EP68" i="2" s="1"/>
  <c r="DT169" i="2"/>
  <c r="DZ169" i="2" s="1"/>
  <c r="DT123" i="2"/>
  <c r="EH123" i="2" s="1"/>
  <c r="DT51" i="2"/>
  <c r="DT190" i="2"/>
  <c r="DT138" i="2"/>
  <c r="DT117" i="2"/>
  <c r="EO117" i="2" s="1"/>
  <c r="DT61" i="2"/>
  <c r="DT54" i="2"/>
  <c r="ED54" i="2" s="1"/>
  <c r="DT103" i="2"/>
  <c r="EB103" i="2" s="1"/>
  <c r="DT91" i="2"/>
  <c r="EK91" i="2" s="1"/>
  <c r="DT99" i="2"/>
  <c r="DT181" i="2"/>
  <c r="DT143" i="2"/>
  <c r="EQ143" i="2" s="1"/>
  <c r="DT29" i="2"/>
  <c r="DT139" i="2"/>
  <c r="ES139" i="2" s="1"/>
  <c r="EU139" i="2" s="1"/>
  <c r="DT191" i="2"/>
  <c r="EG191" i="2" s="1"/>
  <c r="DT109" i="2"/>
  <c r="EK109" i="2" s="1"/>
  <c r="DT20" i="2"/>
  <c r="EB20" i="2" s="1"/>
  <c r="DT41" i="2"/>
  <c r="DT65" i="2"/>
  <c r="DT196" i="2"/>
  <c r="ED196" i="2" s="1"/>
  <c r="DT17" i="2"/>
  <c r="EV17" i="2" s="1"/>
  <c r="DT128" i="2"/>
  <c r="ER128" i="2" s="1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DW183" i="2"/>
  <c r="DU183" i="2"/>
  <c r="EG183" i="2"/>
  <c r="EI183" i="2"/>
  <c r="EO183" i="2"/>
  <c r="EB183" i="2"/>
  <c r="EP183" i="2"/>
  <c r="EL40" i="2"/>
  <c r="DV40" i="2"/>
  <c r="EK40" i="2"/>
  <c r="EH35" i="2"/>
  <c r="DV35" i="2"/>
  <c r="DW136" i="2"/>
  <c r="EO136" i="2"/>
  <c r="DZ136" i="2"/>
  <c r="DZ69" i="2"/>
  <c r="DX95" i="2"/>
  <c r="DY95" i="2" s="1"/>
  <c r="EC95" i="2"/>
  <c r="ER95" i="2"/>
  <c r="ES95" i="2"/>
  <c r="EU95" i="2" s="1"/>
  <c r="EK95" i="2"/>
  <c r="EM95" i="2"/>
  <c r="EN95" i="2"/>
  <c r="DZ95" i="2"/>
  <c r="EV42" i="2"/>
  <c r="EK42" i="2"/>
  <c r="EM42" i="2"/>
  <c r="EL129" i="2"/>
  <c r="EM129" i="2"/>
  <c r="EA129" i="2"/>
  <c r="ET129" i="2" s="1"/>
  <c r="EJ129" i="2"/>
  <c r="EI129" i="2"/>
  <c r="EO129" i="2"/>
  <c r="EN129" i="2"/>
  <c r="EP169" i="2"/>
  <c r="EG169" i="2"/>
  <c r="EL169" i="2"/>
  <c r="EI51" i="2"/>
  <c r="EN51" i="2"/>
  <c r="EL51" i="2"/>
  <c r="EP51" i="2"/>
  <c r="EM51" i="2"/>
  <c r="EK51" i="2"/>
  <c r="EV51" i="2"/>
  <c r="DU51" i="2"/>
  <c r="DV138" i="2"/>
  <c r="H173" i="9"/>
  <c r="ES155" i="2"/>
  <c r="EU155" i="2" s="1"/>
  <c r="EB155" i="2"/>
  <c r="EM155" i="2"/>
  <c r="DX155" i="2"/>
  <c r="DY155" i="2" s="1"/>
  <c r="EE155" i="2"/>
  <c r="DV155" i="2"/>
  <c r="ER155" i="2"/>
  <c r="EE197" i="2"/>
  <c r="EC197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K25" i="2"/>
  <c r="EI25" i="2"/>
  <c r="EG25" i="2"/>
  <c r="ED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R131" i="2"/>
  <c r="EA131" i="2"/>
  <c r="ET131" i="2" s="1"/>
  <c r="EV160" i="2"/>
  <c r="EA160" i="2"/>
  <c r="ET160" i="2" s="1"/>
  <c r="EQ160" i="2"/>
  <c r="EM160" i="2"/>
  <c r="EJ160" i="2"/>
  <c r="EG160" i="2"/>
  <c r="ER160" i="2"/>
  <c r="DX160" i="2"/>
  <c r="DY160" i="2" s="1"/>
  <c r="EE86" i="2"/>
  <c r="EC86" i="2"/>
  <c r="ER86" i="2"/>
  <c r="EN86" i="2"/>
  <c r="EB86" i="2"/>
  <c r="EH86" i="2"/>
  <c r="ES86" i="2"/>
  <c r="EU86" i="2" s="1"/>
  <c r="EP86" i="2"/>
  <c r="DW147" i="2"/>
  <c r="DX147" i="2"/>
  <c r="DY147" i="2" s="1"/>
  <c r="ER147" i="2"/>
  <c r="EL147" i="2"/>
  <c r="DV147" i="2"/>
  <c r="EB147" i="2"/>
  <c r="ES147" i="2"/>
  <c r="EU147" i="2" s="1"/>
  <c r="EJ147" i="2"/>
  <c r="EG147" i="2"/>
  <c r="EF147" i="2"/>
  <c r="DV70" i="2"/>
  <c r="EP70" i="2"/>
  <c r="EK70" i="2"/>
  <c r="EJ164" i="2"/>
  <c r="ER9" i="2"/>
  <c r="EN9" i="2"/>
  <c r="DU9" i="2"/>
  <c r="EJ9" i="2"/>
  <c r="EC9" i="2"/>
  <c r="EK9" i="2"/>
  <c r="EF9" i="2"/>
  <c r="EA9" i="2"/>
  <c r="ET9" i="2" s="1"/>
  <c r="EO9" i="2"/>
  <c r="EM9" i="2"/>
  <c r="EP9" i="2"/>
  <c r="DZ9" i="2"/>
  <c r="EE186" i="2"/>
  <c r="EA186" i="2"/>
  <c r="ET186" i="2" s="1"/>
  <c r="EK186" i="2"/>
  <c r="DX186" i="2"/>
  <c r="DY186" i="2" s="1"/>
  <c r="EF186" i="2"/>
  <c r="EJ186" i="2"/>
  <c r="DV186" i="2"/>
  <c r="ER186" i="2"/>
  <c r="EN186" i="2"/>
  <c r="ED186" i="2"/>
  <c r="DX60" i="2"/>
  <c r="DY60" i="2" s="1"/>
  <c r="EJ60" i="2"/>
  <c r="ES79" i="2"/>
  <c r="EU79" i="2" s="1"/>
  <c r="EB79" i="2"/>
  <c r="EI79" i="2"/>
  <c r="DZ189" i="2"/>
  <c r="EE189" i="2"/>
  <c r="DW189" i="2"/>
  <c r="EP189" i="2"/>
  <c r="EH189" i="2"/>
  <c r="EO189" i="2"/>
  <c r="EJ189" i="2"/>
  <c r="EV189" i="2"/>
  <c r="EF189" i="2"/>
  <c r="EM189" i="2"/>
  <c r="EC189" i="2"/>
  <c r="ER189" i="2"/>
  <c r="EL189" i="2"/>
  <c r="EB189" i="2"/>
  <c r="ES189" i="2"/>
  <c r="EU189" i="2" s="1"/>
  <c r="EO44" i="2"/>
  <c r="EJ44" i="2"/>
  <c r="EL125" i="2"/>
  <c r="EB125" i="2"/>
  <c r="EN125" i="2"/>
  <c r="EV71" i="2"/>
  <c r="EL71" i="2"/>
  <c r="ED71" i="2"/>
  <c r="EF71" i="2"/>
  <c r="EJ71" i="2"/>
  <c r="EB71" i="2"/>
  <c r="ER71" i="2"/>
  <c r="DV71" i="2"/>
  <c r="EJ28" i="2"/>
  <c r="EQ28" i="2"/>
  <c r="ER28" i="2"/>
  <c r="EH28" i="2"/>
  <c r="DX28" i="2"/>
  <c r="DY28" i="2" s="1"/>
  <c r="ED28" i="2"/>
  <c r="EL28" i="2"/>
  <c r="DU28" i="2"/>
  <c r="EE28" i="2"/>
  <c r="EM28" i="2"/>
  <c r="EK28" i="2"/>
  <c r="EA28" i="2"/>
  <c r="ET28" i="2" s="1"/>
  <c r="EI28" i="2"/>
  <c r="DV28" i="2"/>
  <c r="ES28" i="2"/>
  <c r="EU28" i="2" s="1"/>
  <c r="EP28" i="2"/>
  <c r="DZ28" i="2"/>
  <c r="EM121" i="2"/>
  <c r="ES121" i="2"/>
  <c r="EU121" i="2" s="1"/>
  <c r="EO121" i="2"/>
  <c r="EJ121" i="2"/>
  <c r="EH121" i="2"/>
  <c r="DV121" i="2"/>
  <c r="EP121" i="2"/>
  <c r="EF121" i="2"/>
  <c r="DX121" i="2"/>
  <c r="DY121" i="2" s="1"/>
  <c r="EI121" i="2"/>
  <c r="DU121" i="2"/>
  <c r="EK121" i="2"/>
  <c r="EA121" i="2"/>
  <c r="ET121" i="2" s="1"/>
  <c r="DZ121" i="2"/>
  <c r="EN121" i="2"/>
  <c r="EQ121" i="2"/>
  <c r="EA111" i="2"/>
  <c r="ET111" i="2" s="1"/>
  <c r="EF64" i="2"/>
  <c r="EK64" i="2"/>
  <c r="EG64" i="2"/>
  <c r="EQ64" i="2"/>
  <c r="EC179" i="2"/>
  <c r="DX179" i="2"/>
  <c r="DY179" i="2" s="1"/>
  <c r="EI179" i="2"/>
  <c r="EK179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H18" i="2"/>
  <c r="EJ18" i="2"/>
  <c r="EN18" i="2"/>
  <c r="EC18" i="2"/>
  <c r="EI18" i="2"/>
  <c r="EA18" i="2"/>
  <c r="ET18" i="2" s="1"/>
  <c r="EP18" i="2"/>
  <c r="ES18" i="2"/>
  <c r="EU18" i="2" s="1"/>
  <c r="ER18" i="2"/>
  <c r="EE18" i="2"/>
  <c r="EF18" i="2"/>
  <c r="EL18" i="2"/>
  <c r="EK18" i="2"/>
  <c r="EB18" i="2"/>
  <c r="EG18" i="2"/>
  <c r="ED18" i="2"/>
  <c r="DV166" i="2"/>
  <c r="EP166" i="2"/>
  <c r="ER166" i="2"/>
  <c r="DX166" i="2"/>
  <c r="DY166" i="2" s="1"/>
  <c r="EJ148" i="2"/>
  <c r="EE148" i="2"/>
  <c r="EF148" i="2"/>
  <c r="DX148" i="2"/>
  <c r="DY148" i="2" s="1"/>
  <c r="EG148" i="2"/>
  <c r="EO148" i="2"/>
  <c r="DV96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D119" i="2"/>
  <c r="EJ119" i="2"/>
  <c r="EQ119" i="2"/>
  <c r="EK119" i="2"/>
  <c r="DX119" i="2"/>
  <c r="DY119" i="2" s="1"/>
  <c r="ES119" i="2"/>
  <c r="EU119" i="2" s="1"/>
  <c r="EB119" i="2"/>
  <c r="DV119" i="2"/>
  <c r="ER119" i="2"/>
  <c r="DZ119" i="2"/>
  <c r="EP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F154" i="2"/>
  <c r="ED154" i="2"/>
  <c r="EA154" i="2"/>
  <c r="ET154" i="2" s="1"/>
  <c r="EM154" i="2"/>
  <c r="ED199" i="2"/>
  <c r="EE199" i="2"/>
  <c r="EV199" i="2"/>
  <c r="ES199" i="2"/>
  <c r="EU199" i="2" s="1"/>
  <c r="EF199" i="2"/>
  <c r="DU199" i="2"/>
  <c r="EJ199" i="2"/>
  <c r="DX199" i="2"/>
  <c r="DY199" i="2" s="1"/>
  <c r="EP199" i="2"/>
  <c r="DZ199" i="2"/>
  <c r="EH108" i="2"/>
  <c r="EP108" i="2"/>
  <c r="EB108" i="2"/>
  <c r="EM108" i="2"/>
  <c r="EN108" i="2"/>
  <c r="EJ108" i="2"/>
  <c r="EV108" i="2"/>
  <c r="DZ108" i="2"/>
  <c r="EO108" i="2"/>
  <c r="EK132" i="2"/>
  <c r="EO132" i="2"/>
  <c r="EA132" i="2"/>
  <c r="ET132" i="2" s="1"/>
  <c r="EH132" i="2"/>
  <c r="ED132" i="2"/>
  <c r="DW132" i="2"/>
  <c r="EJ132" i="2"/>
  <c r="DZ132" i="2"/>
  <c r="DX132" i="2"/>
  <c r="DY132" i="2" s="1"/>
  <c r="ER67" i="2"/>
  <c r="EC67" i="2"/>
  <c r="DX67" i="2"/>
  <c r="DY67" i="2" s="1"/>
  <c r="EO67" i="2"/>
  <c r="EN168" i="2"/>
  <c r="EO168" i="2"/>
  <c r="EL168" i="2"/>
  <c r="EV168" i="2"/>
  <c r="EF168" i="2"/>
  <c r="EP168" i="2"/>
  <c r="EJ157" i="2"/>
  <c r="DW157" i="2"/>
  <c r="EM157" i="2"/>
  <c r="EA157" i="2"/>
  <c r="ET157" i="2" s="1"/>
  <c r="EN157" i="2"/>
  <c r="DZ157" i="2"/>
  <c r="DU47" i="2"/>
  <c r="EH47" i="2"/>
  <c r="ER47" i="2"/>
  <c r="DV47" i="2"/>
  <c r="EO47" i="2"/>
  <c r="EQ47" i="2"/>
  <c r="EN47" i="2"/>
  <c r="EB47" i="2"/>
  <c r="EI47" i="2"/>
  <c r="DX47" i="2"/>
  <c r="DY47" i="2" s="1"/>
  <c r="EG47" i="2"/>
  <c r="ED47" i="2"/>
  <c r="EJ47" i="2"/>
  <c r="EM47" i="2"/>
  <c r="DW47" i="2"/>
  <c r="DZ47" i="2"/>
  <c r="EH74" i="2"/>
  <c r="DZ74" i="2"/>
  <c r="EA74" i="2"/>
  <c r="ET74" i="2" s="1"/>
  <c r="EG74" i="2"/>
  <c r="EF74" i="2"/>
  <c r="EC74" i="2"/>
  <c r="EH58" i="2"/>
  <c r="EC58" i="2"/>
  <c r="EK58" i="2"/>
  <c r="EV58" i="2"/>
  <c r="ER58" i="2"/>
  <c r="EM58" i="2"/>
  <c r="EN58" i="2"/>
  <c r="DZ58" i="2"/>
  <c r="EB58" i="2"/>
  <c r="DX88" i="2"/>
  <c r="DY88" i="2" s="1"/>
  <c r="EV88" i="2"/>
  <c r="EE88" i="2"/>
  <c r="ES88" i="2"/>
  <c r="EU88" i="2" s="1"/>
  <c r="DU88" i="2"/>
  <c r="EM88" i="2"/>
  <c r="EO88" i="2"/>
  <c r="EB88" i="2"/>
  <c r="EI88" i="2"/>
  <c r="EL88" i="2"/>
  <c r="EJ88" i="2"/>
  <c r="DW88" i="2"/>
  <c r="ED88" i="2"/>
  <c r="DV88" i="2"/>
  <c r="DZ88" i="2"/>
  <c r="DU201" i="2"/>
  <c r="EV201" i="2"/>
  <c r="EN201" i="2"/>
  <c r="EB201" i="2"/>
  <c r="EA201" i="2"/>
  <c r="ET201" i="2" s="1"/>
  <c r="EP201" i="2"/>
  <c r="EI201" i="2"/>
  <c r="ER201" i="2"/>
  <c r="EC201" i="2"/>
  <c r="EV45" i="2"/>
  <c r="EQ45" i="2"/>
  <c r="EL45" i="2"/>
  <c r="EA45" i="2"/>
  <c r="ET45" i="2" s="1"/>
  <c r="DW45" i="2"/>
  <c r="EM45" i="2"/>
  <c r="EO45" i="2"/>
  <c r="EF45" i="2"/>
  <c r="DU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R53" i="2"/>
  <c r="EI53" i="2"/>
  <c r="EJ53" i="2"/>
  <c r="ED53" i="2"/>
  <c r="DV53" i="2"/>
  <c r="EK53" i="2"/>
  <c r="EA53" i="2"/>
  <c r="ET53" i="2" s="1"/>
  <c r="EM53" i="2"/>
  <c r="EQ53" i="2"/>
  <c r="EA103" i="2"/>
  <c r="ET103" i="2" s="1"/>
  <c r="EH103" i="2"/>
  <c r="DU103" i="2"/>
  <c r="EG103" i="2"/>
  <c r="EO103" i="2"/>
  <c r="EQ103" i="2"/>
  <c r="EL103" i="2"/>
  <c r="EC103" i="2"/>
  <c r="EP103" i="2"/>
  <c r="EG91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B68" i="2"/>
  <c r="EL68" i="2"/>
  <c r="EE123" i="2"/>
  <c r="EP190" i="2"/>
  <c r="EA190" i="2"/>
  <c r="ET190" i="2" s="1"/>
  <c r="ES190" i="2"/>
  <c r="EU190" i="2" s="1"/>
  <c r="EE190" i="2"/>
  <c r="EK190" i="2"/>
  <c r="EN190" i="2"/>
  <c r="EM190" i="2"/>
  <c r="DX190" i="2"/>
  <c r="DY190" i="2" s="1"/>
  <c r="EV190" i="2"/>
  <c r="DZ190" i="2"/>
  <c r="EJ190" i="2"/>
  <c r="EO190" i="2"/>
  <c r="EF190" i="2"/>
  <c r="EH190" i="2"/>
  <c r="ED190" i="2"/>
  <c r="DW190" i="2"/>
  <c r="EC190" i="2"/>
  <c r="EQ190" i="2"/>
  <c r="EG190" i="2"/>
  <c r="EB190" i="2"/>
  <c r="ER190" i="2"/>
  <c r="DU190" i="2"/>
  <c r="DV190" i="2"/>
  <c r="EL190" i="2"/>
  <c r="EI190" i="2"/>
  <c r="EN117" i="2"/>
  <c r="DX117" i="2"/>
  <c r="DY117" i="2" s="1"/>
  <c r="EK117" i="2"/>
  <c r="ED117" i="2"/>
  <c r="EA117" i="2"/>
  <c r="ET117" i="2" s="1"/>
  <c r="DU117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C77" i="2"/>
  <c r="EN77" i="2"/>
  <c r="DW77" i="2"/>
  <c r="EV77" i="2"/>
  <c r="EI77" i="2"/>
  <c r="EE77" i="2"/>
  <c r="DZ77" i="2"/>
  <c r="ER77" i="2"/>
  <c r="DX77" i="2"/>
  <c r="DY77" i="2" s="1"/>
  <c r="EF77" i="2"/>
  <c r="DU77" i="2"/>
  <c r="DV77" i="2"/>
  <c r="EJ77" i="2"/>
  <c r="EG77" i="2"/>
  <c r="ED77" i="2"/>
  <c r="EH77" i="2"/>
  <c r="EB77" i="2"/>
  <c r="EQ77" i="2"/>
  <c r="EA77" i="2"/>
  <c r="ET77" i="2" s="1"/>
  <c r="ES77" i="2"/>
  <c r="EU77" i="2" s="1"/>
  <c r="EM77" i="2"/>
  <c r="EK77" i="2"/>
  <c r="EO77" i="2"/>
  <c r="EL77" i="2"/>
  <c r="EP77" i="2"/>
  <c r="EO89" i="2"/>
  <c r="EJ89" i="2"/>
  <c r="EK89" i="2"/>
  <c r="EV89" i="2"/>
  <c r="EA89" i="2"/>
  <c r="ET89" i="2" s="1"/>
  <c r="ES89" i="2"/>
  <c r="EU89" i="2" s="1"/>
  <c r="EC163" i="2"/>
  <c r="DU163" i="2"/>
  <c r="EJ163" i="2"/>
  <c r="EN163" i="2"/>
  <c r="EK163" i="2"/>
  <c r="EG163" i="2"/>
  <c r="EI163" i="2"/>
  <c r="EE163" i="2"/>
  <c r="ES163" i="2"/>
  <c r="EU163" i="2" s="1"/>
  <c r="DX163" i="2"/>
  <c r="DY163" i="2" s="1"/>
  <c r="EB163" i="2"/>
  <c r="EM163" i="2"/>
  <c r="ED163" i="2"/>
  <c r="EH163" i="2"/>
  <c r="ER163" i="2"/>
  <c r="EF163" i="2"/>
  <c r="EO163" i="2"/>
  <c r="EA163" i="2"/>
  <c r="ET163" i="2" s="1"/>
  <c r="EQ163" i="2"/>
  <c r="DV163" i="2"/>
  <c r="DZ163" i="2"/>
  <c r="DW163" i="2"/>
  <c r="EL163" i="2"/>
  <c r="EV163" i="2"/>
  <c r="EP163" i="2"/>
  <c r="EC112" i="2"/>
  <c r="DX112" i="2"/>
  <c r="DY112" i="2" s="1"/>
  <c r="EE112" i="2"/>
  <c r="ES112" i="2"/>
  <c r="EU112" i="2" s="1"/>
  <c r="DV112" i="2"/>
  <c r="EF112" i="2"/>
  <c r="EB112" i="2"/>
  <c r="EH112" i="2"/>
  <c r="EJ112" i="2"/>
  <c r="EO112" i="2"/>
  <c r="EA112" i="2"/>
  <c r="ET112" i="2" s="1"/>
  <c r="DU112" i="2"/>
  <c r="EI112" i="2"/>
  <c r="EQ112" i="2"/>
  <c r="ER112" i="2"/>
  <c r="DW112" i="2"/>
  <c r="EV112" i="2"/>
  <c r="EM112" i="2"/>
  <c r="EL112" i="2"/>
  <c r="EN112" i="2"/>
  <c r="EG112" i="2"/>
  <c r="EK112" i="2"/>
  <c r="ED112" i="2"/>
  <c r="EP112" i="2"/>
  <c r="DZ112" i="2"/>
  <c r="EK76" i="2"/>
  <c r="EF76" i="2"/>
  <c r="EO76" i="2"/>
  <c r="ER76" i="2"/>
  <c r="EM76" i="2"/>
  <c r="EQ76" i="2"/>
  <c r="ES76" i="2"/>
  <c r="EU76" i="2" s="1"/>
  <c r="EE76" i="2"/>
  <c r="DX76" i="2"/>
  <c r="DY76" i="2" s="1"/>
  <c r="EG76" i="2"/>
  <c r="EP76" i="2"/>
  <c r="EC76" i="2"/>
  <c r="DW76" i="2"/>
  <c r="EJ76" i="2"/>
  <c r="EA76" i="2"/>
  <c r="ET76" i="2" s="1"/>
  <c r="EL76" i="2"/>
  <c r="EB76" i="2"/>
  <c r="EV76" i="2"/>
  <c r="EN76" i="2"/>
  <c r="DU76" i="2"/>
  <c r="EH76" i="2"/>
  <c r="EI76" i="2"/>
  <c r="ED76" i="2"/>
  <c r="DZ76" i="2"/>
  <c r="DV76" i="2"/>
  <c r="EC38" i="2"/>
  <c r="DX38" i="2"/>
  <c r="DY38" i="2" s="1"/>
  <c r="EM38" i="2"/>
  <c r="EA38" i="2"/>
  <c r="ET38" i="2" s="1"/>
  <c r="EO38" i="2"/>
  <c r="EQ38" i="2"/>
  <c r="ER38" i="2"/>
  <c r="EF38" i="2"/>
  <c r="ED38" i="2"/>
  <c r="EL38" i="2"/>
  <c r="EE38" i="2"/>
  <c r="EN38" i="2"/>
  <c r="DU38" i="2"/>
  <c r="EH38" i="2"/>
  <c r="EK38" i="2"/>
  <c r="EI38" i="2"/>
  <c r="EJ38" i="2"/>
  <c r="EG38" i="2"/>
  <c r="EV38" i="2"/>
  <c r="DW38" i="2"/>
  <c r="EB38" i="2"/>
  <c r="DV38" i="2"/>
  <c r="ES38" i="2"/>
  <c r="EU38" i="2" s="1"/>
  <c r="EP38" i="2"/>
  <c r="DZ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EM115" i="2"/>
  <c r="DV115" i="2"/>
  <c r="EF115" i="2"/>
  <c r="EG115" i="2"/>
  <c r="EJ115" i="2"/>
  <c r="EH115" i="2"/>
  <c r="DX39" i="2"/>
  <c r="DY39" i="2" s="1"/>
  <c r="EM39" i="2"/>
  <c r="EF39" i="2"/>
  <c r="EC39" i="2"/>
  <c r="EA39" i="2"/>
  <c r="ET39" i="2" s="1"/>
  <c r="EH39" i="2"/>
  <c r="EV39" i="2"/>
  <c r="EE39" i="2"/>
  <c r="ED39" i="2"/>
  <c r="EL39" i="2"/>
  <c r="EK39" i="2"/>
  <c r="DV39" i="2"/>
  <c r="EJ39" i="2"/>
  <c r="DW39" i="2"/>
  <c r="ER39" i="2"/>
  <c r="DU39" i="2"/>
  <c r="EB39" i="2"/>
  <c r="EG39" i="2"/>
  <c r="ES39" i="2"/>
  <c r="EU39" i="2" s="1"/>
  <c r="EI39" i="2"/>
  <c r="EO39" i="2"/>
  <c r="EQ39" i="2"/>
  <c r="EN39" i="2"/>
  <c r="DZ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P149" i="2"/>
  <c r="EN149" i="2"/>
  <c r="DZ149" i="2"/>
  <c r="EH149" i="2"/>
  <c r="EJ149" i="2"/>
  <c r="EA149" i="2"/>
  <c r="ET149" i="2" s="1"/>
  <c r="EB149" i="2"/>
  <c r="DU149" i="2"/>
  <c r="EF149" i="2"/>
  <c r="DX149" i="2"/>
  <c r="DY149" i="2" s="1"/>
  <c r="EI149" i="2"/>
  <c r="DV149" i="2"/>
  <c r="ER149" i="2"/>
  <c r="EV149" i="2"/>
  <c r="ES149" i="2"/>
  <c r="EU149" i="2" s="1"/>
  <c r="EK149" i="2"/>
  <c r="EC149" i="2"/>
  <c r="ED149" i="2"/>
  <c r="EE149" i="2"/>
  <c r="EM149" i="2"/>
  <c r="EQ149" i="2"/>
  <c r="DW149" i="2"/>
  <c r="EG149" i="2"/>
  <c r="EO149" i="2"/>
  <c r="EL149" i="2"/>
  <c r="EA90" i="2"/>
  <c r="ET90" i="2" s="1"/>
  <c r="DW90" i="2"/>
  <c r="EC90" i="2"/>
  <c r="DU90" i="2"/>
  <c r="EO90" i="2"/>
  <c r="ES90" i="2"/>
  <c r="EU90" i="2" s="1"/>
  <c r="EH90" i="2"/>
  <c r="DX90" i="2"/>
  <c r="DY90" i="2" s="1"/>
  <c r="EF90" i="2"/>
  <c r="ER90" i="2"/>
  <c r="EN90" i="2"/>
  <c r="EV90" i="2"/>
  <c r="EQ90" i="2"/>
  <c r="EJ90" i="2"/>
  <c r="EI90" i="2"/>
  <c r="EG90" i="2"/>
  <c r="ED90" i="2"/>
  <c r="EE90" i="2"/>
  <c r="EM90" i="2"/>
  <c r="EK90" i="2"/>
  <c r="EB90" i="2"/>
  <c r="EL90" i="2"/>
  <c r="DV90" i="2"/>
  <c r="DZ90" i="2"/>
  <c r="EP90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A15" i="2"/>
  <c r="ET15" i="2" s="1"/>
  <c r="DU15" i="2"/>
  <c r="EN15" i="2"/>
  <c r="EC15" i="2"/>
  <c r="EB15" i="2"/>
  <c r="EG15" i="2"/>
  <c r="EP15" i="2"/>
  <c r="DX15" i="2"/>
  <c r="DY15" i="2" s="1"/>
  <c r="ER15" i="2"/>
  <c r="EL15" i="2"/>
  <c r="ES15" i="2"/>
  <c r="EU15" i="2" s="1"/>
  <c r="EF15" i="2"/>
  <c r="EJ15" i="2"/>
  <c r="EM15" i="2"/>
  <c r="ED15" i="2"/>
  <c r="EQ15" i="2"/>
  <c r="EV15" i="2"/>
  <c r="EO15" i="2"/>
  <c r="DZ15" i="2"/>
  <c r="EI15" i="2"/>
  <c r="EK15" i="2"/>
  <c r="DV15" i="2"/>
  <c r="EE15" i="2"/>
  <c r="EH15" i="2"/>
  <c r="DW15" i="2"/>
  <c r="EJ81" i="2"/>
  <c r="DX81" i="2"/>
  <c r="DY81" i="2" s="1"/>
  <c r="EN31" i="2"/>
  <c r="DU31" i="2"/>
  <c r="EE31" i="2"/>
  <c r="EH31" i="2"/>
  <c r="ED31" i="2"/>
  <c r="DV31" i="2"/>
  <c r="DV126" i="2"/>
  <c r="EL126" i="2"/>
  <c r="DX126" i="2"/>
  <c r="DY126" i="2" s="1"/>
  <c r="ED126" i="2"/>
  <c r="EB126" i="2"/>
  <c r="ER126" i="2"/>
  <c r="DV143" i="2"/>
  <c r="EO143" i="2"/>
  <c r="EL143" i="2"/>
  <c r="ER143" i="2"/>
  <c r="EI143" i="2"/>
  <c r="EP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G139" i="2"/>
  <c r="EO139" i="2"/>
  <c r="EN139" i="2"/>
  <c r="EM139" i="2"/>
  <c r="EC139" i="2"/>
  <c r="DZ139" i="2"/>
  <c r="EN191" i="2"/>
  <c r="EB109" i="2"/>
  <c r="EL109" i="2"/>
  <c r="ER109" i="2"/>
  <c r="EG109" i="2"/>
  <c r="EA109" i="2"/>
  <c r="ET109" i="2" s="1"/>
  <c r="ES109" i="2"/>
  <c r="EU109" i="2" s="1"/>
  <c r="EF109" i="2"/>
  <c r="DU109" i="2"/>
  <c r="DV109" i="2"/>
  <c r="DZ109" i="2"/>
  <c r="DZ97" i="2"/>
  <c r="ED97" i="2"/>
  <c r="ER97" i="2"/>
  <c r="EB97" i="2"/>
  <c r="DW97" i="2"/>
  <c r="DX97" i="2"/>
  <c r="DY97" i="2" s="1"/>
  <c r="EO97" i="2"/>
  <c r="EE97" i="2"/>
  <c r="EP97" i="2"/>
  <c r="EL97" i="2"/>
  <c r="EF97" i="2"/>
  <c r="EV97" i="2"/>
  <c r="ES97" i="2"/>
  <c r="EU97" i="2" s="1"/>
  <c r="EI97" i="2"/>
  <c r="EJ97" i="2"/>
  <c r="DU97" i="2"/>
  <c r="EN97" i="2"/>
  <c r="EA97" i="2"/>
  <c r="ET97" i="2" s="1"/>
  <c r="EK97" i="2"/>
  <c r="EC97" i="2"/>
  <c r="EM97" i="2"/>
  <c r="EH97" i="2"/>
  <c r="EB48" i="2"/>
  <c r="ER48" i="2"/>
  <c r="EG48" i="2"/>
  <c r="DV48" i="2"/>
  <c r="EQ48" i="2"/>
  <c r="EI48" i="2"/>
  <c r="EA48" i="2"/>
  <c r="ET48" i="2" s="1"/>
  <c r="ED48" i="2"/>
  <c r="ES43" i="2"/>
  <c r="EU43" i="2" s="1"/>
  <c r="DV43" i="2"/>
  <c r="DU43" i="2"/>
  <c r="EB43" i="2"/>
  <c r="DW43" i="2"/>
  <c r="EJ43" i="2"/>
  <c r="EE43" i="2"/>
  <c r="EK43" i="2"/>
  <c r="EI43" i="2"/>
  <c r="ER43" i="2"/>
  <c r="EQ43" i="2"/>
  <c r="EV43" i="2"/>
  <c r="DX43" i="2"/>
  <c r="DY43" i="2" s="1"/>
  <c r="EG43" i="2"/>
  <c r="EO43" i="2"/>
  <c r="EP43" i="2"/>
  <c r="DZ43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O72" i="2"/>
  <c r="EC72" i="2"/>
  <c r="EH72" i="2"/>
  <c r="EQ72" i="2"/>
  <c r="EM72" i="2"/>
  <c r="EP72" i="2"/>
  <c r="EV72" i="2"/>
  <c r="EG72" i="2"/>
  <c r="EC85" i="2"/>
  <c r="DU85" i="2"/>
  <c r="EO85" i="2"/>
  <c r="EB85" i="2"/>
  <c r="EK85" i="2"/>
  <c r="EH85" i="2"/>
  <c r="DW85" i="2"/>
  <c r="ER85" i="2"/>
  <c r="DX85" i="2"/>
  <c r="DY85" i="2" s="1"/>
  <c r="EQ85" i="2"/>
  <c r="EF85" i="2"/>
  <c r="EN85" i="2"/>
  <c r="EM85" i="2"/>
  <c r="DZ85" i="2"/>
  <c r="DV85" i="2"/>
  <c r="ES85" i="2"/>
  <c r="EU85" i="2" s="1"/>
  <c r="EP59" i="2"/>
  <c r="DZ59" i="2"/>
  <c r="EV59" i="2"/>
  <c r="EC59" i="2"/>
  <c r="EQ59" i="2"/>
  <c r="ER59" i="2"/>
  <c r="EF59" i="2"/>
  <c r="EA59" i="2"/>
  <c r="ET59" i="2" s="1"/>
  <c r="EK59" i="2"/>
  <c r="DW59" i="2"/>
  <c r="EH59" i="2"/>
  <c r="EJ59" i="2"/>
  <c r="EG59" i="2"/>
  <c r="ES59" i="2"/>
  <c r="EU59" i="2" s="1"/>
  <c r="EL59" i="2"/>
  <c r="EI59" i="2"/>
  <c r="DU152" i="2"/>
  <c r="EV152" i="2"/>
  <c r="EF116" i="2"/>
  <c r="EI116" i="2"/>
  <c r="EG116" i="2"/>
  <c r="EN130" i="2"/>
  <c r="EL130" i="2"/>
  <c r="DV130" i="2"/>
  <c r="EJ130" i="2"/>
  <c r="DX130" i="2"/>
  <c r="DY130" i="2" s="1"/>
  <c r="DZ98" i="2"/>
  <c r="EG98" i="2"/>
  <c r="EN98" i="2"/>
  <c r="EC98" i="2"/>
  <c r="DV98" i="2"/>
  <c r="EQ98" i="2"/>
  <c r="EA98" i="2"/>
  <c r="ET98" i="2" s="1"/>
  <c r="DZ145" i="2"/>
  <c r="EK145" i="2"/>
  <c r="EB145" i="2"/>
  <c r="EP145" i="2"/>
  <c r="EQ145" i="2"/>
  <c r="EE145" i="2"/>
  <c r="EN145" i="2"/>
  <c r="EM145" i="2"/>
  <c r="ER145" i="2"/>
  <c r="DW145" i="2"/>
  <c r="EP194" i="2"/>
  <c r="DZ194" i="2"/>
  <c r="EK194" i="2"/>
  <c r="EL194" i="2"/>
  <c r="DX194" i="2"/>
  <c r="DY194" i="2" s="1"/>
  <c r="EB194" i="2"/>
  <c r="EJ194" i="2"/>
  <c r="EG194" i="2"/>
  <c r="EF194" i="2"/>
  <c r="ES194" i="2"/>
  <c r="EU194" i="2" s="1"/>
  <c r="ED194" i="2"/>
  <c r="EM194" i="2"/>
  <c r="EE194" i="2"/>
  <c r="DW194" i="2"/>
  <c r="DU194" i="2"/>
  <c r="EC194" i="2"/>
  <c r="ER194" i="2"/>
  <c r="EV194" i="2"/>
  <c r="EA194" i="2"/>
  <c r="ET194" i="2" s="1"/>
  <c r="EH194" i="2"/>
  <c r="EN194" i="2"/>
  <c r="EO194" i="2"/>
  <c r="EK66" i="2"/>
  <c r="EC66" i="2"/>
  <c r="ED66" i="2"/>
  <c r="DU66" i="2"/>
  <c r="ER66" i="2"/>
  <c r="EP66" i="2"/>
  <c r="ER105" i="2"/>
  <c r="ED105" i="2"/>
  <c r="EA105" i="2"/>
  <c r="ET105" i="2" s="1"/>
  <c r="ES105" i="2"/>
  <c r="EU105" i="2" s="1"/>
  <c r="EV105" i="2"/>
  <c r="EB105" i="2"/>
  <c r="EG105" i="2"/>
  <c r="DW105" i="2"/>
  <c r="EC105" i="2"/>
  <c r="EP105" i="2"/>
  <c r="DZ105" i="2"/>
  <c r="EK87" i="2"/>
  <c r="DX87" i="2"/>
  <c r="DY87" i="2" s="1"/>
  <c r="EH87" i="2"/>
  <c r="EA87" i="2"/>
  <c r="ET87" i="2" s="1"/>
  <c r="EI87" i="2"/>
  <c r="EF87" i="2"/>
  <c r="EV87" i="2"/>
  <c r="DU87" i="2"/>
  <c r="DW87" i="2"/>
  <c r="EG87" i="2"/>
  <c r="EM87" i="2"/>
  <c r="DV87" i="2"/>
  <c r="EC87" i="2"/>
  <c r="EN87" i="2"/>
  <c r="EJ87" i="2"/>
  <c r="EE87" i="2"/>
  <c r="ED87" i="2"/>
  <c r="EL87" i="2"/>
  <c r="EB87" i="2"/>
  <c r="EQ87" i="2"/>
  <c r="ER87" i="2"/>
  <c r="EO87" i="2"/>
  <c r="ES87" i="2"/>
  <c r="EU87" i="2" s="1"/>
  <c r="DZ87" i="2"/>
  <c r="EP87" i="2"/>
  <c r="EK41" i="2"/>
  <c r="EM41" i="2"/>
  <c r="EL41" i="2"/>
  <c r="ES41" i="2"/>
  <c r="EU41" i="2" s="1"/>
  <c r="DW41" i="2"/>
  <c r="EA41" i="2"/>
  <c r="ET41" i="2" s="1"/>
  <c r="EA65" i="2"/>
  <c r="ET65" i="2" s="1"/>
  <c r="EM65" i="2"/>
  <c r="EC65" i="2"/>
  <c r="DV65" i="2"/>
  <c r="EF65" i="2"/>
  <c r="EV65" i="2"/>
  <c r="EL65" i="2"/>
  <c r="EG65" i="2"/>
  <c r="DU65" i="2"/>
  <c r="ES65" i="2"/>
  <c r="EU65" i="2" s="1"/>
  <c r="EN65" i="2"/>
  <c r="EJ65" i="2"/>
  <c r="EE65" i="2"/>
  <c r="DX65" i="2"/>
  <c r="DY65" i="2" s="1"/>
  <c r="EO65" i="2"/>
  <c r="DW65" i="2"/>
  <c r="ER65" i="2"/>
  <c r="EH65" i="2"/>
  <c r="EK65" i="2"/>
  <c r="EI65" i="2"/>
  <c r="ED65" i="2"/>
  <c r="EQ65" i="2"/>
  <c r="EB65" i="2"/>
  <c r="EP65" i="2"/>
  <c r="DZ65" i="2"/>
  <c r="EI196" i="2"/>
  <c r="EG196" i="2"/>
  <c r="EO196" i="2"/>
  <c r="DU196" i="2"/>
  <c r="ES196" i="2"/>
  <c r="EU196" i="2" s="1"/>
  <c r="EJ196" i="2"/>
  <c r="EE110" i="2"/>
  <c r="EQ110" i="2"/>
  <c r="DV110" i="2"/>
  <c r="DX110" i="2"/>
  <c r="DY110" i="2" s="1"/>
  <c r="EB110" i="2"/>
  <c r="EP110" i="2"/>
  <c r="EL101" i="2"/>
  <c r="EE101" i="2"/>
  <c r="EC101" i="2"/>
  <c r="EH101" i="2"/>
  <c r="DW101" i="2"/>
  <c r="EO101" i="2"/>
  <c r="EC54" i="2"/>
  <c r="DX75" i="2"/>
  <c r="DY75" i="2" s="1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EQ50" i="2"/>
  <c r="EF50" i="2"/>
  <c r="DX200" i="2"/>
  <c r="DY200" i="2" s="1"/>
  <c r="EV200" i="2"/>
  <c r="ED188" i="2"/>
  <c r="EF188" i="2"/>
  <c r="EA188" i="2"/>
  <c r="ET188" i="2" s="1"/>
  <c r="EJ188" i="2"/>
  <c r="ES188" i="2"/>
  <c r="EU188" i="2" s="1"/>
  <c r="DZ188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V151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DU153" i="2"/>
  <c r="EB146" i="2"/>
  <c r="DW146" i="2"/>
  <c r="ED146" i="2"/>
  <c r="EV146" i="2"/>
  <c r="EP146" i="2"/>
  <c r="DV146" i="2"/>
  <c r="EN146" i="2"/>
  <c r="EI146" i="2"/>
  <c r="EJ146" i="2"/>
  <c r="EN19" i="2"/>
  <c r="EA19" i="2"/>
  <c r="ET19" i="2" s="1"/>
  <c r="EC19" i="2"/>
  <c r="ED19" i="2"/>
  <c r="ES19" i="2"/>
  <c r="EU19" i="2" s="1"/>
  <c r="EI19" i="2"/>
  <c r="EV19" i="2"/>
  <c r="ER19" i="2"/>
  <c r="ES13" i="2"/>
  <c r="EU13" i="2" s="1"/>
  <c r="EM13" i="2"/>
  <c r="EB13" i="2"/>
  <c r="EE13" i="2"/>
  <c r="EH13" i="2"/>
  <c r="ED13" i="2"/>
  <c r="EV13" i="2"/>
  <c r="DZ13" i="2"/>
  <c r="EL13" i="2"/>
  <c r="EJ13" i="2"/>
  <c r="DU13" i="2"/>
  <c r="EI13" i="2"/>
  <c r="EP13" i="2"/>
  <c r="EC13" i="2"/>
  <c r="EQ13" i="2"/>
  <c r="EN13" i="2"/>
  <c r="ER13" i="2"/>
  <c r="DX13" i="2"/>
  <c r="DY13" i="2" s="1"/>
  <c r="DV13" i="2"/>
  <c r="EK13" i="2"/>
  <c r="DW13" i="2"/>
  <c r="EG13" i="2"/>
  <c r="EP32" i="2"/>
  <c r="EL32" i="2"/>
  <c r="EC32" i="2"/>
  <c r="EF32" i="2"/>
  <c r="ED32" i="2"/>
  <c r="EB32" i="2"/>
  <c r="EA32" i="2"/>
  <c r="ET32" i="2" s="1"/>
  <c r="EO32" i="2"/>
  <c r="EG32" i="2"/>
  <c r="EH32" i="2"/>
  <c r="DZ32" i="2"/>
  <c r="EK32" i="2"/>
  <c r="ER32" i="2"/>
  <c r="EJ32" i="2"/>
  <c r="EE32" i="2"/>
  <c r="EQ32" i="2"/>
  <c r="EG17" i="2"/>
  <c r="ES17" i="2"/>
  <c r="EU17" i="2" s="1"/>
  <c r="EM17" i="2"/>
  <c r="EB17" i="2"/>
  <c r="EF17" i="2"/>
  <c r="ER17" i="2"/>
  <c r="DV128" i="2"/>
  <c r="EV128" i="2"/>
  <c r="EB128" i="2"/>
  <c r="EO128" i="2"/>
  <c r="ED128" i="2"/>
  <c r="EP128" i="2"/>
  <c r="EV172" i="2"/>
  <c r="EE172" i="2"/>
  <c r="ED172" i="2"/>
  <c r="DV172" i="2"/>
  <c r="EL172" i="2"/>
  <c r="EM172" i="2"/>
  <c r="EN172" i="2"/>
  <c r="DW172" i="2"/>
  <c r="EI172" i="2"/>
  <c r="EP172" i="2"/>
  <c r="EB37" i="2"/>
  <c r="DZ37" i="2"/>
  <c r="EQ21" i="2"/>
  <c r="DV21" i="2"/>
  <c r="EK21" i="2"/>
  <c r="EA21" i="2"/>
  <c r="ET21" i="2" s="1"/>
  <c r="EF21" i="2"/>
  <c r="EE21" i="2"/>
  <c r="ES21" i="2"/>
  <c r="EU21" i="2" s="1"/>
  <c r="ER21" i="2"/>
  <c r="DX21" i="2"/>
  <c r="DY21" i="2" s="1"/>
  <c r="EG21" i="2"/>
  <c r="DW21" i="2"/>
  <c r="DZ21" i="2"/>
  <c r="EC107" i="2"/>
  <c r="EN107" i="2"/>
  <c r="EM107" i="2"/>
  <c r="DZ107" i="2"/>
  <c r="ES107" i="2"/>
  <c r="EU107" i="2" s="1"/>
  <c r="DV107" i="2"/>
  <c r="EV107" i="2"/>
  <c r="EK107" i="2"/>
  <c r="EH107" i="2"/>
  <c r="EL107" i="2"/>
  <c r="DX107" i="2"/>
  <c r="DY107" i="2" s="1"/>
  <c r="EJ107" i="2"/>
  <c r="EO107" i="2"/>
  <c r="EA107" i="2"/>
  <c r="ET107" i="2" s="1"/>
  <c r="ED107" i="2"/>
  <c r="EB107" i="2"/>
  <c r="ER107" i="2"/>
  <c r="EF107" i="2"/>
  <c r="DW107" i="2"/>
  <c r="EG107" i="2"/>
  <c r="EI107" i="2"/>
  <c r="EE107" i="2"/>
  <c r="DV162" i="2"/>
  <c r="EF162" i="2"/>
  <c r="EV162" i="2"/>
  <c r="EJ162" i="2"/>
  <c r="EP162" i="2"/>
  <c r="EH162" i="2"/>
  <c r="EG162" i="2"/>
  <c r="ED162" i="2"/>
  <c r="EO162" i="2"/>
  <c r="EJ173" i="2"/>
  <c r="ER173" i="2"/>
  <c r="EI173" i="2"/>
  <c r="EB173" i="2"/>
  <c r="EL173" i="2"/>
  <c r="EA173" i="2"/>
  <c r="ET173" i="2" s="1"/>
  <c r="EC173" i="2"/>
  <c r="EE173" i="2"/>
  <c r="EM173" i="2"/>
  <c r="EV173" i="2"/>
  <c r="EH173" i="2"/>
  <c r="ED173" i="2"/>
  <c r="EK173" i="2"/>
  <c r="EG173" i="2"/>
  <c r="EK137" i="2"/>
  <c r="ED137" i="2"/>
  <c r="EV137" i="2"/>
  <c r="ES137" i="2"/>
  <c r="EU137" i="2" s="1"/>
  <c r="EO137" i="2"/>
  <c r="EN137" i="2"/>
  <c r="EA137" i="2"/>
  <c r="ET137" i="2" s="1"/>
  <c r="EE137" i="2"/>
  <c r="EC137" i="2"/>
  <c r="EB137" i="2"/>
  <c r="DZ137" i="2"/>
  <c r="EI137" i="2"/>
  <c r="EH137" i="2"/>
  <c r="DW137" i="2"/>
  <c r="EL137" i="2"/>
  <c r="DX137" i="2"/>
  <c r="DY137" i="2" s="1"/>
  <c r="DU137" i="2"/>
  <c r="ER137" i="2"/>
  <c r="DV137" i="2"/>
  <c r="EK192" i="2"/>
  <c r="ES192" i="2"/>
  <c r="EU192" i="2" s="1"/>
  <c r="EV192" i="2"/>
  <c r="ER192" i="2"/>
  <c r="DW192" i="2"/>
  <c r="EL192" i="2"/>
  <c r="EE192" i="2"/>
  <c r="EP192" i="2"/>
  <c r="DZ192" i="2"/>
  <c r="EF192" i="2"/>
  <c r="EN104" i="2"/>
  <c r="EM104" i="2"/>
  <c r="DW104" i="2"/>
  <c r="DX104" i="2"/>
  <c r="DY104" i="2" s="1"/>
  <c r="DV104" i="2"/>
  <c r="ED104" i="2"/>
  <c r="EO104" i="2"/>
  <c r="EK104" i="2"/>
  <c r="EG104" i="2"/>
  <c r="EV104" i="2"/>
  <c r="EA104" i="2"/>
  <c r="ET104" i="2" s="1"/>
  <c r="DU104" i="2"/>
  <c r="DZ104" i="2"/>
  <c r="EA14" i="2"/>
  <c r="ET14" i="2" s="1"/>
  <c r="DZ14" i="2"/>
  <c r="DX14" i="2"/>
  <c r="DY14" i="2" s="1"/>
  <c r="EB14" i="2"/>
  <c r="EI14" i="2"/>
  <c r="ER14" i="2"/>
  <c r="EK14" i="2"/>
  <c r="EO14" i="2"/>
  <c r="EQ14" i="2"/>
  <c r="EF14" i="2"/>
  <c r="EN14" i="2"/>
  <c r="EE14" i="2"/>
  <c r="ED14" i="2"/>
  <c r="EL14" i="2"/>
  <c r="EP14" i="2"/>
  <c r="EG14" i="2"/>
  <c r="EM14" i="2"/>
  <c r="DV14" i="2"/>
  <c r="ES14" i="2"/>
  <c r="EU14" i="2" s="1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EO27" i="2"/>
  <c r="EF27" i="2"/>
  <c r="ES27" i="2"/>
  <c r="EU27" i="2" s="1"/>
  <c r="ER27" i="2"/>
  <c r="EK27" i="2"/>
  <c r="EE27" i="2"/>
  <c r="EL27" i="2"/>
  <c r="EP27" i="2"/>
  <c r="DX27" i="2"/>
  <c r="DY27" i="2" s="1"/>
  <c r="EA27" i="2"/>
  <c r="ET27" i="2" s="1"/>
  <c r="EH27" i="2"/>
  <c r="EV46" i="2"/>
  <c r="EH46" i="2"/>
  <c r="DZ46" i="2"/>
  <c r="ED46" i="2"/>
  <c r="ER46" i="2"/>
  <c r="DX46" i="2"/>
  <c r="DY46" i="2" s="1"/>
  <c r="DW46" i="2"/>
  <c r="EC46" i="2"/>
  <c r="EF46" i="2"/>
  <c r="EN46" i="2"/>
  <c r="EJ46" i="2"/>
  <c r="EB46" i="2"/>
  <c r="EG46" i="2"/>
  <c r="EL46" i="2"/>
  <c r="EA46" i="2"/>
  <c r="ET46" i="2" s="1"/>
  <c r="EI46" i="2"/>
  <c r="DU46" i="2"/>
  <c r="DV46" i="2"/>
  <c r="EP46" i="2"/>
  <c r="EK185" i="2"/>
  <c r="EA185" i="2"/>
  <c r="ET185" i="2" s="1"/>
  <c r="EP185" i="2"/>
  <c r="EE185" i="2"/>
  <c r="EO185" i="2"/>
  <c r="EH185" i="2"/>
  <c r="EN185" i="2"/>
  <c r="EQ185" i="2"/>
  <c r="DV185" i="2"/>
  <c r="EI185" i="2"/>
  <c r="ED57" i="2"/>
  <c r="EG57" i="2"/>
  <c r="EF57" i="2"/>
  <c r="EN57" i="2"/>
  <c r="EE57" i="2"/>
  <c r="EO57" i="2"/>
  <c r="ER57" i="2"/>
  <c r="DV57" i="2"/>
  <c r="DZ57" i="2"/>
  <c r="EA57" i="2"/>
  <c r="ET57" i="2" s="1"/>
  <c r="EL57" i="2"/>
  <c r="EB113" i="2"/>
  <c r="EE113" i="2"/>
  <c r="ED113" i="2"/>
  <c r="EV113" i="2"/>
  <c r="EN113" i="2"/>
  <c r="EQ113" i="2"/>
  <c r="DW113" i="2"/>
  <c r="EC113" i="2"/>
  <c r="DV113" i="2"/>
  <c r="EJ113" i="2"/>
  <c r="EF113" i="2"/>
  <c r="ES113" i="2"/>
  <c r="EU113" i="2" s="1"/>
  <c r="DU113" i="2"/>
  <c r="DX113" i="2"/>
  <c r="DY113" i="2" s="1"/>
  <c r="EO113" i="2"/>
  <c r="EA113" i="2"/>
  <c r="ET113" i="2" s="1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V33" i="2"/>
  <c r="EF33" i="2"/>
  <c r="EA33" i="2"/>
  <c r="ET33" i="2" s="1"/>
  <c r="EP33" i="2"/>
  <c r="DW33" i="2"/>
  <c r="EH33" i="2"/>
  <c r="EI33" i="2"/>
  <c r="EO33" i="2"/>
  <c r="ES33" i="2"/>
  <c r="EU33" i="2" s="1"/>
  <c r="DU33" i="2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DZ170" i="2"/>
  <c r="EP170" i="2"/>
  <c r="EM170" i="2"/>
  <c r="EF170" i="2"/>
  <c r="DU170" i="2"/>
  <c r="EV170" i="2"/>
  <c r="EC170" i="2"/>
  <c r="EE170" i="2"/>
  <c r="ER170" i="2"/>
  <c r="EG170" i="2"/>
  <c r="EQ170" i="2"/>
  <c r="ED56" i="2"/>
  <c r="EB56" i="2"/>
  <c r="EV56" i="2"/>
  <c r="EK56" i="2"/>
  <c r="EC56" i="2"/>
  <c r="DX56" i="2"/>
  <c r="DY56" i="2" s="1"/>
  <c r="EG56" i="2"/>
  <c r="DZ56" i="2"/>
  <c r="ER156" i="2"/>
  <c r="EV156" i="2"/>
  <c r="EN156" i="2"/>
  <c r="DW156" i="2"/>
  <c r="EQ156" i="2"/>
  <c r="EL156" i="2"/>
  <c r="EM156" i="2"/>
  <c r="EE156" i="2"/>
  <c r="DU156" i="2"/>
  <c r="DX140" i="2"/>
  <c r="DY140" i="2" s="1"/>
  <c r="EI140" i="2"/>
  <c r="EC140" i="2"/>
  <c r="DV140" i="2"/>
  <c r="EL140" i="2"/>
  <c r="EH140" i="2"/>
  <c r="EF140" i="2"/>
  <c r="EV140" i="2"/>
  <c r="EN140" i="2"/>
  <c r="ES140" i="2"/>
  <c r="EU140" i="2" s="1"/>
  <c r="EE140" i="2"/>
  <c r="EO140" i="2"/>
  <c r="ED140" i="2"/>
  <c r="EQ140" i="2"/>
  <c r="EJ140" i="2"/>
  <c r="EG140" i="2"/>
  <c r="EK140" i="2"/>
  <c r="DU140" i="2"/>
  <c r="EB140" i="2"/>
  <c r="DW140" i="2"/>
  <c r="DZ140" i="2"/>
  <c r="EP140" i="2"/>
  <c r="EG118" i="2"/>
  <c r="EI118" i="2"/>
  <c r="ED118" i="2"/>
  <c r="DW118" i="2"/>
  <c r="EB118" i="2"/>
  <c r="EN118" i="2"/>
  <c r="EO118" i="2"/>
  <c r="DV118" i="2"/>
  <c r="EL118" i="2"/>
  <c r="EL102" i="2"/>
  <c r="EK102" i="2"/>
  <c r="EI102" i="2"/>
  <c r="ER102" i="2"/>
  <c r="ES102" i="2"/>
  <c r="EU102" i="2" s="1"/>
  <c r="EH102" i="2"/>
  <c r="EN102" i="2"/>
  <c r="DW102" i="2"/>
  <c r="ED102" i="2"/>
  <c r="EP102" i="2"/>
  <c r="EB102" i="2"/>
  <c r="EG102" i="2"/>
  <c r="EV102" i="2"/>
  <c r="EQ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L2" i="9" s="1"/>
  <c r="M176" i="9"/>
  <c r="L168" i="9"/>
  <c r="I199" i="9"/>
  <c r="DT3" i="2"/>
  <c r="DV3" i="2" s="1"/>
  <c r="DT5" i="2"/>
  <c r="I29" i="8"/>
  <c r="CB20" i="2"/>
  <c r="BX29" i="2" s="1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L8" i="9" l="1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F13" i="2"/>
  <c r="EO13" i="2"/>
  <c r="EA13" i="2"/>
  <c r="ET13" i="2" s="1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Y20" i="2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M2" i="9" s="1"/>
  <c r="DV7" i="2"/>
  <c r="N2" i="9" s="1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O8" i="9" l="1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P2" i="9" s="1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BM2" i="2" l="1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7" i="2" l="1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Q2" i="9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CT11" i="2" l="1"/>
  <c r="CT19" i="2" s="1"/>
  <c r="BM3" i="2"/>
  <c r="BM16" i="2" s="1"/>
  <c r="B22" i="5" s="1"/>
  <c r="EI7" i="2"/>
  <c r="EO7" i="2"/>
  <c r="R2" i="9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CT12" i="2"/>
  <c r="B24" i="5"/>
  <c r="B23" i="5"/>
  <c r="BB8" i="2"/>
  <c r="CT5" i="2"/>
  <c r="B18" i="5" s="1"/>
  <c r="BB5" i="2" s="1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5" i="2" l="1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ER7" i="2" s="1"/>
  <c r="R5" i="9"/>
  <c r="Q34" i="9"/>
  <c r="Q5" i="9"/>
  <c r="A20" i="2"/>
  <c r="AL20" i="2"/>
  <c r="A24" i="1"/>
  <c r="GW14" i="2"/>
  <c r="GW12" i="2"/>
  <c r="GW13" i="2" s="1"/>
  <c r="GW10" i="2"/>
  <c r="AA36" i="8"/>
  <c r="AA37" i="8" s="1"/>
  <c r="EY3" i="2" l="1"/>
  <c r="ER2" i="2"/>
  <c r="EY31" i="2" s="1"/>
  <c r="EY2" i="2"/>
  <c r="EV7" i="2" s="1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U4" i="2" l="1"/>
  <c r="EY4" i="2"/>
  <c r="EY11" i="2" s="1"/>
  <c r="B12" i="9" s="1"/>
  <c r="EY7" i="2"/>
  <c r="EY14" i="2" s="1"/>
  <c r="R16" i="9" s="1"/>
  <c r="EY6" i="2"/>
  <c r="EY13" i="2" s="1"/>
  <c r="EY5" i="2"/>
  <c r="EY12" i="2" s="1"/>
  <c r="EU2" i="2"/>
  <c r="EV2" i="2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Q15" i="9" l="1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7" i="2"/>
  <c r="EY24" i="2"/>
  <c r="B11" i="9"/>
  <c r="EY29" i="2"/>
  <c r="B13" i="9"/>
  <c r="EY28" i="2"/>
  <c r="Q7" i="9"/>
  <c r="Q6" i="9"/>
  <c r="B14" i="9"/>
  <c r="EY30" i="2"/>
  <c r="B15" i="9"/>
  <c r="R6" i="9"/>
  <c r="A27" i="1"/>
  <c r="A23" i="2"/>
  <c r="AL23" i="2"/>
  <c r="GW21" i="2"/>
  <c r="L39" i="8" l="1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AJ13" i="2" s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L32" i="2" l="1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AK23" i="2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I2" i="5"/>
  <c r="H23" i="5"/>
  <c r="G2" i="5"/>
  <c r="E25" i="5"/>
  <c r="F2" i="5"/>
  <c r="I16" i="5"/>
  <c r="G19" i="5"/>
  <c r="I24" i="5"/>
  <c r="E17" i="5"/>
  <c r="H2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E14" i="5" l="1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<sst xmlns="http://schemas.openxmlformats.org/spreadsheetml/2006/main" count="886" uniqueCount="361">
  <si>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</si>
  <si>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</si>
  <si>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</si>
  <si>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</si>
  <si>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</si>
  <si>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</si>
  <si>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</si>
  <si>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</si>
  <si>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</si>
  <si>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</si>
  <si>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</si>
  <si>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</si>
  <si>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Yeh et al.</t>
  </si>
  <si>
    <t>Yes</t>
  </si>
  <si>
    <t>English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</si>
  <si>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</si>
  <si>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</si>
  <si>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</si>
  <si>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</si>
  <si>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</si>
  <si>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</si>
  <si>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</si>
  <si>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Zhang(2022)_audio_Eng_IE_DA</t>
  </si>
  <si>
    <t>No</t>
  </si>
  <si>
    <t>Zhang(2022)_audio_Eng_MELD_DAG</t>
  </si>
  <si>
    <t>Hsu et al.</t>
  </si>
  <si>
    <t>Non-English</t>
  </si>
  <si>
    <t>Xie (2021)_audio_Eng_MELD_WaveRNN</t>
  </si>
  <si>
    <t>Chein et al.</t>
  </si>
  <si>
    <t>Mustaqim et al. (A)</t>
  </si>
  <si>
    <t>Yildirim et al.</t>
  </si>
  <si>
    <t>Mustaqim et al. (B)</t>
  </si>
  <si>
    <t>Andayani(2022)_audio_ENG_RAVDESS_LSTM_Transformer</t>
  </si>
  <si>
    <t>Jamil(2017)_audio_Malay_Custom_RF</t>
  </si>
  <si>
    <t>Malay</t>
  </si>
  <si>
    <t>Van et al.</t>
  </si>
  <si>
    <t>Liu et al 2021_audio_ENG_IE_BiLSTM_GCN</t>
  </si>
  <si>
    <t>Galanis et al.</t>
  </si>
  <si>
    <t>Do not include (see summary table Ioannis, last entry)</t>
  </si>
  <si>
    <t>Added June2023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</si>
  <si>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</si>
  <si>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</si>
  <si>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</si>
  <si>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</si>
  <si>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</si>
  <si>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</si>
  <si>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</si>
  <si>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</si>
  <si>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</si>
  <si>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</si>
  <si>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</si>
  <si>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</si>
  <si>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</si>
  <si>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</si>
  <si>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</si>
  <si>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</si>
  <si>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</si>
  <si>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</si>
  <si>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</si>
  <si>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</si>
  <si>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</si>
  <si>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</si>
  <si>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</si>
  <si>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</si>
  <si>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</si>
  <si>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</si>
  <si>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</si>
  <si>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</si>
  <si>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</si>
  <si>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</si>
  <si>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</si>
  <si>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</si>
  <si>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</si>
  <si>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</si>
  <si>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</si>
  <si>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</si>
  <si>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</si>
  <si>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</si>
  <si>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</si>
  <si>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</si>
  <si>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</si>
  <si>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</si>
  <si>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</si>
  <si>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</si>
  <si>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</si>
  <si>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</si>
  <si>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</si>
  <si>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</si>
  <si>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</si>
  <si>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</si>
  <si>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</si>
  <si>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</si>
  <si>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</si>
  <si>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</si>
  <si>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</si>
  <si>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</si>
  <si>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</si>
  <si>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</si>
  <si>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</si>
  <si>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</si>
  <si>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</si>
  <si>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</si>
  <si>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</si>
  <si>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</si>
  <si>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</si>
  <si>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</si>
  <si>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</si>
  <si>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</si>
  <si>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</si>
  <si>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</si>
  <si>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</si>
  <si>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</si>
  <si>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</si>
  <si>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</si>
  <si>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</si>
  <si>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</si>
  <si>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</si>
  <si>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</si>
  <si>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</si>
  <si>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</si>
  <si>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</si>
  <si>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</si>
  <si>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</si>
  <si>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</si>
  <si>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</si>
  <si>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</si>
  <si>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</si>
  <si>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</si>
  <si>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</si>
  <si>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</si>
  <si>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</si>
  <si>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</si>
  <si>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</si>
  <si>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</si>
  <si>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</si>
  <si>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</si>
  <si>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</si>
  <si>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</si>
  <si>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</si>
  <si>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</si>
  <si>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</si>
  <si>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</si>
  <si>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</si>
  <si>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</si>
  <si>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</si>
  <si>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</si>
  <si>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</si>
  <si>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</si>
  <si>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</si>
  <si>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</si>
  <si>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</si>
  <si>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</si>
  <si>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</si>
  <si>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</si>
  <si>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</si>
  <si>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</si>
  <si>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</si>
  <si>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</si>
  <si>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</si>
  <si>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</si>
  <si>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</si>
  <si>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</si>
  <si>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</si>
  <si>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</si>
  <si>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</si>
  <si>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</si>
  <si>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</si>
  <si>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</si>
  <si>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</si>
  <si>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</si>
  <si>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</si>
  <si>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</si>
  <si>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</si>
  <si>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</si>
  <si>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</si>
  <si>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</si>
  <si>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</si>
  <si>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</si>
  <si>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</si>
  <si>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</si>
  <si>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</si>
  <si>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</si>
  <si>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</si>
  <si>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</si>
  <si>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</si>
  <si>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</si>
  <si>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</si>
  <si>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</si>
  <si>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</si>
  <si>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</si>
  <si>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</si>
  <si>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</si>
  <si>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</si>
  <si>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</si>
  <si>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</si>
  <si>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</si>
  <si>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</si>
  <si>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</si>
  <si>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</si>
  <si>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</si>
  <si>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</si>
  <si>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</si>
  <si>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</si>
  <si>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</si>
  <si>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</si>
  <si>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</si>
  <si>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</si>
  <si>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</si>
  <si>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</si>
  <si>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</si>
  <si>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</si>
  <si>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</si>
  <si>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</si>
  <si>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</si>
  <si>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</si>
  <si>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</si>
  <si>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</si>
  <si>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</si>
  <si>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</si>
  <si>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</si>
  <si>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</si>
  <si>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</si>
  <si>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</si>
  <si>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</si>
  <si>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</si>
  <si>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</si>
  <si>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</si>
  <si>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</si>
  <si>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</si>
  <si>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</si>
  <si>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</si>
  <si>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</si>
  <si>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</si>
  <si>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</si>
  <si>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</si>
  <si>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</si>
  <si>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</si>
  <si>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</si>
  <si>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</si>
  <si>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</si>
  <si>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</si>
  <si>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</si>
  <si>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</si>
  <si>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</si>
  <si>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</si>
  <si>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</si>
  <si>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</si>
  <si>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</si>
  <si>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</si>
  <si>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</si>
  <si>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</si>
  <si>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</si>
  <si>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</si>
  <si>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</si>
  <si>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</si>
  <si>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</si>
  <si>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</si>
  <si>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</si>
  <si>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</si>
  <si>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</si>
  <si>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</si>
  <si>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</si>
  <si>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</si>
  <si>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</si>
  <si>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</si>
  <si>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</si>
  <si>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</si>
  <si>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</si>
  <si>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</si>
  <si>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</si>
  <si>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</si>
  <si>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</si>
  <si>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</si>
  <si>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</si>
  <si>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</si>
  <si>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</si>
  <si>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</si>
  <si>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</si>
  <si>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</si>
  <si>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</si>
  <si>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</si>
  <si>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</si>
  <si>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</si>
  <si>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</si>
  <si>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</si>
  <si>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</si>
  <si>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</si>
  <si>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</si>
  <si>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</si>
  <si>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</si>
  <si>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</si>
  <si>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</si>
  <si>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</si>
  <si>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</si>
  <si>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</si>
  <si>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</si>
  <si>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</si>
  <si>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</si>
  <si>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</si>
  <si>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</si>
  <si>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</si>
  <si>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</si>
  <si>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</si>
  <si>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</si>
  <si>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</si>
  <si>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</si>
  <si>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</si>
  <si>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</si>
  <si>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</si>
  <si>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</si>
  <si>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</si>
  <si>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</si>
  <si>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</si>
  <si>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</si>
  <si>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</si>
  <si>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</si>
  <si>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</si>
  <si>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</si>
  <si>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</si>
  <si>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</si>
  <si>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</si>
  <si>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</si>
  <si>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</si>
  <si>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</si>
  <si>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</si>
  <si>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</si>
  <si>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</si>
  <si>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</si>
  <si>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</si>
  <si>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</si>
  <si>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</si>
  <si>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</si>
  <si>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</si>
  <si>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</si>
  <si>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</si>
  <si>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</si>
  <si>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</si>
  <si>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</si>
  <si>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</si>
  <si>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</si>
  <si>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</si>
  <si>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</si>
  <si>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</si>
  <si>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</si>
  <si>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</si>
  <si>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</si>
  <si>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</si>
  <si>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</si>
  <si>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</si>
  <si>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</si>
  <si>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</si>
  <si>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</si>
  <si>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</si>
  <si>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</si>
  <si>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Yeh et al.(2020)</t>
  </si>
  <si>
    <t>Zhang et al.(2022)</t>
  </si>
  <si>
    <t>Hsu et al.(2021)</t>
  </si>
  <si>
    <t>Chein et al.(2022)</t>
  </si>
  <si>
    <t>Mustaqim et al.(2020)</t>
  </si>
  <si>
    <t>Yildirim et al.(2020)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</si>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</sst>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3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13" fillId="39" borderId="0" xfId="10" applyNumberFormat="1" applyFill="1">
      <protection locked="0"/>
    </xf>
    <xf numFmtId="49" fontId="26" fillId="40" borderId="0" xfId="10" applyNumberFormat="1" applyFont="1" applyFill="1">
      <protection locked="0"/>
    </xf>
    <xf numFmtId="0" fontId="26" fillId="40" borderId="0" xfId="10" applyFont="1" applyFill="1">
      <protection locked="0"/>
    </xf>
    <xf numFmtId="1" fontId="26" fillId="40" borderId="0" xfId="10" applyNumberFormat="1" applyFont="1" applyFill="1">
      <protection locked="0"/>
    </xf>
    <xf numFmtId="2" fontId="26" fillId="40" borderId="0" xfId="12" applyFont="1" applyFill="1"/>
    <xf numFmtId="0" fontId="26" fillId="40" borderId="0" xfId="0" applyFont="1" applyFill="1"/>
    <xf numFmtId="1" fontId="26" fillId="40" borderId="0" xfId="0" applyNumberFormat="1" applyFont="1" applyFill="1"/>
    <xf numFmtId="49" fontId="13" fillId="40" borderId="0" xfId="10" applyNumberFormat="1" applyFill="1">
      <protection locked="0"/>
    </xf>
    <xf numFmtId="0" fontId="13" fillId="39" borderId="0" xfId="10" applyFill="1">
      <protection locked="0"/>
    </xf>
    <xf numFmtId="1" fontId="13" fillId="39" borderId="0" xfId="10" applyNumberFormat="1" applyFill="1">
      <protection locked="0"/>
    </xf>
    <xf numFmtId="2" fontId="13" fillId="39" borderId="0" xfId="12" applyFill="1"/>
    <xf numFmtId="0" fontId="0" fillId="39" borderId="0" xfId="0" applyFill="1"/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0.14696833836959786</c:v>
                </c:pt>
                <c:pt idx="1">
                  <c:v>0.115921438830144</c:v>
                </c:pt>
                <c:pt idx="2">
                  <c:v>0.14262738330046773</c:v>
                </c:pt>
                <c:pt idx="3">
                  <c:v>0.15453859162601982</c:v>
                </c:pt>
                <c:pt idx="4">
                  <c:v>0.13855552165763022</c:v>
                </c:pt>
                <c:pt idx="5">
                  <c:v>0.15154417774287643</c:v>
                </c:pt>
                <c:pt idx="6">
                  <c:v>0.14984454847326401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0.31710203975874929</c:v>
                  </c:pt>
                  <c:pt idx="1">
                    <c:v>0.15703011844525727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0.2890020738646899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0.18740212601227213</c:v>
                  </c:pt>
                  <c:pt idx="9">
                    <c:v>0.24876024061114799</c:v>
                  </c:pt>
                  <c:pt idx="10">
                    <c:v>0.20977556027682465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0.23571783271047142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0.2263410967890529</c:v>
                  </c:pt>
                  <c:pt idx="1">
                    <c:v>0.10123914668947165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0.20361010027815202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0.13676433964267704</c:v>
                  </c:pt>
                  <c:pt idx="9">
                    <c:v>0.17307464094100089</c:v>
                  </c:pt>
                  <c:pt idx="10">
                    <c:v>0.15176868725036474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0.16968880190979252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0.79079415797833941</c:v>
                </c:pt>
                <c:pt idx="1">
                  <c:v>0.28494924350006334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0.68910154864321094</c:v>
                </c:pt>
                <c:pt idx="6">
                  <c:v>#N/A</c:v>
                </c:pt>
                <c:pt idx="7">
                  <c:v>#N/A</c:v>
                </c:pt>
                <c:pt idx="8">
                  <c:v>0.50614234644133904</c:v>
                </c:pt>
                <c:pt idx="9">
                  <c:v>0.56885443878108499</c:v>
                </c:pt>
                <c:pt idx="10">
                  <c:v>0.5488549845791677</c:v>
                </c:pt>
                <c:pt idx="11">
                  <c:v>#N/A</c:v>
                </c:pt>
                <c:pt idx="12">
                  <c:v>#N/A</c:v>
                </c:pt>
                <c:pt idx="13">
                  <c:v>0.60577409870146903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0.14696833836959786</c:v>
                </c:pt>
                <c:pt idx="1">
                  <c:v>0.115921438830144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0.14262738330046773</c:v>
                </c:pt>
                <c:pt idx="6">
                  <c:v>0</c:v>
                </c:pt>
                <c:pt idx="7">
                  <c:v>0</c:v>
                </c:pt>
                <c:pt idx="8">
                  <c:v>0.15453859162601982</c:v>
                </c:pt>
                <c:pt idx="9">
                  <c:v>0.13855552165763022</c:v>
                </c:pt>
                <c:pt idx="10">
                  <c:v>0.15154417774287643</c:v>
                </c:pt>
                <c:pt idx="11">
                  <c:v>0</c:v>
                </c:pt>
                <c:pt idx="12">
                  <c:v>0</c:v>
                </c:pt>
                <c:pt idx="13">
                  <c:v>0.14984454847326401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0.46053366842327548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0.25239745689981224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0.55846854267198309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0.15453859162601982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0.18122541718151997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0.13682509270256871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0.55846854267198309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0.15453859162601982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0.31710203975874929</c:v>
                  </c:pt>
                  <c:pt idx="1">
                    <c:v>0.15703011844525727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0.2890020738646899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0.18740212601227213</c:v>
                  </c:pt>
                  <c:pt idx="9">
                    <c:v>0.24876024061114799</c:v>
                  </c:pt>
                  <c:pt idx="10">
                    <c:v>0.20977556027682465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0.23571783271047142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0.2263410967890529</c:v>
                  </c:pt>
                  <c:pt idx="1">
                    <c:v>0.10123914668947165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0.20361010027815202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0.13676433964267704</c:v>
                  </c:pt>
                  <c:pt idx="9">
                    <c:v>0.17307464094100089</c:v>
                  </c:pt>
                  <c:pt idx="10">
                    <c:v>0.15176868725036474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0.16968880190979252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0.79079415797833941</c:v>
                </c:pt>
                <c:pt idx="1">
                  <c:v>0.28494924350006334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0.68910154864321094</c:v>
                </c:pt>
                <c:pt idx="6">
                  <c:v>#N/A</c:v>
                </c:pt>
                <c:pt idx="7">
                  <c:v>#N/A</c:v>
                </c:pt>
                <c:pt idx="8">
                  <c:v>0.50614234644133904</c:v>
                </c:pt>
                <c:pt idx="9">
                  <c:v>0.56885443878108499</c:v>
                </c:pt>
                <c:pt idx="10">
                  <c:v>0.5488549845791677</c:v>
                </c:pt>
                <c:pt idx="11">
                  <c:v>#N/A</c:v>
                </c:pt>
                <c:pt idx="12">
                  <c:v>#N/A</c:v>
                </c:pt>
                <c:pt idx="13">
                  <c:v>0.60577409870146903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0.14696833836959786</c:v>
                </c:pt>
                <c:pt idx="1">
                  <c:v>0.115921438830144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0.14262738330046773</c:v>
                </c:pt>
                <c:pt idx="6">
                  <c:v>0</c:v>
                </c:pt>
                <c:pt idx="7">
                  <c:v>0</c:v>
                </c:pt>
                <c:pt idx="8">
                  <c:v>0.15453859162601982</c:v>
                </c:pt>
                <c:pt idx="9">
                  <c:v>0.13855552165763022</c:v>
                </c:pt>
                <c:pt idx="10">
                  <c:v>0.15154417774287643</c:v>
                </c:pt>
                <c:pt idx="11">
                  <c:v>0</c:v>
                </c:pt>
                <c:pt idx="12">
                  <c:v>0</c:v>
                </c:pt>
                <c:pt idx="13">
                  <c:v>0.14984454847326401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0.46053366842327548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0.25239745689981224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0.55846854267198309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0.15453859162601982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0.18122541718151997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0.13682509270256871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0.55846854267198309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0.15453859162601982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0.31710201817479089</c:v>
                  </c:pt>
                  <c:pt idx="1">
                    <c:v>0.15703011662268862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0.28900206207758694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0.18740211736226819</c:v>
                  </c:pt>
                  <c:pt idx="9">
                    <c:v>0.24876022886728544</c:v>
                  </c:pt>
                  <c:pt idx="10">
                    <c:v>0.20977555055423325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0.23571781776645073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0.22634108579241641</c:v>
                  </c:pt>
                  <c:pt idx="1">
                    <c:v>0.10123914593191533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0.20361009442750633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0.13676433503573199</c:v>
                  </c:pt>
                  <c:pt idx="9">
                    <c:v>0.17307463525619143</c:v>
                  </c:pt>
                  <c:pt idx="10">
                    <c:v>0.15176868216131589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0.16968879416537141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0.79079415797833941</c:v>
                </c:pt>
                <c:pt idx="1">
                  <c:v>0.28494924350006334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0.68910154864321094</c:v>
                </c:pt>
                <c:pt idx="6">
                  <c:v>#N/A</c:v>
                </c:pt>
                <c:pt idx="7">
                  <c:v>#N/A</c:v>
                </c:pt>
                <c:pt idx="8">
                  <c:v>0.50614234644133904</c:v>
                </c:pt>
                <c:pt idx="9">
                  <c:v>0.56885443878108499</c:v>
                </c:pt>
                <c:pt idx="10">
                  <c:v>0.5488549845791677</c:v>
                </c:pt>
                <c:pt idx="11">
                  <c:v>#N/A</c:v>
                </c:pt>
                <c:pt idx="12">
                  <c:v>#N/A</c:v>
                </c:pt>
                <c:pt idx="13">
                  <c:v>0.60577409870146903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9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#N/A</c:v>
                </c:pt>
                <c:pt idx="12">
                  <c:v>#N/A</c:v>
                </c:pt>
                <c:pt idx="13">
                  <c:v>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0.17112374037957184</c:v>
                </c:pt>
                <c:pt idx="1">
                  <c:v>0.13743431114280538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0.17915621471272949</c:v>
                </c:pt>
                <c:pt idx="9">
                  <c:v>0.16211459264590064</c:v>
                </c:pt>
                <c:pt idx="10">
                  <c:v>0.17598733005363804</c:v>
                </c:pt>
                <c:pt idx="11">
                  <c:v>0</c:v>
                </c:pt>
                <c:pt idx="12">
                  <c:v>0</c:v>
                </c:pt>
                <c:pt idx="13">
                  <c:v>0.17418381106535466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0.31710201817479089</c:v>
                  </c:pt>
                  <c:pt idx="1">
                    <c:v>0.15703011662268862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0.28900206207758694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0.18740211736226819</c:v>
                  </c:pt>
                  <c:pt idx="9">
                    <c:v>0.24876022886728544</c:v>
                  </c:pt>
                  <c:pt idx="10">
                    <c:v>0.20977555055423325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0.23571781776645073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0.22634108579241641</c:v>
                  </c:pt>
                  <c:pt idx="1">
                    <c:v>0.10123914593191533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0.20361009442750633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0.13676433503573199</c:v>
                  </c:pt>
                  <c:pt idx="9">
                    <c:v>0.17307463525619143</c:v>
                  </c:pt>
                  <c:pt idx="10">
                    <c:v>0.15176868216131589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0.16968879416537141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0.79079415797833941</c:v>
                </c:pt>
                <c:pt idx="1">
                  <c:v>0.28494924350006334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0.68910154864321094</c:v>
                </c:pt>
                <c:pt idx="6">
                  <c:v>#N/A</c:v>
                </c:pt>
                <c:pt idx="7">
                  <c:v>#N/A</c:v>
                </c:pt>
                <c:pt idx="8">
                  <c:v>0.50614234644133904</c:v>
                </c:pt>
                <c:pt idx="9">
                  <c:v>0.56885443878108499</c:v>
                </c:pt>
                <c:pt idx="10">
                  <c:v>0.5488549845791677</c:v>
                </c:pt>
                <c:pt idx="11">
                  <c:v>#N/A</c:v>
                </c:pt>
                <c:pt idx="12">
                  <c:v>#N/A</c:v>
                </c:pt>
                <c:pt idx="13">
                  <c:v>0.60577409870146903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9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#N/A</c:v>
                </c:pt>
                <c:pt idx="12">
                  <c:v>#N/A</c:v>
                </c:pt>
                <c:pt idx="13">
                  <c:v>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0.17112374037957184</c:v>
                </c:pt>
                <c:pt idx="1">
                  <c:v>0.13743431114280538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0.17915621471272949</c:v>
                </c:pt>
                <c:pt idx="9">
                  <c:v>0.16211459264590064</c:v>
                </c:pt>
                <c:pt idx="10">
                  <c:v>0.17598733005363804</c:v>
                </c:pt>
                <c:pt idx="11">
                  <c:v>0</c:v>
                </c:pt>
                <c:pt idx="12">
                  <c:v>0</c:v>
                </c:pt>
                <c:pt idx="13">
                  <c:v>0.17418381106535466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3.4247828074988572E-2</c:v>
                </c:pt>
                <c:pt idx="1">
                  <c:v>1.5714833269451896E-2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2.6215895610913403E-2</c:v>
                </c:pt>
                <c:pt idx="6">
                  <c:v>#N/A</c:v>
                </c:pt>
                <c:pt idx="7">
                  <c:v>#N/A</c:v>
                </c:pt>
                <c:pt idx="8">
                  <c:v>4.1380887059899403E-2</c:v>
                </c:pt>
                <c:pt idx="9">
                  <c:v>2.9172382258802011E-2</c:v>
                </c:pt>
                <c:pt idx="10">
                  <c:v>3.7494284407864654E-2</c:v>
                </c:pt>
                <c:pt idx="11">
                  <c:v>#N/A</c:v>
                </c:pt>
                <c:pt idx="12">
                  <c:v>#N/A</c:v>
                </c:pt>
                <c:pt idx="13">
                  <c:v>4.0143609382479656E-2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2.7278428093645484E-2</c:v>
                </c:pt>
                <c:pt idx="1">
                  <c:v>4.5288197621225984E-3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1.8213866039952998E-2</c:v>
                </c:pt>
                <c:pt idx="6">
                  <c:v>#N/A</c:v>
                </c:pt>
                <c:pt idx="7">
                  <c:v>#N/A</c:v>
                </c:pt>
                <c:pt idx="8">
                  <c:v>2.1381578947368425E-2</c:v>
                </c:pt>
                <c:pt idx="9">
                  <c:v>1.6806220095693779E-2</c:v>
                </c:pt>
                <c:pt idx="10">
                  <c:v>2.0933014354066987E-2</c:v>
                </c:pt>
                <c:pt idx="11">
                  <c:v>#N/A</c:v>
                </c:pt>
                <c:pt idx="12">
                  <c:v>#N/A</c:v>
                </c:pt>
                <c:pt idx="13">
                  <c:v>2.4708994708994708E-2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33.806566887135737</c:v>
                </c:pt>
                <c:pt idx="1">
                  <c:v>19.941347837344622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31.331001475984724</c:v>
                </c:pt>
                <c:pt idx="6">
                  <c:v>0</c:v>
                </c:pt>
                <c:pt idx="7">
                  <c:v>0</c:v>
                </c:pt>
                <c:pt idx="8">
                  <c:v>38.732217114299523</c:v>
                </c:pt>
                <c:pt idx="9">
                  <c:v>29.203289772247032</c:v>
                </c:pt>
                <c:pt idx="10">
                  <c:v>36.681992851608989</c:v>
                </c:pt>
                <c:pt idx="11">
                  <c:v>0</c:v>
                </c:pt>
                <c:pt idx="12">
                  <c:v>0</c:v>
                </c:pt>
                <c:pt idx="13">
                  <c:v>35.579521062247046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4.1380887059899403E-2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4.1380887059899403E-2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4.1380887059899403E-2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2.3889965492757955E-2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6.2235212793321057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-3.5175357986315161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6.2235212793321057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-2.4469118511449688</c:v>
                </c:pt>
                <c:pt idx="1">
                  <c:v>-5.9644476497764849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6.2235212793321057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2.4469118511449688</c:v>
                </c:pt>
                <c:pt idx="1">
                  <c:v>-1.0706239474865473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5.8143414835332585</c:v>
                </c:pt>
                <c:pt idx="1">
                  <c:v>4.465573629148289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5.5974102472469109</c:v>
                </c:pt>
                <c:pt idx="6">
                  <c:v>#N/A</c:v>
                </c:pt>
                <c:pt idx="7">
                  <c:v>#N/A</c:v>
                </c:pt>
                <c:pt idx="8">
                  <c:v>6.2235212793321057</c:v>
                </c:pt>
                <c:pt idx="9">
                  <c:v>5.4040068257032239</c:v>
                </c:pt>
                <c:pt idx="10">
                  <c:v>6.0565660940510666</c:v>
                </c:pt>
                <c:pt idx="11">
                  <c:v>#N/A</c:v>
                </c:pt>
                <c:pt idx="12">
                  <c:v>#N/A</c:v>
                </c:pt>
                <c:pt idx="13">
                  <c:v>5.9648571703140592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-1.3647281343769895</c:v>
                </c:pt>
                <c:pt idx="1">
                  <c:v>-5.6062785461297544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-2.0842888088528162</c:v>
                </c:pt>
                <c:pt idx="6">
                  <c:v>#N/A</c:v>
                </c:pt>
                <c:pt idx="7">
                  <c:v>#N/A</c:v>
                </c:pt>
                <c:pt idx="8">
                  <c:v>-4.237827976708612</c:v>
                </c:pt>
                <c:pt idx="9">
                  <c:v>-3.0485661368987667</c:v>
                </c:pt>
                <c:pt idx="10">
                  <c:v>-3.6334612908494575</c:v>
                </c:pt>
                <c:pt idx="11">
                  <c:v>#N/A</c:v>
                </c:pt>
                <c:pt idx="12">
                  <c:v>#N/A</c:v>
                </c:pt>
                <c:pt idx="13">
                  <c:v>-2.9898735430799506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040389332556744E-2"/>
          <c:y val="7.4175064439814975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-0.23471757519609454</c:v>
                </c:pt>
                <c:pt idx="1">
                  <c:v>-1.2554442075561587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-0.37236663327973407</c:v>
                </c:pt>
                <c:pt idx="6">
                  <c:v>#N/A</c:v>
                </c:pt>
                <c:pt idx="7">
                  <c:v>#N/A</c:v>
                </c:pt>
                <c:pt idx="8">
                  <c:v>-0.68093733217915597</c:v>
                </c:pt>
                <c:pt idx="9">
                  <c:v>-0.56413069694856588</c:v>
                </c:pt>
                <c:pt idx="10">
                  <c:v>-0.59992101702949263</c:v>
                </c:pt>
                <c:pt idx="11">
                  <c:v>#N/A</c:v>
                </c:pt>
                <c:pt idx="12">
                  <c:v>#N/A</c:v>
                </c:pt>
                <c:pt idx="13">
                  <c:v>-0.50124813683049663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0.17198852231711717</c:v>
                </c:pt>
                <c:pt idx="1">
                  <c:v>0.2239353962215887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0.17865404818091554</c:v>
                </c:pt>
                <c:pt idx="6">
                  <c:v>#N/A</c:v>
                </c:pt>
                <c:pt idx="7">
                  <c:v>#N/A</c:v>
                </c:pt>
                <c:pt idx="8">
                  <c:v>0.16068073926587711</c:v>
                </c:pt>
                <c:pt idx="9">
                  <c:v>0.18504787877833037</c:v>
                </c:pt>
                <c:pt idx="10">
                  <c:v>0.1651100614558188</c:v>
                </c:pt>
                <c:pt idx="11">
                  <c:v>#N/A</c:v>
                </c:pt>
                <c:pt idx="12">
                  <c:v>#N/A</c:v>
                </c:pt>
                <c:pt idx="13">
                  <c:v>0.16764860774484369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-1.222740462404839</c:v>
                </c:pt>
                <c:pt idx="1">
                  <c:v>-0.56520025251829942</c:v>
                </c:pt>
                <c:pt idx="2">
                  <c:v>9.2339957368240189E-2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0.26872247546590644</c:v>
                </c:pt>
                <c:pt idx="1">
                  <c:v>0</c:v>
                </c:pt>
                <c:pt idx="2">
                  <c:v>0.26872247546590644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-0.56520025251829942</c:v>
                </c:pt>
                <c:pt idx="1">
                  <c:v>-0.56520025251829942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0.26872247546590644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0.55610653609621397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0.55610653609621397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-0.56520025251829942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0.2463289358437476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0.16302751998516729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0.16302751998516729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-0.56520025251829942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0.2463289358437476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0.55610653609621397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0.55610653609621397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-0.56520025251829942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0.26872247546590644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0.16302751998516729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0.16302751998516729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-0.56520025251829942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0.26872247546590644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1.3351777361189372</c:v>
                </c:pt>
                <c:pt idx="1">
                  <c:v>-1.3351777361189361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0.7478585947633023</c:v>
                </c:pt>
                <c:pt idx="6">
                  <c:v>#N/A</c:v>
                </c:pt>
                <c:pt idx="7">
                  <c:v>#N/A</c:v>
                </c:pt>
                <c:pt idx="8">
                  <c:v>-0.74785859476330196</c:v>
                </c:pt>
                <c:pt idx="9">
                  <c:v>0</c:v>
                </c:pt>
                <c:pt idx="10">
                  <c:v>-0.34875569551704472</c:v>
                </c:pt>
                <c:pt idx="11">
                  <c:v>#N/A</c:v>
                </c:pt>
                <c:pt idx="12">
                  <c:v>#N/A</c:v>
                </c:pt>
                <c:pt idx="13">
                  <c:v>0.34875569551704505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-1.3647281343769895</c:v>
                </c:pt>
                <c:pt idx="1">
                  <c:v>-5.6062785461297544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-2.0842888088528162</c:v>
                </c:pt>
                <c:pt idx="6">
                  <c:v>#N/A</c:v>
                </c:pt>
                <c:pt idx="7">
                  <c:v>#N/A</c:v>
                </c:pt>
                <c:pt idx="8">
                  <c:v>-4.237827976708612</c:v>
                </c:pt>
                <c:pt idx="9">
                  <c:v>-3.0485661368987667</c:v>
                </c:pt>
                <c:pt idx="10">
                  <c:v>-3.6334612908494575</c:v>
                </c:pt>
                <c:pt idx="11">
                  <c:v>#N/A</c:v>
                </c:pt>
                <c:pt idx="12">
                  <c:v>#N/A</c:v>
                </c:pt>
                <c:pt idx="13">
                  <c:v>-2.9898735430799506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-1.3351777361189361</c:v>
                </c:pt>
                <c:pt idx="1">
                  <c:v>1.3351777361189372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-5.3125748883254804</c:v>
                </c:pt>
                <c:pt idx="1">
                  <c:v>-1.2488606650734755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-1.3351777361189361</c:v>
                </c:pt>
                <c:pt idx="1">
                  <c:v>1.3351777361189372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-3.2807177766994786</c:v>
                </c:pt>
                <c:pt idx="1">
                  <c:v>-3.2807177766994786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-2.8</c:v>
                </c:pt>
                <c:pt idx="2">
                  <c:v>-2.8; -2</c:v>
                </c:pt>
                <c:pt idx="3">
                  <c:v>-2; -1.2</c:v>
                </c:pt>
                <c:pt idx="4">
                  <c:v>-1.2; -0.4</c:v>
                </c:pt>
                <c:pt idx="5">
                  <c:v>-0.4; 0.4</c:v>
                </c:pt>
                <c:pt idx="6">
                  <c:v>0.4; 1.2</c:v>
                </c:pt>
                <c:pt idx="7">
                  <c:v>1.2; 2</c:v>
                </c:pt>
                <c:pt idx="8">
                  <c:v>2; 2.8</c:v>
                </c:pt>
                <c:pt idx="9">
                  <c:v>2.8;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  <c:pt idx="4">
                  <c:v>0.14285714285714285</c:v>
                </c:pt>
                <c:pt idx="5">
                  <c:v>0.2857142857142857</c:v>
                </c:pt>
                <c:pt idx="6">
                  <c:v>0.2857142857142857</c:v>
                </c:pt>
                <c:pt idx="7">
                  <c:v>0</c:v>
                </c:pt>
                <c:pt idx="8">
                  <c:v>0.14285714285714285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-2.8</c:v>
                </c:pt>
                <c:pt idx="2">
                  <c:v>-2.8; -2</c:v>
                </c:pt>
                <c:pt idx="3">
                  <c:v>-2; -1.2</c:v>
                </c:pt>
                <c:pt idx="4">
                  <c:v>-1.2; -0.4</c:v>
                </c:pt>
                <c:pt idx="5">
                  <c:v>-0.4; 0.4</c:v>
                </c:pt>
                <c:pt idx="6">
                  <c:v>0.4; 1.2</c:v>
                </c:pt>
                <c:pt idx="7">
                  <c:v>1.2; 2</c:v>
                </c:pt>
                <c:pt idx="8">
                  <c:v>2; 2.8</c:v>
                </c:pt>
                <c:pt idx="9">
                  <c:v>2.8;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2.5551303304279312E-3</c:v>
                </c:pt>
                <c:pt idx="2">
                  <c:v>2.019500161775126E-2</c:v>
                </c:pt>
                <c:pt idx="3">
                  <c:v>9.2319538273529012E-2</c:v>
                </c:pt>
                <c:pt idx="4">
                  <c:v>0.22950858816796754</c:v>
                </c:pt>
                <c:pt idx="5">
                  <c:v>0.31084348322064853</c:v>
                </c:pt>
                <c:pt idx="6">
                  <c:v>0.22950858816796749</c:v>
                </c:pt>
                <c:pt idx="7">
                  <c:v>9.2319538273529012E-2</c:v>
                </c:pt>
                <c:pt idx="8">
                  <c:v>2.0195001617751229E-2</c:v>
                </c:pt>
                <c:pt idx="9">
                  <c:v>2.5551303304279793E-3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790575</xdr:colOff>
      <xdr:row>0</xdr:row>
      <xdr:rowOff>333375</xdr:rowOff>
    </xdr:from>
    <xdr:to>
      <xdr:col>13</xdr:col>
      <xdr:colOff>476250</xdr:colOff>
      <xdr:row>208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222250</xdr:colOff>
      <xdr:row>3</xdr:row>
      <xdr:rowOff>12699</xdr:rowOff>
    </xdr:from>
    <xdr:to>
      <xdr:col>11</xdr:col>
      <xdr:colOff>996950</xdr:colOff>
      <xdr:row>25</xdr:row>
      <xdr:rowOff>149224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zoomScaleNormal="100" workbookViewId="0">
      <pane ySplit="1" topLeftCell="A2" activePane="bottomLeft" state="frozen"/>
      <selection pane="bottomLeft" activeCell="C9" sqref="C9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12</v>
      </c>
      <c r="C2" s="5" t="s">
        <v>13</v>
      </c>
      <c r="D2" s="27">
        <v>65.25</v>
      </c>
      <c r="E2" s="27"/>
      <c r="F2" s="27">
        <v>74.900000000000006</v>
      </c>
      <c r="G2" s="27"/>
      <c r="H2" s="27">
        <v>2392</v>
      </c>
      <c r="I2" s="93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12</v>
      </c>
      <c r="C3" s="5" t="s">
        <v>13</v>
      </c>
      <c r="D3" s="27">
        <v>39.6</v>
      </c>
      <c r="E3" s="27"/>
      <c r="F3" s="27">
        <v>41</v>
      </c>
      <c r="G3" s="27"/>
      <c r="H3" s="27">
        <v>8744</v>
      </c>
      <c r="I3" s="27">
        <v>2609</v>
      </c>
      <c r="J3" s="3" t="str">
        <f t="shared" si="0"/>
        <v>Yes</v>
      </c>
      <c r="K3" s="5" t="s">
        <v>14</v>
      </c>
      <c r="L3" s="27"/>
      <c r="N3" s="2" t="s">
        <v>18</v>
      </c>
      <c r="O3" s="3" t="s">
        <v>3</v>
      </c>
      <c r="P3" s="3" t="s">
        <v>4</v>
      </c>
      <c r="Q3" s="3" t="s">
        <v>19</v>
      </c>
      <c r="S3" s="92"/>
      <c r="T3" s="92"/>
    </row>
    <row r="4" spans="1:20" ht="13" x14ac:dyDescent="0.35">
      <c r="A4" s="6" t="str">
        <f>IF(AND(Sufficient_data="Yes",Include_study?="Yes"),COUNT(A$2:A3)+1,"")</f>
        <v/>
      </c>
      <c r="B4" s="12" t="s">
        <v>12</v>
      </c>
      <c r="C4" s="5" t="s">
        <v>23</v>
      </c>
      <c r="D4" s="27">
        <v>62.6</v>
      </c>
      <c r="E4" s="27"/>
      <c r="F4" s="27">
        <v>73.349999999999994</v>
      </c>
      <c r="G4" s="27"/>
      <c r="H4" s="27">
        <v>2392</v>
      </c>
      <c r="I4" s="93">
        <v>2187</v>
      </c>
      <c r="J4" s="3" t="str">
        <f t="shared" si="0"/>
        <v>Yes</v>
      </c>
      <c r="K4" s="5" t="s">
        <v>14</v>
      </c>
      <c r="L4" s="27"/>
      <c r="N4" s="2" t="s">
        <v>20</v>
      </c>
      <c r="O4" s="3" t="s">
        <v>5</v>
      </c>
      <c r="P4" s="3" t="s">
        <v>6</v>
      </c>
      <c r="Q4" s="3" t="s">
        <v>21</v>
      </c>
      <c r="S4" s="92"/>
      <c r="T4" s="92"/>
    </row>
    <row r="5" spans="1:20" x14ac:dyDescent="0.3">
      <c r="A5" s="6" t="str">
        <f>IF(AND(Sufficient_data="Yes",Include_study?="Yes"),COUNT(A$2:A4)+1,"")</f>
        <v/>
      </c>
      <c r="B5" s="113" t="s">
        <v>22</v>
      </c>
      <c r="C5" s="5" t="s">
        <v>23</v>
      </c>
      <c r="D5" s="27">
        <v>61.6</v>
      </c>
      <c r="E5" s="27"/>
      <c r="F5" s="27">
        <v>72.099999999999994</v>
      </c>
      <c r="G5" s="95"/>
      <c r="H5" s="94">
        <v>3397</v>
      </c>
      <c r="I5" s="27">
        <v>4036</v>
      </c>
      <c r="J5" s="3" t="str">
        <f t="shared" si="0"/>
        <v>Yes</v>
      </c>
      <c r="K5" s="5" t="s">
        <v>14</v>
      </c>
      <c r="L5" s="27"/>
      <c r="S5" s="92"/>
      <c r="T5" s="92"/>
    </row>
    <row r="6" spans="1:20" x14ac:dyDescent="0.3">
      <c r="A6" s="6" t="str">
        <f>IF(AND(Sufficient_data="Yes",Include_study?="Yes"),COUNT(A$2:A5)+1,"")</f>
        <v/>
      </c>
      <c r="B6" s="113" t="s">
        <v>24</v>
      </c>
      <c r="C6" s="5" t="s">
        <v>23</v>
      </c>
      <c r="D6" s="27">
        <v>71.099999999999994</v>
      </c>
      <c r="E6" s="27"/>
      <c r="F6" s="27">
        <v>27.9</v>
      </c>
      <c r="G6" s="27"/>
      <c r="H6" s="27">
        <v>10380</v>
      </c>
      <c r="I6" s="93">
        <v>3328</v>
      </c>
      <c r="J6" s="3" t="str">
        <f t="shared" si="0"/>
        <v>Yes</v>
      </c>
      <c r="K6" s="5" t="s">
        <v>14</v>
      </c>
      <c r="L6" s="27"/>
      <c r="S6" s="92"/>
      <c r="T6" s="92"/>
    </row>
    <row r="7" spans="1:20" x14ac:dyDescent="0.3">
      <c r="A7" s="6">
        <f>IF(AND(Sufficient_data="Yes",Include_study?="Yes"),COUNT(A$2:A6)+1,"")</f>
        <v>3</v>
      </c>
      <c r="B7" s="94" t="s">
        <v>25</v>
      </c>
      <c r="C7" s="5" t="s">
        <v>13</v>
      </c>
      <c r="D7" s="27">
        <f>0.62*100</f>
        <v>62</v>
      </c>
      <c r="E7" s="27"/>
      <c r="F7" s="27">
        <f>0.663*100</f>
        <v>66.3</v>
      </c>
      <c r="G7" s="27"/>
      <c r="H7" s="27">
        <v>3404</v>
      </c>
      <c r="I7" s="27">
        <v>2529</v>
      </c>
      <c r="J7" s="3" t="str">
        <f t="shared" si="0"/>
        <v>Yes</v>
      </c>
      <c r="K7" s="5" t="s">
        <v>26</v>
      </c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 t="s">
        <v>27</v>
      </c>
      <c r="C8" s="5" t="s">
        <v>23</v>
      </c>
      <c r="D8" s="27">
        <v>33.799999999999997</v>
      </c>
      <c r="E8" s="27"/>
      <c r="F8" s="27">
        <v>0.22500000000000001</v>
      </c>
      <c r="G8" s="27"/>
      <c r="H8" s="27">
        <v>10380</v>
      </c>
      <c r="I8" s="27">
        <v>3328</v>
      </c>
      <c r="J8" s="3" t="str">
        <f t="shared" si="0"/>
        <v>Yes</v>
      </c>
      <c r="K8" s="5" t="s">
        <v>14</v>
      </c>
      <c r="L8" s="27"/>
      <c r="S8" s="92"/>
      <c r="T8" s="92"/>
    </row>
    <row r="9" spans="1:20" x14ac:dyDescent="0.3">
      <c r="A9" s="6" t="str">
        <f>IF(AND(Sufficient_data="Yes",Include_study?="Yes"),COUNT(A$2:A8)+1,"")</f>
        <v/>
      </c>
      <c r="B9" s="12" t="s">
        <v>28</v>
      </c>
      <c r="C9" s="5" t="s">
        <v>23</v>
      </c>
      <c r="D9" s="27">
        <v>63.28</v>
      </c>
      <c r="E9" s="27"/>
      <c r="F9" s="27">
        <v>68.540000000000006</v>
      </c>
      <c r="G9" s="27"/>
      <c r="H9" s="27">
        <v>2229</v>
      </c>
      <c r="I9" s="27">
        <v>568</v>
      </c>
      <c r="J9" s="3" t="str">
        <f t="shared" si="0"/>
        <v>Yes</v>
      </c>
      <c r="K9" s="5" t="s">
        <v>14</v>
      </c>
      <c r="L9" s="27"/>
      <c r="S9" s="92"/>
      <c r="T9" s="92"/>
    </row>
    <row r="10" spans="1:20" x14ac:dyDescent="0.3">
      <c r="A10" s="6">
        <f>IF(AND(Sufficient_data="Yes",Include_study?="Yes"),COUNT(A$2:A9)+1,"")</f>
        <v>4</v>
      </c>
      <c r="B10" s="12" t="s">
        <v>29</v>
      </c>
      <c r="C10" s="5" t="s">
        <v>13</v>
      </c>
      <c r="D10" s="27">
        <f>((0.64+0.79)/2)*100</f>
        <v>71.500000000000014</v>
      </c>
      <c r="E10" s="27"/>
      <c r="F10" s="27">
        <f>((0.92+0.89)/2)*100</f>
        <v>90.5</v>
      </c>
      <c r="G10" s="27"/>
      <c r="H10" s="27">
        <f>1708+1636</f>
        <v>3344</v>
      </c>
      <c r="I10" s="27">
        <f>1103+1084</f>
        <v>2187</v>
      </c>
      <c r="J10" s="3" t="str">
        <f t="shared" si="0"/>
        <v>Yes</v>
      </c>
      <c r="K10" s="5" t="s">
        <v>14</v>
      </c>
      <c r="L10" s="27"/>
      <c r="S10" s="92"/>
      <c r="T10" s="92"/>
    </row>
    <row r="11" spans="1:20" x14ac:dyDescent="0.3">
      <c r="A11" s="6">
        <f>IF(AND(Sufficient_data="Yes",Include_study?="Yes"),COUNT(A$2:A10)+1,"")</f>
        <v>5</v>
      </c>
      <c r="B11" s="12" t="s">
        <v>30</v>
      </c>
      <c r="C11" s="5" t="s">
        <v>13</v>
      </c>
      <c r="D11" s="27">
        <v>56.2</v>
      </c>
      <c r="E11" s="27"/>
      <c r="F11" s="27">
        <f>63.8</f>
        <v>63.8</v>
      </c>
      <c r="G11" s="27"/>
      <c r="H11" s="27">
        <f>1708+1636</f>
        <v>3344</v>
      </c>
      <c r="I11" s="27">
        <f>1103+1084</f>
        <v>2187</v>
      </c>
      <c r="J11" s="3" t="str">
        <f t="shared" si="0"/>
        <v>Yes</v>
      </c>
      <c r="K11" s="5" t="s">
        <v>14</v>
      </c>
      <c r="L11" s="27"/>
      <c r="S11" s="92"/>
      <c r="T11" s="92"/>
    </row>
    <row r="12" spans="1:20" x14ac:dyDescent="0.3">
      <c r="A12" s="6">
        <f>IF(AND(Sufficient_data="Yes",Include_study?="Yes"),COUNT(A$2:A11)+1,"")</f>
        <v>6</v>
      </c>
      <c r="B12" s="12" t="s">
        <v>31</v>
      </c>
      <c r="C12" s="5" t="s">
        <v>13</v>
      </c>
      <c r="D12" s="27">
        <f>((0.61+0.79)/2)*100</f>
        <v>70</v>
      </c>
      <c r="E12" s="27"/>
      <c r="F12" s="27">
        <f>((0.83+0.81)/2)*100</f>
        <v>82</v>
      </c>
      <c r="G12" s="27"/>
      <c r="H12" s="27">
        <f>1708+1636</f>
        <v>3344</v>
      </c>
      <c r="I12" s="27">
        <f>1103+1084</f>
        <v>2187</v>
      </c>
      <c r="J12" s="3" t="str">
        <f t="shared" si="0"/>
        <v>Yes</v>
      </c>
      <c r="K12" s="5" t="s">
        <v>14</v>
      </c>
      <c r="L12" s="27"/>
      <c r="S12" s="92"/>
      <c r="T12" s="92"/>
    </row>
    <row r="13" spans="1:20" s="112" customFormat="1" x14ac:dyDescent="0.3">
      <c r="A13" s="6" t="str">
        <f>IF(AND(Sufficient_data="Yes",Include_study?="Yes"),COUNT(A$2:A12)+1,"")</f>
        <v/>
      </c>
      <c r="B13" s="112" t="s">
        <v>32</v>
      </c>
      <c r="C13" s="109" t="s">
        <v>23</v>
      </c>
      <c r="D13" s="110">
        <v>65</v>
      </c>
      <c r="E13" s="110"/>
      <c r="F13" s="110">
        <v>81.25</v>
      </c>
      <c r="G13" s="110"/>
      <c r="H13" s="110">
        <v>672</v>
      </c>
      <c r="I13" s="110">
        <v>768</v>
      </c>
      <c r="J13" s="111" t="s">
        <v>13</v>
      </c>
      <c r="K13" s="109" t="s">
        <v>14</v>
      </c>
      <c r="L13" s="110"/>
    </row>
    <row r="14" spans="1:20" s="112" customFormat="1" x14ac:dyDescent="0.3">
      <c r="A14" s="6" t="str">
        <f>IF(AND(Sufficient_data="Yes",Include_study?="Yes"),COUNT(A$2:A13)+1,"")</f>
        <v/>
      </c>
      <c r="B14" s="112" t="s">
        <v>33</v>
      </c>
      <c r="C14" s="109" t="s">
        <v>23</v>
      </c>
      <c r="D14" s="110">
        <v>67.849999999999994</v>
      </c>
      <c r="E14" s="110"/>
      <c r="F14" s="110">
        <v>72.180000000000007</v>
      </c>
      <c r="G14" s="110"/>
      <c r="H14" s="110">
        <v>28</v>
      </c>
      <c r="I14" s="110">
        <v>62</v>
      </c>
      <c r="J14" s="111" t="s">
        <v>13</v>
      </c>
      <c r="K14" s="109" t="s">
        <v>34</v>
      </c>
      <c r="L14" s="110"/>
    </row>
    <row r="15" spans="1:20" s="112" customFormat="1" x14ac:dyDescent="0.3">
      <c r="A15" s="6">
        <f>IF(AND(Sufficient_data="Yes",Include_study?="Yes"),COUNT(A$2:A14)+1,"")</f>
        <v>7</v>
      </c>
      <c r="B15" s="112" t="s">
        <v>35</v>
      </c>
      <c r="C15" s="109" t="s">
        <v>13</v>
      </c>
      <c r="D15" s="110">
        <v>65.38</v>
      </c>
      <c r="E15" s="110"/>
      <c r="F15" s="110">
        <v>83.86</v>
      </c>
      <c r="G15" s="110"/>
      <c r="H15" s="110">
        <v>2646</v>
      </c>
      <c r="I15" s="110">
        <v>2089</v>
      </c>
      <c r="J15" s="111" t="s">
        <v>13</v>
      </c>
      <c r="K15" s="109" t="s">
        <v>14</v>
      </c>
      <c r="L15" s="110"/>
    </row>
    <row r="16" spans="1:20" s="106" customFormat="1" x14ac:dyDescent="0.3">
      <c r="A16" s="6" t="str">
        <f>IF(AND(Sufficient_data="Yes",Include_study?="Yes"),COUNT(A$2:A15)+1,"")</f>
        <v/>
      </c>
      <c r="B16" s="102" t="s">
        <v>36</v>
      </c>
      <c r="C16" s="103" t="s">
        <v>23</v>
      </c>
      <c r="D16" s="104">
        <v>78.5</v>
      </c>
      <c r="E16" s="104"/>
      <c r="F16" s="104">
        <v>67.33</v>
      </c>
      <c r="G16" s="104"/>
      <c r="H16" s="104">
        <v>3319</v>
      </c>
      <c r="I16" s="104">
        <v>2212</v>
      </c>
      <c r="J16" s="105" t="str">
        <f t="shared" si="0"/>
        <v>Yes</v>
      </c>
      <c r="K16" s="103" t="s">
        <v>14</v>
      </c>
      <c r="L16" s="104"/>
      <c r="S16" s="107"/>
      <c r="T16" s="107"/>
    </row>
    <row r="17" spans="1:12" x14ac:dyDescent="0.3">
      <c r="A17" s="6" t="str">
        <f>IF(AND(Sufficient_data="Yes",Include_study?="Yes"),COUNT(A$2:A16)+1,"")</f>
        <v/>
      </c>
      <c r="B17" s="12" t="s">
        <v>37</v>
      </c>
      <c r="C17" s="5" t="s">
        <v>23</v>
      </c>
      <c r="D17" s="27">
        <v>97.33</v>
      </c>
      <c r="E17" s="27"/>
      <c r="F17" s="27">
        <v>33.9</v>
      </c>
      <c r="G17" s="27"/>
      <c r="H17" s="27">
        <v>383</v>
      </c>
      <c r="I17" s="27">
        <v>1013</v>
      </c>
      <c r="J17" s="3" t="str">
        <f t="shared" si="0"/>
        <v>Yes</v>
      </c>
      <c r="K17" s="5"/>
      <c r="L17" s="27"/>
    </row>
    <row r="18" spans="1:12" x14ac:dyDescent="0.3">
      <c r="A18" s="6"/>
      <c r="B18" s="108" t="s">
        <v>38</v>
      </c>
      <c r="C18" s="5"/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01" t="s">
        <v>39</v>
      </c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23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23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23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23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23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23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23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23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23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23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23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23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23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23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23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23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23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23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23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23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23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23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23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23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23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23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23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23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23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23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23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23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23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23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23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23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23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23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23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23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23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23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23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23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23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23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23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23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23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23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23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23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23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23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23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23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23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23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23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23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23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23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23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23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23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23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23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23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23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23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23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23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23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23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23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23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23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23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23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23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23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23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23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23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23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23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23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23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23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23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23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23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23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23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23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23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23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23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23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23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23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13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13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13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2" activePane="bottomLeft" state="frozen"/>
      <selection pane="bottomLeft" activeCell="F9" sqref="F2:I9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22" t="s">
        <v>40</v>
      </c>
      <c r="B1" s="122"/>
      <c r="D1" s="1" t="s">
        <v>41</v>
      </c>
      <c r="E1" s="1" t="s">
        <v>1</v>
      </c>
      <c r="F1" s="1" t="str">
        <f>IF(Present_Effect_size_measure&lt;&gt;"",Present_Effect_size_measure,"")</f>
        <v>Odds Ratio</v>
      </c>
      <c r="G1" s="1" t="s">
        <v>42</v>
      </c>
      <c r="H1" s="1" t="s">
        <v>43</v>
      </c>
      <c r="I1" s="1" t="s">
        <v>44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45</v>
      </c>
      <c r="B2" s="5" t="s">
        <v>46</v>
      </c>
      <c r="D2" s="47">
        <v>1</v>
      </c>
      <c r="E2" s="16" t="str">
        <f>IF(Number&lt;=COUNT(Entry_number),INDEX(Lookup_table,MATCH(Number,Calculations!AK:AK,0),3),"")</f>
        <v>Yeh et al.</v>
      </c>
      <c r="F2" s="4">
        <f>IF(Ranked_number&lt;=COUNT(Entry_number),INDEX(Lookup_table,MATCH(Number,Calculations!AK:AK,0),5),"")</f>
        <v>0.79079415797833941</v>
      </c>
      <c r="G2" s="4">
        <f>IF(Ranked_number&lt;=COUNT(Entry_number),INDEX(Lookup_table,MATCH(Number,Calculations!AK:AK,0),9),"")</f>
        <v>0.56445306118928651</v>
      </c>
      <c r="H2" s="4">
        <f>IF(Ranked_number&lt;=COUNT(Entry_number),INDEX(Lookup_table,MATCH(Number,Calculations!AK:AK,0),10),"")</f>
        <v>1.1078961977370887</v>
      </c>
      <c r="I2" s="8">
        <f>IF(D2&lt;=COUNT(Entry_number),INDEX(Lookup_table,MATCH(Number,Calculations!AK:AK,0),11),"")</f>
        <v>0.14696833836959786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47</v>
      </c>
      <c r="M2" s="123" t="s">
        <v>48</v>
      </c>
      <c r="O2" s="124" t="s">
        <v>49</v>
      </c>
    </row>
    <row r="3" spans="1:15" x14ac:dyDescent="0.3">
      <c r="A3" s="3" t="s">
        <v>50</v>
      </c>
      <c r="B3" s="29">
        <v>0.95</v>
      </c>
      <c r="D3" s="48">
        <v>2</v>
      </c>
      <c r="E3" s="16" t="str">
        <f>IF(Number&lt;=COUNT(Entry_number),INDEX(Lookup_table,MATCH(Number,Calculations!AK:AK,0),3),"")</f>
        <v>Yeh et al.</v>
      </c>
      <c r="F3" s="4">
        <f>IF(Ranked_number&lt;=COUNT(Entry_number),INDEX(Lookup_table,MATCH(Number,Calculations!AK:AK,0),5),"")</f>
        <v>0.28494924350006334</v>
      </c>
      <c r="G3" s="4">
        <f>IF(Ranked_number&lt;=COUNT(Entry_number),INDEX(Lookup_table,MATCH(Number,Calculations!AK:AK,0),9),"")</f>
        <v>0.18371009681059169</v>
      </c>
      <c r="H3" s="4">
        <f>IF(Ranked_number&lt;=COUNT(Entry_number),INDEX(Lookup_table,MATCH(Number,Calculations!AK:AK,0),10),"")</f>
        <v>0.44197936194532061</v>
      </c>
      <c r="I3" s="8">
        <f>IF(D3&lt;=COUNT(Entry_number),INDEX(Lookup_table,MATCH(Number,Calculations!AK:AK,0),11),"")</f>
        <v>0.115921438830144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3"/>
      <c r="O3" s="124"/>
    </row>
    <row r="4" spans="1:15" x14ac:dyDescent="0.3">
      <c r="D4" s="48">
        <v>3</v>
      </c>
      <c r="E4" s="16" t="str">
        <f>IF(Number&lt;=COUNT(Entry_number),INDEX(Lookup_table,MATCH(Number,Calculations!AK:AK,0),3),"")</f>
        <v>Hsu et al.</v>
      </c>
      <c r="F4" s="4">
        <f>IF(Ranked_number&lt;=COUNT(Entry_number),INDEX(Lookup_table,MATCH(Number,Calculations!AK:AK,0),5),"")</f>
        <v>0.68910154864321094</v>
      </c>
      <c r="G4" s="4">
        <f>IF(Ranked_number&lt;=COUNT(Entry_number),INDEX(Lookup_table,MATCH(Number,Calculations!AK:AK,0),9),"")</f>
        <v>0.48549144836505892</v>
      </c>
      <c r="H4" s="4">
        <f>IF(Ranked_number&lt;=COUNT(Entry_number),INDEX(Lookup_table,MATCH(Number,Calculations!AK:AK,0),10),"")</f>
        <v>0.97810362250790084</v>
      </c>
      <c r="I4" s="8">
        <f>IF(D4&lt;=COUNT(Entry_number),INDEX(Lookup_table,MATCH(Number,Calculations!AK:AK,0),11),"")</f>
        <v>0.14262738330046773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51</v>
      </c>
      <c r="M4" s="123"/>
      <c r="O4" s="124"/>
    </row>
    <row r="5" spans="1:15" x14ac:dyDescent="0.3">
      <c r="A5" s="122" t="s">
        <v>52</v>
      </c>
      <c r="B5" s="122"/>
      <c r="D5" s="48">
        <v>4</v>
      </c>
      <c r="E5" s="16" t="str">
        <f>IF(Number&lt;=COUNT(Entry_number),INDEX(Lookup_table,MATCH(Number,Calculations!AK:AK,0),3),"")</f>
        <v>Mustaqim et al. (A)</v>
      </c>
      <c r="F5" s="4">
        <f>IF(Ranked_number&lt;=COUNT(Entry_number),INDEX(Lookup_table,MATCH(Number,Calculations!AK:AK,0),5),"")</f>
        <v>0.50614234644133904</v>
      </c>
      <c r="G5" s="4">
        <f>IF(Ranked_number&lt;=COUNT(Entry_number),INDEX(Lookup_table,MATCH(Number,Calculations!AK:AK,0),9),"")</f>
        <v>0.36937800679866201</v>
      </c>
      <c r="H5" s="4">
        <f>IF(Ranked_number&lt;=COUNT(Entry_number),INDEX(Lookup_table,MATCH(Number,Calculations!AK:AK,0),10),"")</f>
        <v>0.69354447245361117</v>
      </c>
      <c r="I5" s="8">
        <f>IF(D5&lt;=COUNT(Entry_number),INDEX(Lookup_table,MATCH(Number,Calculations!AK:AK,0),11),"")</f>
        <v>0.15453859162601982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3"/>
      <c r="O5" s="124"/>
    </row>
    <row r="6" spans="1:15" x14ac:dyDescent="0.3">
      <c r="A6" s="3" t="s">
        <v>53</v>
      </c>
      <c r="B6" s="5" t="s">
        <v>54</v>
      </c>
      <c r="D6" s="48">
        <v>5</v>
      </c>
      <c r="E6" s="16" t="str">
        <f>IF(Number&lt;=COUNT(Entry_number),INDEX(Lookup_table,MATCH(Number,Calculations!AK:AK,0),3),"")</f>
        <v>Yildirim et al.</v>
      </c>
      <c r="F6" s="4">
        <f>IF(Ranked_number&lt;=COUNT(Entry_number),INDEX(Lookup_table,MATCH(Number,Calculations!AK:AK,0),5),"")</f>
        <v>0.56885443878108499</v>
      </c>
      <c r="G6" s="4">
        <f>IF(Ranked_number&lt;=COUNT(Entry_number),INDEX(Lookup_table,MATCH(Number,Calculations!AK:AK,0),9),"")</f>
        <v>0.3957797978400841</v>
      </c>
      <c r="H6" s="4">
        <f>IF(Ranked_number&lt;=COUNT(Entry_number),INDEX(Lookup_table,MATCH(Number,Calculations!AK:AK,0),10),"")</f>
        <v>0.81761467939223298</v>
      </c>
      <c r="I6" s="8">
        <f>IF(D6&lt;=COUNT(Entry_number),INDEX(Lookup_table,MATCH(Number,Calculations!AK:AK,0),11),"")</f>
        <v>0.13855552165763022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55</v>
      </c>
      <c r="M6" s="123"/>
      <c r="O6" s="124"/>
    </row>
    <row r="7" spans="1:15" x14ac:dyDescent="0.3">
      <c r="A7" s="3" t="s">
        <v>56</v>
      </c>
      <c r="B7" s="5" t="s">
        <v>57</v>
      </c>
      <c r="D7" s="48">
        <v>6</v>
      </c>
      <c r="E7" s="16" t="str">
        <f>IF(Number&lt;=COUNT(Entry_number),INDEX(Lookup_table,MATCH(Number,Calculations!AK:AK,0),3),"")</f>
        <v>Mustaqim et al. (B)</v>
      </c>
      <c r="F7" s="4">
        <f>IF(Ranked_number&lt;=COUNT(Entry_number),INDEX(Lookup_table,MATCH(Number,Calculations!AK:AK,0),5),"")</f>
        <v>0.5488549845791677</v>
      </c>
      <c r="G7" s="4">
        <f>IF(Ranked_number&lt;=COUNT(Entry_number),INDEX(Lookup_table,MATCH(Number,Calculations!AK:AK,0),9),"")</f>
        <v>0.39708629732880296</v>
      </c>
      <c r="H7" s="4">
        <f>IF(Ranked_number&lt;=COUNT(Entry_number),INDEX(Lookup_table,MATCH(Number,Calculations!AK:AK,0),10),"")</f>
        <v>0.75863054485599235</v>
      </c>
      <c r="I7" s="8">
        <f>IF(D7&lt;=COUNT(Entry_number),INDEX(Lookup_table,MATCH(Number,Calculations!AK:AK,0),11),"")</f>
        <v>0.15154417774287643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58</v>
      </c>
      <c r="M7" s="123"/>
      <c r="O7" s="124"/>
    </row>
    <row r="8" spans="1:15" x14ac:dyDescent="0.3">
      <c r="A8" s="3" t="s">
        <v>59</v>
      </c>
      <c r="B8" s="5" t="s">
        <v>57</v>
      </c>
      <c r="D8" s="48">
        <v>7</v>
      </c>
      <c r="E8" s="16" t="str">
        <f>IF(Number&lt;=COUNT(Entry_number),INDEX(Lookup_table,MATCH(Number,Calculations!AK:AK,0),3),"")</f>
        <v>Van et al.</v>
      </c>
      <c r="F8" s="4">
        <f>IF(Ranked_number&lt;=COUNT(Entry_number),INDEX(Lookup_table,MATCH(Number,Calculations!AK:AK,0),5),"")</f>
        <v>0.60577409870146903</v>
      </c>
      <c r="G8" s="4">
        <f>IF(Ranked_number&lt;=COUNT(Entry_number),INDEX(Lookup_table,MATCH(Number,Calculations!AK:AK,0),9),"")</f>
        <v>0.43608529679167651</v>
      </c>
      <c r="H8" s="4">
        <f>IF(Ranked_number&lt;=COUNT(Entry_number),INDEX(Lookup_table,MATCH(Number,Calculations!AK:AK,0),10),"")</f>
        <v>0.84149193141194045</v>
      </c>
      <c r="I8" s="8">
        <f>IF(D8&lt;=COUNT(Entry_number),INDEX(Lookup_table,MATCH(Number,Calculations!AK:AK,0),11),"")</f>
        <v>0.14984454847326401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3"/>
      <c r="O8" s="124"/>
    </row>
    <row r="9" spans="1:15" x14ac:dyDescent="0.3">
      <c r="A9" s="3" t="s">
        <v>60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3"/>
      <c r="O9" s="124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3"/>
      <c r="O10" s="124"/>
    </row>
    <row r="11" spans="1:15" x14ac:dyDescent="0.3">
      <c r="A11" s="122" t="s">
        <v>61</v>
      </c>
      <c r="B11" s="122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3"/>
      <c r="O11" s="124"/>
    </row>
    <row r="12" spans="1:15" x14ac:dyDescent="0.3">
      <c r="A12" s="3" t="s">
        <v>62</v>
      </c>
      <c r="B12" s="5" t="s">
        <v>47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3"/>
      <c r="O12" s="124"/>
    </row>
    <row r="13" spans="1:15" x14ac:dyDescent="0.3">
      <c r="A13" s="3" t="s">
        <v>63</v>
      </c>
      <c r="B13" s="5" t="s">
        <v>64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3"/>
      <c r="O13" s="124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3"/>
      <c r="O14" s="124"/>
    </row>
    <row r="15" spans="1:15" x14ac:dyDescent="0.3">
      <c r="A15" s="122" t="s">
        <v>65</v>
      </c>
      <c r="B15" s="122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3"/>
      <c r="O15" s="124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0.55846854267198309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3"/>
      <c r="O16" s="124"/>
    </row>
    <row r="17" spans="1:15" x14ac:dyDescent="0.3">
      <c r="A17" s="3" t="s">
        <v>42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0.42164344996941439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3"/>
      <c r="O17" s="124"/>
    </row>
    <row r="18" spans="1:15" x14ac:dyDescent="0.3">
      <c r="A18" s="3" t="s">
        <v>43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0.73969395985350306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3"/>
      <c r="O18" s="124"/>
    </row>
    <row r="19" spans="1:15" x14ac:dyDescent="0.3">
      <c r="A19" s="3" t="s">
        <v>66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0.30607108577217085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3"/>
      <c r="O19" s="124"/>
    </row>
    <row r="20" spans="1:15" x14ac:dyDescent="0.3">
      <c r="A20" s="3" t="s">
        <v>67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1.0190022110952586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3"/>
      <c r="O20" s="124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3"/>
      <c r="O21" s="124"/>
    </row>
    <row r="22" spans="1:15" x14ac:dyDescent="0.3">
      <c r="A22" s="3" t="s">
        <v>68</v>
      </c>
      <c r="B22" s="4">
        <f>IF(B16&lt;&gt;"",IF(Weighting_method="Inverse variance",Z_value,IF(Weighting_method="Mantel-Haenszel",Z_value_MH,IF(Weighting_method="Peto",Z_value_Peto,""))),"")</f>
        <v>-5.0721410423182629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3"/>
      <c r="O22" s="124"/>
    </row>
    <row r="23" spans="1:15" x14ac:dyDescent="0.3">
      <c r="A23" s="3" t="s">
        <v>69</v>
      </c>
      <c r="B23" s="26">
        <f>IF(Valid_options="Yes",IF(B22&lt;&gt;"",1-NORMSDIST(ABS(B22)),""),"")</f>
        <v>1.9668232931202567E-7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3"/>
      <c r="O23" s="124"/>
    </row>
    <row r="24" spans="1:15" x14ac:dyDescent="0.3">
      <c r="A24" s="3" t="s">
        <v>70</v>
      </c>
      <c r="B24" s="26">
        <f>IF(Valid_options="Yes",IF(B22&lt;&gt;"",2*(1-NORMSDIST(ABS(B22))),""),"")</f>
        <v>3.9336465862405134E-7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3"/>
      <c r="O24" s="124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3"/>
      <c r="O25" s="124"/>
    </row>
    <row r="26" spans="1:15" ht="12" customHeight="1" x14ac:dyDescent="0.3">
      <c r="A26" s="3" t="s">
        <v>71</v>
      </c>
      <c r="B26" s="7">
        <f>SUMIF(Sufficient_data,"Yes",Number_of_subjects)</f>
        <v>43193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3"/>
      <c r="O26" s="124"/>
    </row>
    <row r="27" spans="1:15" x14ac:dyDescent="0.3">
      <c r="A27" s="3" t="s">
        <v>72</v>
      </c>
      <c r="B27" s="7">
        <f>COUNT(Weightf)</f>
        <v>7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3"/>
      <c r="O27" s="124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3"/>
      <c r="O28" s="124"/>
    </row>
    <row r="29" spans="1:15" x14ac:dyDescent="0.3">
      <c r="A29" s="122" t="s">
        <v>73</v>
      </c>
      <c r="B29" s="122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3"/>
      <c r="O29" s="124"/>
    </row>
    <row r="30" spans="1:15" x14ac:dyDescent="0.3">
      <c r="A30" s="3" t="s">
        <v>74</v>
      </c>
      <c r="B30" s="4">
        <f>IF(Valid_options="Yes",IF(Weighting_method="Inverse variance",Q_,IF(Weighting_method="Mantel-Haenszel",Q_MH,IF(Weighting_method="Peto",Q_Peto,""))),NA())</f>
        <v>15.066731397009278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3"/>
      <c r="O30" s="124"/>
    </row>
    <row r="31" spans="1:15" ht="13" x14ac:dyDescent="0.35">
      <c r="A31" s="3" t="s">
        <v>75</v>
      </c>
      <c r="B31" s="26">
        <f>IF(Valid_options="Yes",IF(B30&lt;&gt;"",CHIDIST(B30,k_-1),""),"")</f>
        <v>1.9743996621829438E-2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3"/>
      <c r="O31" s="124"/>
    </row>
    <row r="32" spans="1:15" ht="13.5" x14ac:dyDescent="0.3">
      <c r="A32" s="3" t="s">
        <v>76</v>
      </c>
      <c r="B32" s="8">
        <f>IF(Valid_options="Yes",IF(B30&lt;&gt;"",MAX(0,(B30-(k_-1))/B30),""),"")</f>
        <v>0.6017716223977424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3"/>
      <c r="O32" s="124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4.721207275669554E-2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3"/>
      <c r="O33" s="124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0.21728339273100358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3"/>
      <c r="O34" s="124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3"/>
      <c r="O35" s="124"/>
    </row>
    <row r="36" spans="1:15" x14ac:dyDescent="0.3">
      <c r="A36" s="122" t="s">
        <v>77</v>
      </c>
      <c r="B36" s="126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3"/>
      <c r="O36" s="124"/>
    </row>
    <row r="37" spans="1:15" x14ac:dyDescent="0.3">
      <c r="A37" s="121" t="s">
        <v>54</v>
      </c>
      <c r="B37" s="121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3"/>
      <c r="O37" s="124"/>
    </row>
    <row r="38" spans="1:15" x14ac:dyDescent="0.3">
      <c r="A38" s="120" t="s">
        <v>78</v>
      </c>
      <c r="B38" s="120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3"/>
      <c r="O38" s="124"/>
    </row>
    <row r="39" spans="1:15" x14ac:dyDescent="0.3">
      <c r="A39" s="120" t="s">
        <v>79</v>
      </c>
      <c r="B39" s="120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3"/>
      <c r="O39" s="124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3"/>
      <c r="O40" s="124"/>
    </row>
    <row r="41" spans="1:15" x14ac:dyDescent="0.3">
      <c r="A41" s="122" t="s">
        <v>80</v>
      </c>
      <c r="B41" s="126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3"/>
      <c r="O41" s="124"/>
    </row>
    <row r="42" spans="1:15" x14ac:dyDescent="0.3">
      <c r="A42" s="121" t="str">
        <f>IF(Weighting_method="Peto","Peto Odds Ratio","Odds Ratio")</f>
        <v>Odds Ratio</v>
      </c>
      <c r="B42" s="121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3"/>
      <c r="O42" s="124"/>
    </row>
    <row r="43" spans="1:15" x14ac:dyDescent="0.3">
      <c r="A43" s="120" t="str">
        <f>IF(Weighting_method="Inverse variance","Risk Ratio","")</f>
        <v>Risk Ratio</v>
      </c>
      <c r="B43" s="120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3"/>
      <c r="O43" s="124"/>
    </row>
    <row r="44" spans="1:15" x14ac:dyDescent="0.3">
      <c r="A44" s="120" t="str">
        <f>IF(Weighting_method="Inverse variance","Risk Difference","")</f>
        <v>Risk Difference</v>
      </c>
      <c r="B44" s="120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3"/>
      <c r="O44" s="124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3"/>
      <c r="O45" s="124"/>
    </row>
    <row r="46" spans="1:15" x14ac:dyDescent="0.3">
      <c r="A46" s="122" t="s">
        <v>81</v>
      </c>
      <c r="B46" s="126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3"/>
      <c r="O46" s="124"/>
    </row>
    <row r="47" spans="1:15" x14ac:dyDescent="0.3">
      <c r="A47" s="121" t="str">
        <f>IF(Model_effect_size_measure&lt;&gt;"",Model_effect_size_measure,"")</f>
        <v>Odds Ratio</v>
      </c>
      <c r="B47" s="121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3"/>
      <c r="O47" s="124"/>
    </row>
    <row r="48" spans="1:15" x14ac:dyDescent="0.3">
      <c r="A48" s="120" t="str">
        <f>IF(OR(Model_effect_size_measure="Odds Ratio",Model_effect_size_measure="Peto Odds Ratio"),"Risk Ratio",IF(Model_effect_size_measure="Risk Ratio","Risk Difference",""))</f>
        <v>Risk Ratio</v>
      </c>
      <c r="B48" s="120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3"/>
      <c r="O48" s="124"/>
    </row>
    <row r="49" spans="1:15" x14ac:dyDescent="0.3">
      <c r="A49" s="120" t="str">
        <f>IF(OR(Model_effect_size_measure="Odds Ratio",Model_effect_size_measure="Peto Odds Ratio"),"Risk Difference","")</f>
        <v>Risk Difference</v>
      </c>
      <c r="B49" s="120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3"/>
      <c r="O49" s="124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3"/>
      <c r="O50" s="124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3"/>
      <c r="O51" s="124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3"/>
      <c r="O52" s="124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3"/>
      <c r="O53" s="124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3"/>
      <c r="O54" s="124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3"/>
      <c r="O55" s="124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3"/>
      <c r="O56" s="124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3"/>
      <c r="O57" s="124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3"/>
      <c r="O58" s="124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3"/>
      <c r="O59" s="124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3"/>
      <c r="O60" s="124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3"/>
      <c r="O61" s="124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3"/>
      <c r="O62" s="124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3"/>
      <c r="O63" s="124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3"/>
      <c r="O64" s="124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3"/>
      <c r="O65" s="124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3"/>
      <c r="O66" s="124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3"/>
      <c r="O67" s="124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3"/>
      <c r="O68" s="124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3"/>
      <c r="O69" s="124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3"/>
      <c r="O70" s="124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3"/>
      <c r="O71" s="124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3"/>
      <c r="O72" s="124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3"/>
      <c r="O73" s="124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3"/>
      <c r="O74" s="124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3"/>
      <c r="O75" s="124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3"/>
      <c r="O76" s="124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3"/>
      <c r="O77" s="124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3"/>
      <c r="O78" s="124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3"/>
      <c r="O79" s="124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3"/>
      <c r="O80" s="124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3"/>
      <c r="O81" s="124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3"/>
      <c r="O82" s="124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3"/>
      <c r="O83" s="124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3"/>
      <c r="O84" s="124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3"/>
      <c r="O85" s="124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3"/>
      <c r="O86" s="124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3"/>
      <c r="O87" s="124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3"/>
      <c r="O88" s="124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3"/>
      <c r="O89" s="124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3"/>
      <c r="O90" s="124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3"/>
      <c r="O91" s="124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3"/>
      <c r="O92" s="124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3"/>
      <c r="O93" s="124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3"/>
      <c r="O94" s="124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3"/>
      <c r="O95" s="124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3"/>
      <c r="O96" s="124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3"/>
      <c r="O97" s="124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3"/>
      <c r="O98" s="124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3"/>
      <c r="O99" s="124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3"/>
      <c r="O100" s="124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3"/>
      <c r="O101" s="124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3"/>
      <c r="O102" s="124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3"/>
      <c r="O103" s="124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3"/>
      <c r="O104" s="124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3"/>
      <c r="O105" s="124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3"/>
      <c r="O106" s="124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3"/>
      <c r="O107" s="124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3"/>
      <c r="O108" s="124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3"/>
      <c r="O109" s="124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3"/>
      <c r="O110" s="124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3"/>
      <c r="O111" s="124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3"/>
      <c r="O112" s="124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3"/>
      <c r="O113" s="124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3"/>
      <c r="O114" s="124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3"/>
      <c r="O115" s="124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3"/>
      <c r="O116" s="124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3"/>
      <c r="O117" s="124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3"/>
      <c r="O118" s="124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3"/>
      <c r="O119" s="124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3"/>
      <c r="O120" s="124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3"/>
      <c r="O121" s="124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3"/>
      <c r="O122" s="124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3"/>
      <c r="O123" s="124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3"/>
      <c r="O124" s="124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3"/>
      <c r="O125" s="124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3"/>
      <c r="O126" s="124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3"/>
      <c r="O127" s="124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3"/>
      <c r="O128" s="124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3"/>
      <c r="O129" s="124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3"/>
      <c r="O130" s="124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3"/>
      <c r="O131" s="124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3"/>
      <c r="O132" s="124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3"/>
      <c r="O133" s="124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3"/>
      <c r="O134" s="124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3"/>
      <c r="O135" s="124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3"/>
      <c r="O136" s="124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3"/>
      <c r="O137" s="124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3"/>
      <c r="O138" s="124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3"/>
      <c r="O139" s="124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3"/>
      <c r="O140" s="124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3"/>
      <c r="O141" s="124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3"/>
      <c r="O142" s="124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3"/>
      <c r="O143" s="124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3"/>
      <c r="O144" s="124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3"/>
      <c r="O145" s="124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3"/>
      <c r="O146" s="124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3"/>
      <c r="O147" s="124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3"/>
      <c r="O148" s="124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3"/>
      <c r="O149" s="124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3"/>
      <c r="O150" s="124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3"/>
      <c r="O151" s="124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3"/>
      <c r="O152" s="124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3"/>
      <c r="O153" s="124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3"/>
      <c r="O154" s="124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3"/>
      <c r="O155" s="124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3"/>
      <c r="O156" s="124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3"/>
      <c r="O157" s="124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3"/>
      <c r="O158" s="124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3"/>
      <c r="O159" s="124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3"/>
      <c r="O160" s="124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3"/>
      <c r="O161" s="124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3"/>
      <c r="O162" s="124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3"/>
      <c r="O163" s="124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3"/>
      <c r="O164" s="124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3"/>
      <c r="O165" s="124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3"/>
      <c r="O166" s="124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3"/>
      <c r="O167" s="124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3"/>
      <c r="O168" s="124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3"/>
      <c r="O169" s="124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3"/>
      <c r="O170" s="124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3"/>
      <c r="O171" s="124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3"/>
      <c r="O172" s="124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3"/>
      <c r="O173" s="124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3"/>
      <c r="O174" s="124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3"/>
      <c r="O175" s="124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3"/>
      <c r="O176" s="124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3"/>
      <c r="O177" s="124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3"/>
      <c r="O178" s="124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3"/>
      <c r="O179" s="124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3"/>
      <c r="O180" s="124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3"/>
      <c r="O181" s="124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3"/>
      <c r="O182" s="124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3"/>
      <c r="O183" s="124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3"/>
      <c r="O184" s="124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3"/>
      <c r="O185" s="124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3"/>
      <c r="O186" s="124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3"/>
      <c r="O187" s="124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3"/>
      <c r="O188" s="124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3"/>
      <c r="O189" s="124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3"/>
      <c r="O190" s="124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3"/>
      <c r="O191" s="124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3"/>
      <c r="O192" s="124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3"/>
      <c r="O193" s="124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3"/>
      <c r="O194" s="124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3"/>
      <c r="O195" s="124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3"/>
      <c r="O196" s="124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3"/>
      <c r="O197" s="124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3"/>
      <c r="O198" s="124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3"/>
      <c r="O199" s="124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3"/>
      <c r="O200" s="124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3"/>
      <c r="O201" s="125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22" t="s">
        <v>40</v>
      </c>
      <c r="B1" s="122"/>
      <c r="C1" s="122"/>
      <c r="D1" s="122"/>
      <c r="F1" s="1" t="s">
        <v>41</v>
      </c>
      <c r="G1" s="1" t="s">
        <v>82</v>
      </c>
      <c r="H1" s="1" t="str">
        <f>Subgroup_effect_size_measure</f>
        <v>Odds Ratio</v>
      </c>
      <c r="I1" s="1" t="s">
        <v>42</v>
      </c>
      <c r="J1" s="1" t="s">
        <v>43</v>
      </c>
      <c r="K1" s="1" t="s">
        <v>44</v>
      </c>
      <c r="L1" s="1" t="s">
        <v>74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66</v>
      </c>
      <c r="R1" s="1" t="s">
        <v>67</v>
      </c>
      <c r="S1" s="86"/>
      <c r="U1" s="85"/>
      <c r="W1" s="85"/>
      <c r="Y1" s="85"/>
      <c r="AA1" s="85"/>
    </row>
    <row r="2" spans="1:27" x14ac:dyDescent="0.3">
      <c r="A2" s="3" t="s">
        <v>87</v>
      </c>
      <c r="B2" s="128" t="s">
        <v>88</v>
      </c>
      <c r="C2" s="128"/>
      <c r="D2" s="128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Yeh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0.79079415797833941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0.564453072185923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1.1078961761531303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0.17112374037957184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34" t="s">
        <v>89</v>
      </c>
      <c r="U2" s="124" t="s">
        <v>90</v>
      </c>
      <c r="W2" s="124" t="s">
        <v>91</v>
      </c>
      <c r="Y2" s="124" t="s">
        <v>92</v>
      </c>
      <c r="AA2" s="124" t="s">
        <v>93</v>
      </c>
    </row>
    <row r="3" spans="1:27" x14ac:dyDescent="0.3">
      <c r="A3" s="3" t="s">
        <v>94</v>
      </c>
      <c r="B3" s="129" t="s">
        <v>57</v>
      </c>
      <c r="C3" s="129"/>
      <c r="D3" s="129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Yeh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0.28494924350006334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0.18371009756814802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0.44197936012275196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0.13743431114280538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4"/>
      <c r="U3" s="124"/>
      <c r="W3" s="124"/>
      <c r="Y3" s="124"/>
      <c r="AA3" s="124"/>
    </row>
    <row r="4" spans="1:27" ht="11.25" customHeight="1" x14ac:dyDescent="0.3">
      <c r="A4" s="3" t="s">
        <v>60</v>
      </c>
      <c r="B4" s="130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30"/>
      <c r="D4" s="130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Mustaqim et al. (A)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0.50614234644133904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0.36937801140560705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0.69354446380360724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0.17915621471272949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4"/>
      <c r="U4" s="124"/>
      <c r="W4" s="124"/>
      <c r="Y4" s="124"/>
      <c r="AA4" s="124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Yildirim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0.56885443878108499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0.39577980352489356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0.81761466764837043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0.16211459264590064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4"/>
      <c r="U5" s="124"/>
      <c r="W5" s="124"/>
      <c r="Y5" s="124"/>
      <c r="AA5" s="124"/>
    </row>
    <row r="6" spans="1:27" x14ac:dyDescent="0.3">
      <c r="A6" s="3" t="s">
        <v>95</v>
      </c>
      <c r="B6" s="129" t="s">
        <v>96</v>
      </c>
      <c r="C6" s="129"/>
      <c r="D6" s="129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Mustaqim et al. (B)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0.5488549845791677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0.39708630241785181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0.75863053513340095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0.17598733005363804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4"/>
      <c r="U6" s="124"/>
      <c r="W6" s="124"/>
      <c r="Y6" s="124"/>
      <c r="AA6" s="124"/>
    </row>
    <row r="7" spans="1:27" x14ac:dyDescent="0.3">
      <c r="A7" s="3" t="s">
        <v>97</v>
      </c>
      <c r="B7" s="129" t="s">
        <v>98</v>
      </c>
      <c r="C7" s="129"/>
      <c r="D7" s="129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Van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0.60577409870146903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0.43608530453609762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0.84149191646791976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0.17418381106535466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4"/>
      <c r="U7" s="124"/>
      <c r="W7" s="124"/>
      <c r="Y7" s="124"/>
      <c r="AA7" s="124"/>
    </row>
    <row r="8" spans="1:27" x14ac:dyDescent="0.3">
      <c r="A8" s="3" t="s">
        <v>50</v>
      </c>
      <c r="B8" s="131">
        <v>0.95</v>
      </c>
      <c r="C8" s="131"/>
      <c r="D8" s="131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English</v>
      </c>
      <c r="H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8" s="4">
        <f>IF(COUNTIF(Calculations!DP:DP,Subgroup_number)=1,INDEX(Calculations!DP:EU,MATCH(Subgroup_number,Calculations!DP:DP,0),5),IF(Subgroup_number=Calculations!EY$25,Calculations!EY$17,""))</f>
        <v>13.713487293598973</v>
      </c>
      <c r="M8" s="26">
        <f>IF(COUNTIF(Calculations!DP:DP,Subgroup_number)=1,INDEX(Calculations!DP:EU,MATCH(Subgroup_number,Calculations!DP:DP,0),6),IF(Subgroup_number=Calculations!EY$25,Calculations!EY$18,""))</f>
        <v>1.75355530122457E-2</v>
      </c>
      <c r="N8" s="8">
        <f>IF(COUNTIF(Calculations!DP:DP,Subgroup_number)=1,INDEX(Calculations!DP:EU,MATCH(Subgroup_number,Calculations!DP:DP,0),7),IF(Subgroup_number=Calculations!EY$25,Calculations!EY$19,""))</f>
        <v>0.63539544005456272</v>
      </c>
      <c r="O8" s="4">
        <f>IF(COUNTIF(Calculations!DP:DP,Subgroup_number)=1,INDEX(Calculations!DP:EU,MATCH(Subgroup_number,Calculations!DP:DP,0),9),IF(Subgroup_number=Calculations!EY$25,Calculations!EY$20,""))</f>
        <v>5.4322017714922601E-2</v>
      </c>
      <c r="P8" s="4">
        <f>IF(COUNTIF(Calculations!DP:DP,Subgroup_number)=1,INDEX(Calculations!DP:EU,MATCH(Subgroup_number,Calculations!DP:DP,0),10),IF(Subgroup_number=Calculations!EY$25,Calculations!EY$21,""))</f>
        <v>0.23307084269578338</v>
      </c>
      <c r="Q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8" s="134"/>
      <c r="U8" s="124"/>
      <c r="W8" s="124"/>
      <c r="Y8" s="124"/>
      <c r="AA8" s="124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Malay</v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4"/>
      <c r="U9" s="124"/>
      <c r="W9" s="124"/>
      <c r="Y9" s="124"/>
      <c r="AA9" s="124"/>
    </row>
    <row r="10" spans="1:27" x14ac:dyDescent="0.3">
      <c r="A10" s="122" t="s">
        <v>65</v>
      </c>
      <c r="B10" s="122"/>
      <c r="C10" s="122"/>
      <c r="D10" s="122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Hsu et al.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0.68910154864321094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0.48549145421570461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0.97810361072079788</v>
      </c>
      <c r="K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10" s="4">
        <f>IF(COUNTIF(Calculations!DP:DP,Subgroup_number)=1,INDEX(Calculations!DP:EU,MATCH(Subgroup_number,Calculations!DP:DP,0),5),IF(Subgroup_number=Calculations!EY$25,Calculations!EY$17,""))</f>
        <v>0</v>
      </c>
      <c r="M10" s="26" t="e">
        <f>IF(COUNTIF(Calculations!DP:DP,Subgroup_number)=1,INDEX(Calculations!DP:EU,MATCH(Subgroup_number,Calculations!DP:DP,0),6),IF(Subgroup_number=Calculations!EY$25,Calculations!EY$18,""))</f>
        <v>#NUM!</v>
      </c>
      <c r="N10" s="8">
        <f>IF(COUNTIF(Calculations!DP:DP,Subgroup_number)=1,INDEX(Calculations!DP:EU,MATCH(Subgroup_number,Calculations!DP:DP,0),7),IF(Subgroup_number=Calculations!EY$25,Calculations!EY$19,""))</f>
        <v>0</v>
      </c>
      <c r="O10" s="4" t="e">
        <f>IF(COUNTIF(Calculations!DP:DP,Subgroup_number)=1,INDEX(Calculations!DP:EU,MATCH(Subgroup_number,Calculations!DP:DP,0),9),IF(Subgroup_number=Calculations!EY$25,Calculations!EY$20,""))</f>
        <v>#DIV/0!</v>
      </c>
      <c r="P10" s="4" t="e">
        <f>IF(COUNTIF(Calculations!DP:DP,Subgroup_number)=1,INDEX(Calculations!DP:EU,MATCH(Subgroup_number,Calculations!DP:DP,0),10),IF(Subgroup_number=Calculations!EY$25,Calculations!EY$21,""))</f>
        <v>#DIV/0!</v>
      </c>
      <c r="Q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10" s="134"/>
      <c r="U10" s="124"/>
      <c r="W10" s="124"/>
      <c r="Y10" s="124"/>
      <c r="AA10" s="124"/>
    </row>
    <row r="11" spans="1:27" x14ac:dyDescent="0.3">
      <c r="A11" s="3" t="str">
        <f>Subgroup_effect_size_measure</f>
        <v>Odds Ratio</v>
      </c>
      <c r="B11" s="132" t="e">
        <f>Calculations!EY9</f>
        <v>#DIV/0!</v>
      </c>
      <c r="C11" s="132"/>
      <c r="D11" s="132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>
        <f>IF(COUNTIF(Calculations!DP:DP,Subgroup_number)=1,INDEX(Calculations!DP:EU,MATCH(Subgroup_number,Calculations!DP:DP,0),5),IF(Subgroup_number=Calculations!EY$25,Calculations!EY$17,""))</f>
        <v>15.066731397009278</v>
      </c>
      <c r="M11" s="26">
        <f>IF(COUNTIF(Calculations!DP:DP,Subgroup_number)=1,INDEX(Calculations!DP:EU,MATCH(Subgroup_number,Calculations!DP:DP,0),6),IF(Subgroup_number=Calculations!EY$25,Calculations!EY$18,""))</f>
        <v>1.9743996621829438E-2</v>
      </c>
      <c r="N11" s="8">
        <f>IF(COUNTIF(Calculations!DP:DP,Subgroup_number)=1,INDEX(Calculations!DP:EU,MATCH(Subgroup_number,Calculations!DP:DP,0),7),IF(Subgroup_number=Calculations!EY$25,Calculations!EY$19,""))</f>
        <v>0.6017716223977424</v>
      </c>
      <c r="O11" s="4">
        <f>IF(COUNTIF(Calculations!DP:DP,Subgroup_number)=1,INDEX(Calculations!DP:EU,MATCH(Subgroup_number,Calculations!DP:DP,0),9),IF(Subgroup_number=Calculations!EY$25,Calculations!EY$20,""))</f>
        <v>4.721207275669554E-2</v>
      </c>
      <c r="P11" s="4">
        <f>IF(COUNTIF(Calculations!DP:DP,Subgroup_number)=1,INDEX(Calculations!DP:EU,MATCH(Subgroup_number,Calculations!DP:DP,0),10),IF(Subgroup_number=Calculations!EY$25,Calculations!EY$21,""))</f>
        <v>0.21728339273100358</v>
      </c>
      <c r="Q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11" s="134"/>
      <c r="U11" s="124"/>
      <c r="W11" s="124"/>
      <c r="Y11" s="124"/>
      <c r="AA11" s="124"/>
    </row>
    <row r="12" spans="1:27" x14ac:dyDescent="0.3">
      <c r="A12" s="3" t="s">
        <v>42</v>
      </c>
      <c r="B12" s="133" t="e">
        <f>Calculations!EY11</f>
        <v>#DIV/0!</v>
      </c>
      <c r="C12" s="133"/>
      <c r="D12" s="133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4"/>
      <c r="U12" s="124"/>
      <c r="W12" s="124"/>
      <c r="Y12" s="124"/>
      <c r="AA12" s="124"/>
    </row>
    <row r="13" spans="1:27" x14ac:dyDescent="0.3">
      <c r="A13" s="3" t="s">
        <v>43</v>
      </c>
      <c r="B13" s="133" t="e">
        <f>Calculations!EY12</f>
        <v>#DIV/0!</v>
      </c>
      <c r="C13" s="133"/>
      <c r="D13" s="133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4"/>
      <c r="U13" s="124"/>
      <c r="W13" s="124"/>
      <c r="Y13" s="124"/>
      <c r="AA13" s="124"/>
    </row>
    <row r="14" spans="1:27" x14ac:dyDescent="0.3">
      <c r="A14" s="3" t="s">
        <v>66</v>
      </c>
      <c r="B14" s="133" t="e">
        <f>Calculations!EY13</f>
        <v>#DIV/0!</v>
      </c>
      <c r="C14" s="133"/>
      <c r="D14" s="133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4"/>
      <c r="U14" s="124"/>
      <c r="W14" s="124"/>
      <c r="Y14" s="124"/>
      <c r="AA14" s="124"/>
    </row>
    <row r="15" spans="1:27" x14ac:dyDescent="0.3">
      <c r="A15" s="3" t="s">
        <v>67</v>
      </c>
      <c r="B15" s="133" t="e">
        <f>Calculations!EY14</f>
        <v>#DIV/0!</v>
      </c>
      <c r="C15" s="133"/>
      <c r="D15" s="133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4"/>
      <c r="U15" s="124"/>
      <c r="W15" s="124"/>
      <c r="Y15" s="124"/>
      <c r="AA15" s="124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4"/>
      <c r="U16" s="124"/>
      <c r="W16" s="124"/>
      <c r="Y16" s="124"/>
      <c r="AA16" s="124"/>
    </row>
    <row r="17" spans="1:27" x14ac:dyDescent="0.3">
      <c r="A17" s="3" t="s">
        <v>71</v>
      </c>
      <c r="B17" s="127">
        <f>SUMIF(Sufficient_data,"Yes",Number_of_subjects)</f>
        <v>43193</v>
      </c>
      <c r="C17" s="127"/>
      <c r="D17" s="127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4"/>
      <c r="U17" s="124"/>
      <c r="W17" s="124"/>
      <c r="Y17" s="124"/>
      <c r="AA17" s="124"/>
    </row>
    <row r="18" spans="1:27" x14ac:dyDescent="0.3">
      <c r="A18" s="3" t="s">
        <v>72</v>
      </c>
      <c r="B18" s="127">
        <f>COUNT(Subgroup_weightf)</f>
        <v>7</v>
      </c>
      <c r="C18" s="127"/>
      <c r="D18" s="127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4"/>
      <c r="U18" s="124"/>
      <c r="W18" s="124"/>
      <c r="Y18" s="124"/>
      <c r="AA18" s="124"/>
    </row>
    <row r="19" spans="1:27" x14ac:dyDescent="0.3">
      <c r="A19" s="3" t="s">
        <v>99</v>
      </c>
      <c r="B19" s="127">
        <f>COUNT(Calculations!DZ:DZ)</f>
        <v>0</v>
      </c>
      <c r="C19" s="127"/>
      <c r="D19" s="127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4"/>
      <c r="U19" s="124"/>
      <c r="W19" s="124"/>
      <c r="Y19" s="124"/>
      <c r="AA19" s="124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4"/>
      <c r="U20" s="124"/>
      <c r="W20" s="124"/>
      <c r="Y20" s="124"/>
      <c r="AA20" s="124"/>
    </row>
    <row r="21" spans="1:27" x14ac:dyDescent="0.3">
      <c r="A21" s="1" t="s">
        <v>100</v>
      </c>
      <c r="B21" s="1" t="str">
        <f>IF(Within_subgroup_weighting=Calculations!EX42,"Sum of squares (Q)","Sum of squares (Q*)")</f>
        <v>Sum of squares (Q*)</v>
      </c>
      <c r="C21" s="1" t="s">
        <v>101</v>
      </c>
      <c r="D21" s="1" t="s">
        <v>102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4"/>
      <c r="U21" s="124"/>
      <c r="W21" s="124"/>
      <c r="Y21" s="124"/>
      <c r="AA21" s="124"/>
    </row>
    <row r="22" spans="1:27" x14ac:dyDescent="0.3">
      <c r="A22" s="3" t="s">
        <v>103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4"/>
      <c r="U22" s="124"/>
      <c r="W22" s="124"/>
      <c r="Y22" s="124"/>
      <c r="AA22" s="124"/>
    </row>
    <row r="23" spans="1:27" x14ac:dyDescent="0.3">
      <c r="A23" s="3" t="s">
        <v>104</v>
      </c>
      <c r="B23" s="4" t="e">
        <f>SUM(Calculations!EP:EP)</f>
        <v>#DIV/0!</v>
      </c>
      <c r="C23" s="7">
        <f>Subgroup_k-Number_of_subgroups</f>
        <v>7</v>
      </c>
      <c r="D23" s="26" t="e">
        <f>CHIDIST(B23,C23)</f>
        <v>#DIV/0!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4"/>
      <c r="U23" s="124"/>
      <c r="W23" s="124"/>
      <c r="Y23" s="124"/>
      <c r="AA23" s="124"/>
    </row>
    <row r="24" spans="1:27" x14ac:dyDescent="0.3">
      <c r="A24" s="3" t="s">
        <v>17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6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4"/>
      <c r="U24" s="124"/>
      <c r="W24" s="124"/>
      <c r="Y24" s="124"/>
      <c r="AA24" s="124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4"/>
      <c r="U25" s="124"/>
      <c r="W25" s="124"/>
      <c r="Y25" s="124"/>
      <c r="AA25" s="124"/>
    </row>
    <row r="26" spans="1:27" ht="13.5" x14ac:dyDescent="0.3">
      <c r="A26" s="3" t="s">
        <v>105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4"/>
      <c r="U26" s="124"/>
      <c r="W26" s="124"/>
      <c r="Y26" s="124"/>
      <c r="AA26" s="124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4"/>
      <c r="U27" s="124"/>
      <c r="W27" s="124"/>
      <c r="Y27" s="124"/>
      <c r="AA27" s="124"/>
    </row>
    <row r="28" spans="1:27" x14ac:dyDescent="0.3">
      <c r="A28" s="122" t="s">
        <v>77</v>
      </c>
      <c r="B28" s="122"/>
      <c r="C28" s="122"/>
      <c r="D28" s="122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4"/>
      <c r="U28" s="124"/>
      <c r="W28" s="124"/>
      <c r="Y28" s="124"/>
      <c r="AA28" s="124"/>
    </row>
    <row r="29" spans="1:27" x14ac:dyDescent="0.3">
      <c r="A29" s="121" t="s">
        <v>88</v>
      </c>
      <c r="B29" s="121"/>
      <c r="C29" s="121"/>
      <c r="D29" s="121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4"/>
      <c r="U29" s="124"/>
      <c r="W29" s="124"/>
      <c r="Y29" s="124"/>
      <c r="AA29" s="124"/>
    </row>
    <row r="30" spans="1:27" x14ac:dyDescent="0.3">
      <c r="A30" s="120" t="s">
        <v>78</v>
      </c>
      <c r="B30" s="120"/>
      <c r="C30" s="120"/>
      <c r="D30" s="120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4"/>
      <c r="U30" s="124"/>
      <c r="W30" s="124"/>
      <c r="Y30" s="124"/>
      <c r="AA30" s="124"/>
    </row>
    <row r="31" spans="1:27" x14ac:dyDescent="0.3">
      <c r="A31" s="120" t="s">
        <v>79</v>
      </c>
      <c r="B31" s="120"/>
      <c r="C31" s="120"/>
      <c r="D31" s="120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4"/>
      <c r="U31" s="124"/>
      <c r="W31" s="124"/>
      <c r="Y31" s="124"/>
      <c r="AA31" s="124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4"/>
      <c r="U32" s="124"/>
      <c r="W32" s="124"/>
      <c r="Y32" s="124"/>
      <c r="AA32" s="124"/>
    </row>
    <row r="33" spans="1:27" x14ac:dyDescent="0.3">
      <c r="A33" s="122" t="s">
        <v>106</v>
      </c>
      <c r="B33" s="122"/>
      <c r="C33" s="122"/>
      <c r="D33" s="122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4"/>
      <c r="U33" s="124"/>
      <c r="W33" s="124"/>
      <c r="Y33" s="124"/>
      <c r="AA33" s="124"/>
    </row>
    <row r="34" spans="1:27" x14ac:dyDescent="0.3">
      <c r="A34" s="121" t="str">
        <f>IF(Subgroup_weighting_method="Peto","Peto Odds Ratio","Odds Ratio")</f>
        <v>Odds Ratio</v>
      </c>
      <c r="B34" s="121"/>
      <c r="C34" s="121"/>
      <c r="D34" s="121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4"/>
      <c r="U34" s="124"/>
      <c r="W34" s="124"/>
      <c r="Y34" s="124"/>
      <c r="AA34" s="124"/>
    </row>
    <row r="35" spans="1:27" x14ac:dyDescent="0.3">
      <c r="A35" s="120" t="str">
        <f>IF(Subgroup_weighting_method="Inverse variance","Risk Ratio","")</f>
        <v>Risk Ratio</v>
      </c>
      <c r="B35" s="120"/>
      <c r="C35" s="120"/>
      <c r="D35" s="120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4"/>
      <c r="U35" s="124"/>
      <c r="W35" s="124"/>
      <c r="Y35" s="124"/>
      <c r="AA35" s="124"/>
    </row>
    <row r="36" spans="1:27" x14ac:dyDescent="0.3">
      <c r="A36" s="120" t="str">
        <f>IF(Subgroup_weighting_method="Inverse Variance","Risk Difference","")</f>
        <v>Risk Difference</v>
      </c>
      <c r="B36" s="120"/>
      <c r="C36" s="120"/>
      <c r="D36" s="120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4"/>
      <c r="U36" s="124"/>
      <c r="W36" s="124"/>
      <c r="Y36" s="124"/>
      <c r="AA36" s="124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4"/>
      <c r="U37" s="124"/>
      <c r="W37" s="124"/>
      <c r="Y37" s="124"/>
      <c r="AA37" s="124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4"/>
      <c r="U38" s="124"/>
      <c r="W38" s="124"/>
      <c r="Y38" s="124"/>
      <c r="AA38" s="124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4"/>
      <c r="U39" s="124"/>
      <c r="W39" s="124"/>
      <c r="Y39" s="124"/>
      <c r="AA39" s="124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4"/>
      <c r="U40" s="124"/>
      <c r="W40" s="124"/>
      <c r="Y40" s="124"/>
      <c r="AA40" s="124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4"/>
      <c r="U41" s="124"/>
      <c r="W41" s="124"/>
      <c r="Y41" s="124"/>
      <c r="AA41" s="124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4"/>
      <c r="U42" s="124"/>
      <c r="W42" s="124"/>
      <c r="Y42" s="124"/>
      <c r="AA42" s="124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4"/>
      <c r="U43" s="124"/>
      <c r="W43" s="124"/>
      <c r="Y43" s="124"/>
      <c r="AA43" s="124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4"/>
      <c r="U44" s="124"/>
      <c r="W44" s="124"/>
      <c r="Y44" s="124"/>
      <c r="AA44" s="124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4"/>
      <c r="U45" s="124"/>
      <c r="W45" s="124"/>
      <c r="Y45" s="124"/>
      <c r="AA45" s="124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4"/>
      <c r="U46" s="124"/>
      <c r="W46" s="124"/>
      <c r="Y46" s="124"/>
      <c r="AA46" s="124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4"/>
      <c r="U47" s="124"/>
      <c r="W47" s="124"/>
      <c r="Y47" s="124"/>
      <c r="AA47" s="124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4"/>
      <c r="U48" s="124"/>
      <c r="W48" s="124"/>
      <c r="Y48" s="124"/>
      <c r="AA48" s="124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4"/>
      <c r="U49" s="124"/>
      <c r="W49" s="124"/>
      <c r="Y49" s="124"/>
      <c r="AA49" s="124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4"/>
      <c r="U50" s="124"/>
      <c r="W50" s="124"/>
      <c r="Y50" s="124"/>
      <c r="AA50" s="124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4"/>
      <c r="U51" s="124"/>
      <c r="W51" s="124"/>
      <c r="Y51" s="124"/>
      <c r="AA51" s="124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4"/>
      <c r="U52" s="124"/>
      <c r="W52" s="124"/>
      <c r="Y52" s="124"/>
      <c r="AA52" s="124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4"/>
      <c r="U53" s="124"/>
      <c r="W53" s="124"/>
      <c r="Y53" s="124"/>
      <c r="AA53" s="124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4"/>
      <c r="U54" s="124"/>
      <c r="W54" s="124"/>
      <c r="Y54" s="124"/>
      <c r="AA54" s="124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4"/>
      <c r="U55" s="124"/>
      <c r="W55" s="124"/>
      <c r="Y55" s="124"/>
      <c r="AA55" s="124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4"/>
      <c r="U56" s="124"/>
      <c r="W56" s="124"/>
      <c r="Y56" s="124"/>
      <c r="AA56" s="124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4"/>
      <c r="U57" s="124"/>
      <c r="W57" s="124"/>
      <c r="Y57" s="124"/>
      <c r="AA57" s="124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4"/>
      <c r="U58" s="124"/>
      <c r="W58" s="124"/>
      <c r="Y58" s="124"/>
      <c r="AA58" s="124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4"/>
      <c r="U59" s="124"/>
      <c r="W59" s="124"/>
      <c r="Y59" s="124"/>
      <c r="AA59" s="124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4"/>
      <c r="U60" s="124"/>
      <c r="W60" s="124"/>
      <c r="Y60" s="124"/>
      <c r="AA60" s="124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4"/>
      <c r="U61" s="124"/>
      <c r="W61" s="124"/>
      <c r="Y61" s="124"/>
      <c r="AA61" s="124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4"/>
      <c r="U62" s="124"/>
      <c r="W62" s="124"/>
      <c r="Y62" s="124"/>
      <c r="AA62" s="124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4"/>
      <c r="U63" s="124"/>
      <c r="W63" s="124"/>
      <c r="Y63" s="124"/>
      <c r="AA63" s="124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4"/>
      <c r="U64" s="124"/>
      <c r="W64" s="124"/>
      <c r="Y64" s="124"/>
      <c r="AA64" s="124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4"/>
      <c r="U65" s="124"/>
      <c r="W65" s="124"/>
      <c r="Y65" s="124"/>
      <c r="AA65" s="124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4"/>
      <c r="U66" s="124"/>
      <c r="W66" s="124"/>
      <c r="Y66" s="124"/>
      <c r="AA66" s="124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4"/>
      <c r="U67" s="124"/>
      <c r="W67" s="124"/>
      <c r="Y67" s="124"/>
      <c r="AA67" s="124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4"/>
      <c r="U68" s="124"/>
      <c r="W68" s="124"/>
      <c r="Y68" s="124"/>
      <c r="AA68" s="124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4"/>
      <c r="U69" s="124"/>
      <c r="W69" s="124"/>
      <c r="Y69" s="124"/>
      <c r="AA69" s="124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4"/>
      <c r="U70" s="124"/>
      <c r="W70" s="124"/>
      <c r="Y70" s="124"/>
      <c r="AA70" s="124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4"/>
      <c r="U71" s="124"/>
      <c r="W71" s="124"/>
      <c r="Y71" s="124"/>
      <c r="AA71" s="124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4"/>
      <c r="U72" s="124"/>
      <c r="W72" s="124"/>
      <c r="Y72" s="124"/>
      <c r="AA72" s="124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4"/>
      <c r="U73" s="124"/>
      <c r="W73" s="124"/>
      <c r="Y73" s="124"/>
      <c r="AA73" s="124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4"/>
      <c r="U74" s="124"/>
      <c r="W74" s="124"/>
      <c r="Y74" s="124"/>
      <c r="AA74" s="124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4"/>
      <c r="U75" s="124"/>
      <c r="W75" s="124"/>
      <c r="Y75" s="124"/>
      <c r="AA75" s="124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4"/>
      <c r="U76" s="124"/>
      <c r="W76" s="124"/>
      <c r="Y76" s="124"/>
      <c r="AA76" s="124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4"/>
      <c r="U77" s="124"/>
      <c r="W77" s="124"/>
      <c r="Y77" s="124"/>
      <c r="AA77" s="124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4"/>
      <c r="U78" s="124"/>
      <c r="W78" s="124"/>
      <c r="Y78" s="124"/>
      <c r="AA78" s="124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4"/>
      <c r="U79" s="124"/>
      <c r="W79" s="124"/>
      <c r="Y79" s="124"/>
      <c r="AA79" s="124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4"/>
      <c r="U80" s="124"/>
      <c r="W80" s="124"/>
      <c r="Y80" s="124"/>
      <c r="AA80" s="124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4"/>
      <c r="U81" s="124"/>
      <c r="W81" s="124"/>
      <c r="Y81" s="124"/>
      <c r="AA81" s="124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4"/>
      <c r="U82" s="124"/>
      <c r="W82" s="124"/>
      <c r="Y82" s="124"/>
      <c r="AA82" s="124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4"/>
      <c r="U83" s="124"/>
      <c r="W83" s="124"/>
      <c r="Y83" s="124"/>
      <c r="AA83" s="124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4"/>
      <c r="U84" s="124"/>
      <c r="W84" s="124"/>
      <c r="Y84" s="124"/>
      <c r="AA84" s="124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4"/>
      <c r="U85" s="124"/>
      <c r="W85" s="124"/>
      <c r="Y85" s="124"/>
      <c r="AA85" s="124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4"/>
      <c r="U86" s="124"/>
      <c r="W86" s="124"/>
      <c r="Y86" s="124"/>
      <c r="AA86" s="124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4"/>
      <c r="U87" s="124"/>
      <c r="W87" s="124"/>
      <c r="Y87" s="124"/>
      <c r="AA87" s="124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4"/>
      <c r="U88" s="124"/>
      <c r="W88" s="124"/>
      <c r="Y88" s="124"/>
      <c r="AA88" s="124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4"/>
      <c r="U89" s="124"/>
      <c r="W89" s="124"/>
      <c r="Y89" s="124"/>
      <c r="AA89" s="124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4"/>
      <c r="U90" s="124"/>
      <c r="W90" s="124"/>
      <c r="Y90" s="124"/>
      <c r="AA90" s="124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4"/>
      <c r="U91" s="124"/>
      <c r="W91" s="124"/>
      <c r="Y91" s="124"/>
      <c r="AA91" s="124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4"/>
      <c r="U92" s="124"/>
      <c r="W92" s="124"/>
      <c r="Y92" s="124"/>
      <c r="AA92" s="124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4"/>
      <c r="U93" s="124"/>
      <c r="W93" s="124"/>
      <c r="Y93" s="124"/>
      <c r="AA93" s="124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4"/>
      <c r="U94" s="124"/>
      <c r="W94" s="124"/>
      <c r="Y94" s="124"/>
      <c r="AA94" s="124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4"/>
      <c r="U95" s="124"/>
      <c r="W95" s="124"/>
      <c r="Y95" s="124"/>
      <c r="AA95" s="124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4"/>
      <c r="U96" s="124"/>
      <c r="W96" s="124"/>
      <c r="Y96" s="124"/>
      <c r="AA96" s="124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4"/>
      <c r="U97" s="124"/>
      <c r="W97" s="124"/>
      <c r="Y97" s="124"/>
      <c r="AA97" s="124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4"/>
      <c r="U98" s="124"/>
      <c r="W98" s="124"/>
      <c r="Y98" s="124"/>
      <c r="AA98" s="124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4"/>
      <c r="U99" s="124"/>
      <c r="W99" s="124"/>
      <c r="Y99" s="124"/>
      <c r="AA99" s="124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4"/>
      <c r="U100" s="124"/>
      <c r="W100" s="124"/>
      <c r="Y100" s="124"/>
      <c r="AA100" s="124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4"/>
      <c r="U101" s="124"/>
      <c r="W101" s="124"/>
      <c r="Y101" s="124"/>
      <c r="AA101" s="124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4"/>
      <c r="U102" s="124"/>
      <c r="W102" s="124"/>
      <c r="Y102" s="124"/>
      <c r="AA102" s="124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4"/>
      <c r="U103" s="124"/>
      <c r="W103" s="124"/>
      <c r="Y103" s="124"/>
      <c r="AA103" s="124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4"/>
      <c r="U104" s="124"/>
      <c r="W104" s="124"/>
      <c r="Y104" s="124"/>
      <c r="AA104" s="124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4"/>
      <c r="U105" s="124"/>
      <c r="W105" s="124"/>
      <c r="Y105" s="124"/>
      <c r="AA105" s="124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4"/>
      <c r="U106" s="124"/>
      <c r="W106" s="124"/>
      <c r="Y106" s="124"/>
      <c r="AA106" s="124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4"/>
      <c r="U107" s="124"/>
      <c r="W107" s="124"/>
      <c r="Y107" s="124"/>
      <c r="AA107" s="124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4"/>
      <c r="U108" s="124"/>
      <c r="W108" s="124"/>
      <c r="Y108" s="124"/>
      <c r="AA108" s="124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4"/>
      <c r="U109" s="124"/>
      <c r="W109" s="124"/>
      <c r="Y109" s="124"/>
      <c r="AA109" s="124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4"/>
      <c r="U110" s="124"/>
      <c r="W110" s="124"/>
      <c r="Y110" s="124"/>
      <c r="AA110" s="124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4"/>
      <c r="U111" s="124"/>
      <c r="W111" s="124"/>
      <c r="Y111" s="124"/>
      <c r="AA111" s="124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4"/>
      <c r="U112" s="124"/>
      <c r="W112" s="124"/>
      <c r="Y112" s="124"/>
      <c r="AA112" s="124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4"/>
      <c r="U113" s="124"/>
      <c r="W113" s="124"/>
      <c r="Y113" s="124"/>
      <c r="AA113" s="124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4"/>
      <c r="U114" s="124"/>
      <c r="W114" s="124"/>
      <c r="Y114" s="124"/>
      <c r="AA114" s="124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4"/>
      <c r="U115" s="124"/>
      <c r="W115" s="124"/>
      <c r="Y115" s="124"/>
      <c r="AA115" s="124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4"/>
      <c r="U116" s="124"/>
      <c r="W116" s="124"/>
      <c r="Y116" s="124"/>
      <c r="AA116" s="124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4"/>
      <c r="U117" s="124"/>
      <c r="W117" s="124"/>
      <c r="Y117" s="124"/>
      <c r="AA117" s="124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4"/>
      <c r="U118" s="124"/>
      <c r="W118" s="124"/>
      <c r="Y118" s="124"/>
      <c r="AA118" s="124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4"/>
      <c r="U119" s="124"/>
      <c r="W119" s="124"/>
      <c r="Y119" s="124"/>
      <c r="AA119" s="124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4"/>
      <c r="U120" s="124"/>
      <c r="W120" s="124"/>
      <c r="Y120" s="124"/>
      <c r="AA120" s="124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4"/>
      <c r="U121" s="124"/>
      <c r="W121" s="124"/>
      <c r="Y121" s="124"/>
      <c r="AA121" s="124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4"/>
      <c r="U122" s="124"/>
      <c r="W122" s="124"/>
      <c r="Y122" s="124"/>
      <c r="AA122" s="124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4"/>
      <c r="U123" s="124"/>
      <c r="W123" s="124"/>
      <c r="Y123" s="124"/>
      <c r="AA123" s="124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4"/>
      <c r="U124" s="124"/>
      <c r="W124" s="124"/>
      <c r="Y124" s="124"/>
      <c r="AA124" s="124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4"/>
      <c r="U125" s="124"/>
      <c r="W125" s="124"/>
      <c r="Y125" s="124"/>
      <c r="AA125" s="124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4"/>
      <c r="U126" s="124"/>
      <c r="W126" s="124"/>
      <c r="Y126" s="124"/>
      <c r="AA126" s="124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4"/>
      <c r="U127" s="124"/>
      <c r="W127" s="124"/>
      <c r="Y127" s="124"/>
      <c r="AA127" s="124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4"/>
      <c r="U128" s="124"/>
      <c r="W128" s="124"/>
      <c r="Y128" s="124"/>
      <c r="AA128" s="124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4"/>
      <c r="U129" s="124"/>
      <c r="W129" s="124"/>
      <c r="Y129" s="124"/>
      <c r="AA129" s="124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4"/>
      <c r="U130" s="124"/>
      <c r="W130" s="124"/>
      <c r="Y130" s="124"/>
      <c r="AA130" s="124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4"/>
      <c r="U131" s="124"/>
      <c r="W131" s="124"/>
      <c r="Y131" s="124"/>
      <c r="AA131" s="124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4"/>
      <c r="U132" s="124"/>
      <c r="W132" s="124"/>
      <c r="Y132" s="124"/>
      <c r="AA132" s="124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4"/>
      <c r="U133" s="124"/>
      <c r="W133" s="124"/>
      <c r="Y133" s="124"/>
      <c r="AA133" s="124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4"/>
      <c r="U134" s="124"/>
      <c r="W134" s="124"/>
      <c r="Y134" s="124"/>
      <c r="AA134" s="124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4"/>
      <c r="U135" s="124"/>
      <c r="W135" s="124"/>
      <c r="Y135" s="124"/>
      <c r="AA135" s="124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4"/>
      <c r="U136" s="124"/>
      <c r="W136" s="124"/>
      <c r="Y136" s="124"/>
      <c r="AA136" s="124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4"/>
      <c r="U137" s="124"/>
      <c r="W137" s="124"/>
      <c r="Y137" s="124"/>
      <c r="AA137" s="124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4"/>
      <c r="U138" s="124"/>
      <c r="W138" s="124"/>
      <c r="Y138" s="124"/>
      <c r="AA138" s="124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4"/>
      <c r="U139" s="124"/>
      <c r="W139" s="124"/>
      <c r="Y139" s="124"/>
      <c r="AA139" s="124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4"/>
      <c r="U140" s="124"/>
      <c r="W140" s="124"/>
      <c r="Y140" s="124"/>
      <c r="AA140" s="124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4"/>
      <c r="U141" s="124"/>
      <c r="W141" s="124"/>
      <c r="Y141" s="124"/>
      <c r="AA141" s="124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4"/>
      <c r="U142" s="124"/>
      <c r="W142" s="124"/>
      <c r="Y142" s="124"/>
      <c r="AA142" s="124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4"/>
      <c r="U143" s="124"/>
      <c r="W143" s="124"/>
      <c r="Y143" s="124"/>
      <c r="AA143" s="124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4"/>
      <c r="U144" s="124"/>
      <c r="W144" s="124"/>
      <c r="Y144" s="124"/>
      <c r="AA144" s="124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4"/>
      <c r="U145" s="124"/>
      <c r="W145" s="124"/>
      <c r="Y145" s="124"/>
      <c r="AA145" s="124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4"/>
      <c r="U146" s="124"/>
      <c r="W146" s="124"/>
      <c r="Y146" s="124"/>
      <c r="AA146" s="124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4"/>
      <c r="U147" s="124"/>
      <c r="W147" s="124"/>
      <c r="Y147" s="124"/>
      <c r="AA147" s="124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4"/>
      <c r="U148" s="124"/>
      <c r="W148" s="124"/>
      <c r="Y148" s="124"/>
      <c r="AA148" s="124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4"/>
      <c r="U149" s="124"/>
      <c r="W149" s="124"/>
      <c r="Y149" s="124"/>
      <c r="AA149" s="124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4"/>
      <c r="U150" s="124"/>
      <c r="W150" s="124"/>
      <c r="Y150" s="124"/>
      <c r="AA150" s="124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4"/>
      <c r="U151" s="124"/>
      <c r="W151" s="124"/>
      <c r="Y151" s="124"/>
      <c r="AA151" s="124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4"/>
      <c r="U152" s="124"/>
      <c r="W152" s="124"/>
      <c r="Y152" s="124"/>
      <c r="AA152" s="124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4"/>
      <c r="U153" s="124"/>
      <c r="W153" s="124"/>
      <c r="Y153" s="124"/>
      <c r="AA153" s="124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4"/>
      <c r="U154" s="124"/>
      <c r="W154" s="124"/>
      <c r="Y154" s="124"/>
      <c r="AA154" s="124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4"/>
      <c r="U155" s="124"/>
      <c r="W155" s="124"/>
      <c r="Y155" s="124"/>
      <c r="AA155" s="124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4"/>
      <c r="U156" s="124"/>
      <c r="W156" s="124"/>
      <c r="Y156" s="124"/>
      <c r="AA156" s="124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4"/>
      <c r="U157" s="124"/>
      <c r="W157" s="124"/>
      <c r="Y157" s="124"/>
      <c r="AA157" s="124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4"/>
      <c r="U158" s="124"/>
      <c r="W158" s="124"/>
      <c r="Y158" s="124"/>
      <c r="AA158" s="124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4"/>
      <c r="U159" s="124"/>
      <c r="W159" s="124"/>
      <c r="Y159" s="124"/>
      <c r="AA159" s="124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4"/>
      <c r="U160" s="124"/>
      <c r="W160" s="124"/>
      <c r="Y160" s="124"/>
      <c r="AA160" s="124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4"/>
      <c r="U161" s="124"/>
      <c r="W161" s="124"/>
      <c r="Y161" s="124"/>
      <c r="AA161" s="124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4"/>
      <c r="U162" s="124"/>
      <c r="W162" s="124"/>
      <c r="Y162" s="124"/>
      <c r="AA162" s="124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4"/>
      <c r="U163" s="124"/>
      <c r="W163" s="124"/>
      <c r="Y163" s="124"/>
      <c r="AA163" s="124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4"/>
      <c r="U164" s="124"/>
      <c r="W164" s="124"/>
      <c r="Y164" s="124"/>
      <c r="AA164" s="124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4"/>
      <c r="U165" s="124"/>
      <c r="W165" s="124"/>
      <c r="Y165" s="124"/>
      <c r="AA165" s="124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4"/>
      <c r="U166" s="124"/>
      <c r="W166" s="124"/>
      <c r="Y166" s="124"/>
      <c r="AA166" s="124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4"/>
      <c r="U167" s="124"/>
      <c r="W167" s="124"/>
      <c r="Y167" s="124"/>
      <c r="AA167" s="124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4"/>
      <c r="U168" s="124"/>
      <c r="W168" s="124"/>
      <c r="Y168" s="124"/>
      <c r="AA168" s="124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4"/>
      <c r="U169" s="124"/>
      <c r="W169" s="124"/>
      <c r="Y169" s="124"/>
      <c r="AA169" s="124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4"/>
      <c r="U170" s="124"/>
      <c r="W170" s="124"/>
      <c r="Y170" s="124"/>
      <c r="AA170" s="124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4"/>
      <c r="U171" s="124"/>
      <c r="W171" s="124"/>
      <c r="Y171" s="124"/>
      <c r="AA171" s="124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4"/>
      <c r="U172" s="124"/>
      <c r="W172" s="124"/>
      <c r="Y172" s="124"/>
      <c r="AA172" s="124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4"/>
      <c r="U173" s="124"/>
      <c r="W173" s="124"/>
      <c r="Y173" s="124"/>
      <c r="AA173" s="124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4"/>
      <c r="U174" s="124"/>
      <c r="W174" s="124"/>
      <c r="Y174" s="124"/>
      <c r="AA174" s="124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4"/>
      <c r="U175" s="124"/>
      <c r="W175" s="124"/>
      <c r="Y175" s="124"/>
      <c r="AA175" s="124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4"/>
      <c r="U176" s="124"/>
      <c r="W176" s="124"/>
      <c r="Y176" s="124"/>
      <c r="AA176" s="124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4"/>
      <c r="U177" s="124"/>
      <c r="W177" s="124"/>
      <c r="Y177" s="124"/>
      <c r="AA177" s="124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4"/>
      <c r="U178" s="124"/>
      <c r="W178" s="124"/>
      <c r="Y178" s="124"/>
      <c r="AA178" s="124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4"/>
      <c r="U179" s="124"/>
      <c r="W179" s="124"/>
      <c r="Y179" s="124"/>
      <c r="AA179" s="124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4"/>
      <c r="U180" s="124"/>
      <c r="W180" s="124"/>
      <c r="Y180" s="124"/>
      <c r="AA180" s="124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4"/>
      <c r="U181" s="124"/>
      <c r="W181" s="124"/>
      <c r="Y181" s="124"/>
      <c r="AA181" s="124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4"/>
      <c r="U182" s="124"/>
      <c r="W182" s="124"/>
      <c r="Y182" s="124"/>
      <c r="AA182" s="124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4"/>
      <c r="U183" s="124"/>
      <c r="W183" s="124"/>
      <c r="Y183" s="124"/>
      <c r="AA183" s="124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4"/>
      <c r="U184" s="124"/>
      <c r="W184" s="124"/>
      <c r="Y184" s="124"/>
      <c r="AA184" s="124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4"/>
      <c r="U185" s="124"/>
      <c r="W185" s="124"/>
      <c r="Y185" s="124"/>
      <c r="AA185" s="124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4"/>
      <c r="U186" s="124"/>
      <c r="W186" s="124"/>
      <c r="Y186" s="124"/>
      <c r="AA186" s="124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4"/>
      <c r="U187" s="124"/>
      <c r="W187" s="124"/>
      <c r="Y187" s="124"/>
      <c r="AA187" s="124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4"/>
      <c r="U188" s="124"/>
      <c r="W188" s="124"/>
      <c r="Y188" s="124"/>
      <c r="AA188" s="124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4"/>
      <c r="U189" s="124"/>
      <c r="W189" s="124"/>
      <c r="Y189" s="124"/>
      <c r="AA189" s="124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4"/>
      <c r="U190" s="124"/>
      <c r="W190" s="124"/>
      <c r="Y190" s="124"/>
      <c r="AA190" s="124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4"/>
      <c r="U191" s="124"/>
      <c r="W191" s="124"/>
      <c r="Y191" s="124"/>
      <c r="AA191" s="124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4"/>
      <c r="U192" s="124"/>
      <c r="W192" s="124"/>
      <c r="Y192" s="124"/>
      <c r="AA192" s="124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4"/>
      <c r="U193" s="124"/>
      <c r="W193" s="124"/>
      <c r="Y193" s="124"/>
      <c r="AA193" s="124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4"/>
      <c r="U194" s="124"/>
      <c r="W194" s="124"/>
      <c r="Y194" s="124"/>
      <c r="AA194" s="124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4"/>
      <c r="U195" s="124"/>
      <c r="W195" s="124"/>
      <c r="Y195" s="124"/>
      <c r="AA195" s="124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4"/>
      <c r="U196" s="124"/>
      <c r="W196" s="124"/>
      <c r="Y196" s="124"/>
      <c r="AA196" s="124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4"/>
      <c r="U197" s="124"/>
      <c r="W197" s="124"/>
      <c r="Y197" s="124"/>
      <c r="AA197" s="124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4"/>
      <c r="U198" s="124"/>
      <c r="W198" s="124"/>
      <c r="Y198" s="124"/>
      <c r="AA198" s="124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4"/>
      <c r="U199" s="124"/>
      <c r="W199" s="124"/>
      <c r="Y199" s="124"/>
      <c r="AA199" s="124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4"/>
      <c r="U200" s="124"/>
      <c r="W200" s="124"/>
      <c r="Y200" s="124"/>
      <c r="AA200" s="124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5"/>
      <c r="U201" s="125"/>
      <c r="W201" s="125"/>
      <c r="Y201" s="125"/>
      <c r="AA201" s="125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22" t="s">
        <v>40</v>
      </c>
      <c r="B1" s="122"/>
      <c r="D1" s="1" t="s">
        <v>1</v>
      </c>
      <c r="E1" s="1" t="s">
        <v>11</v>
      </c>
      <c r="F1" s="1" t="str">
        <f>Moderator_effect_size_measure</f>
        <v>Log Odds Ratio</v>
      </c>
      <c r="G1" s="1" t="s">
        <v>44</v>
      </c>
    </row>
    <row r="2" spans="1:7" x14ac:dyDescent="0.3">
      <c r="A2" s="3" t="s">
        <v>53</v>
      </c>
      <c r="B2" s="5" t="s">
        <v>88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94</v>
      </c>
      <c r="B3" s="5" t="s">
        <v>107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60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45</v>
      </c>
      <c r="B6" s="5" t="s">
        <v>108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50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22" t="s">
        <v>77</v>
      </c>
      <c r="B9" s="122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21" t="s">
        <v>88</v>
      </c>
      <c r="B10" s="121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20" t="s">
        <v>78</v>
      </c>
      <c r="B11" s="120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20" t="s">
        <v>79</v>
      </c>
      <c r="B12" s="120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22" t="s">
        <v>106</v>
      </c>
      <c r="B14" s="122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21" t="str">
        <f>IF(Moderator_weighting_method="Peto","Log Peto Odds Ratio","Log Odds Ratio")</f>
        <v>Log Odds Ratio</v>
      </c>
      <c r="B15" s="121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20" t="str">
        <f>IF(Moderator_weighting_method="Inverse variance","Log Risk Ratio","")</f>
        <v>Log Risk Ratio</v>
      </c>
      <c r="B16" s="120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20" t="str">
        <f>IF(Moderator_weighting_method="Inverse Variance","Risk Difference","")</f>
        <v>Risk Difference</v>
      </c>
      <c r="B17" s="120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109</v>
      </c>
      <c r="K28" s="1" t="s">
        <v>110</v>
      </c>
      <c r="L28" s="1" t="s">
        <v>111</v>
      </c>
      <c r="M28" s="1" t="s">
        <v>112</v>
      </c>
      <c r="N28" s="25" t="s">
        <v>113</v>
      </c>
      <c r="O28" s="1" t="s">
        <v>68</v>
      </c>
      <c r="P28" s="1" t="s">
        <v>114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115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100</v>
      </c>
      <c r="J32" s="1" t="str">
        <f>IF(Moderator_model="Fixed effect","Sum of squares (Q)","Sum of squares (Q*)")</f>
        <v>Sum of squares (Q)</v>
      </c>
      <c r="K32" s="1" t="s">
        <v>101</v>
      </c>
      <c r="L32" s="1" t="s">
        <v>102</v>
      </c>
      <c r="N32" s="1" t="s">
        <v>116</v>
      </c>
      <c r="O32" s="1" t="s">
        <v>117</v>
      </c>
      <c r="P32" s="1" t="s">
        <v>114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45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118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119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120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121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Normal="100" workbookViewId="0">
      <pane ySplit="1" topLeftCell="A2" activePane="bottomLeft" state="frozen"/>
      <selection pane="bottomLeft" activeCell="E2" sqref="E2:F15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40</v>
      </c>
      <c r="B1" s="1"/>
      <c r="D1" s="1" t="s">
        <v>1</v>
      </c>
      <c r="E1" s="1" t="str">
        <f>Additional_effect_size_measure</f>
        <v>Log Odds Ratio</v>
      </c>
      <c r="F1" s="1" t="s">
        <v>122</v>
      </c>
      <c r="M1" s="85"/>
      <c r="O1" s="122" t="s">
        <v>123</v>
      </c>
      <c r="P1" s="122"/>
      <c r="Q1" s="122"/>
      <c r="R1" s="122"/>
      <c r="S1" s="28"/>
      <c r="T1" s="85"/>
      <c r="V1" s="1" t="s">
        <v>1</v>
      </c>
      <c r="W1" s="1" t="s">
        <v>124</v>
      </c>
      <c r="AE1" s="85"/>
      <c r="AG1" s="1" t="s">
        <v>1</v>
      </c>
      <c r="AH1" s="1" t="s">
        <v>125</v>
      </c>
      <c r="AI1" s="1" t="s">
        <v>126</v>
      </c>
      <c r="AR1" s="85"/>
      <c r="AT1" s="1" t="s">
        <v>1</v>
      </c>
      <c r="AU1" s="1" t="s">
        <v>127</v>
      </c>
      <c r="AV1" s="1" t="s">
        <v>128</v>
      </c>
      <c r="BC1" s="85"/>
      <c r="BE1" s="1" t="s">
        <v>1</v>
      </c>
      <c r="BF1" s="75" t="s">
        <v>129</v>
      </c>
      <c r="BG1" s="1" t="s">
        <v>130</v>
      </c>
      <c r="BP1" s="85"/>
      <c r="BR1" s="1" t="s">
        <v>131</v>
      </c>
      <c r="BS1" s="1"/>
      <c r="BT1" s="85"/>
    </row>
    <row r="2" spans="1:72" x14ac:dyDescent="0.3">
      <c r="A2" s="3" t="s">
        <v>53</v>
      </c>
      <c r="B2" s="5" t="s">
        <v>88</v>
      </c>
      <c r="D2" s="43" t="str">
        <f t="shared" ref="D2:D33" si="0">IF(AND(Include_study?="Yes",Sufficient_data="Yes"),Study_name,"")</f>
        <v>Yeh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-0.23471757519609454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0.17198852231711717</v>
      </c>
      <c r="M2" s="124" t="s">
        <v>132</v>
      </c>
      <c r="O2" s="3"/>
      <c r="P2" s="3" t="s">
        <v>133</v>
      </c>
      <c r="Q2" s="3" t="s">
        <v>110</v>
      </c>
      <c r="R2" s="3" t="s">
        <v>111</v>
      </c>
      <c r="S2" s="3" t="s">
        <v>112</v>
      </c>
      <c r="T2" s="124" t="s">
        <v>134</v>
      </c>
      <c r="V2" s="77" t="str">
        <f t="shared" ref="V2:V33" si="3">IF(AND(Include_study?="Yes",Sufficient_data="Yes"),Study_name,"")</f>
        <v>Yeh et al.</v>
      </c>
      <c r="W2" s="34">
        <f>IF(AND(Include_study?="Yes",Sufficient_data="Yes"),((E:E-I$29)*SQRT(Calculations!FU:FU))/SQRT(1-Calculations!FU:FU/SUM(Calculations!FU:FU)),"")</f>
        <v>2.0842844250215617</v>
      </c>
      <c r="AE2" s="124" t="s">
        <v>135</v>
      </c>
      <c r="AG2" s="77" t="str">
        <f t="shared" ref="AG2:AG33" si="4">IF(AND(Include_study?="Yes",Sufficient_data="Yes"),Study_name,"")</f>
        <v>Yeh et al.</v>
      </c>
      <c r="AH2" s="74">
        <f t="shared" ref="AH2:AH65" si="5">IF(AND(Sufficient_data="Yes",Include_study?="Yes"),c_/(c_+d_),"")</f>
        <v>3.4247828074988572E-2</v>
      </c>
      <c r="AI2" s="34">
        <f t="shared" ref="AI2:AI65" si="6">IF(AND(Sufficient_data="Yes",Include_study?="Yes"),a_/(a_+b_),"")</f>
        <v>2.7278428093645484E-2</v>
      </c>
      <c r="AR2" s="124" t="s">
        <v>136</v>
      </c>
      <c r="AT2" s="77" t="str">
        <f t="shared" ref="AT2:AT33" si="7">IF(AND(Include_study?="Yes",Sufficient_data="Yes"),Study_name,"")</f>
        <v>Yeh et al.</v>
      </c>
      <c r="AU2" s="74">
        <f t="shared" ref="AU2:AU33" si="8">IF(AND(Include_study?="Yes",Sufficient_data="Yes"),IF(AND(Additional_valid_options="No",Additional_model="Random effects"),NA(),Inverse_standard_error),"")</f>
        <v>5.8143414835332585</v>
      </c>
      <c r="AV2" s="34">
        <f t="shared" ref="AV2:AV33" si="9">IF(AND(Include_study?="Yes",Sufficient_data="Yes"),IF(AND(Additional_valid_options="No",Additional_model="Random effects"),NA(),Z_score),"")</f>
        <v>-1.3647281343769895</v>
      </c>
      <c r="BC2" s="124" t="s">
        <v>137</v>
      </c>
      <c r="BE2" s="74" t="str">
        <f t="shared" ref="BE2:BE33" si="10">IF(AND(Include_study?="Yes",Sufficient_data="Yes"),Study_name,"")</f>
        <v>Yeh et al.</v>
      </c>
      <c r="BF2" s="74">
        <f>IF(AND(Include_study?="Yes",Sufficient_data="Yes"),NORMSINV(Calculations!IW2),"")</f>
        <v>1.3351777361189372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-1.3647281343769895</v>
      </c>
      <c r="BP2" s="124" t="s">
        <v>138</v>
      </c>
      <c r="BR2" s="138" t="s">
        <v>139</v>
      </c>
      <c r="BS2" s="138"/>
      <c r="BT2" s="124" t="s">
        <v>140</v>
      </c>
    </row>
    <row r="3" spans="1:72" x14ac:dyDescent="0.3">
      <c r="A3" s="3" t="s">
        <v>94</v>
      </c>
      <c r="B3" s="5" t="s">
        <v>107</v>
      </c>
      <c r="D3" s="44" t="str">
        <f t="shared" si="0"/>
        <v>Yeh et al.</v>
      </c>
      <c r="E3" s="3">
        <f t="shared" si="1"/>
        <v>-1.2554442075561587</v>
      </c>
      <c r="F3" s="3">
        <f t="shared" si="2"/>
        <v>0.2239353962215887</v>
      </c>
      <c r="M3" s="124"/>
      <c r="O3" s="3" t="s">
        <v>115</v>
      </c>
      <c r="P3" s="4">
        <f>IF(Additional_valid_options="Yes",INTERCEPT(Z_score,Inverse_standard_error),NA())</f>
        <v>-9.6366976623998433</v>
      </c>
      <c r="Q3" s="4">
        <f>IF(Additional_valid_options="Yes",Q4*SQRT(1/k_*SUMPRODUCT(Inverse_standard_error,Inverse_standard_error)),NA())</f>
        <v>5.2826488843838391</v>
      </c>
      <c r="R3" s="4">
        <f>P3-ABS(TINV((1-Additional_confidence_level),k_-1))*Q3</f>
        <v>-22.562873823036405</v>
      </c>
      <c r="S3" s="4">
        <f>P3+ABS(TINV((1-Additional_confidence_level),k_-1))*Q3</f>
        <v>3.2894784982367202</v>
      </c>
      <c r="T3" s="124"/>
      <c r="V3" s="76" t="str">
        <f t="shared" si="3"/>
        <v>Yeh et al.</v>
      </c>
      <c r="W3" s="35">
        <f>IF(AND(Include_study?="Yes",Sufficient_data="Yes"),((E:E-I$29)*SQRT(Calculations!FU:FU))/SQRT(1-Calculations!FU:FU/SUM(Calculations!FU:FU)),"")</f>
        <v>-3.2285403009749349</v>
      </c>
      <c r="AE3" s="124"/>
      <c r="AG3" s="76" t="str">
        <f t="shared" si="4"/>
        <v>Yeh et al.</v>
      </c>
      <c r="AH3" s="3">
        <f t="shared" si="5"/>
        <v>1.5714833269451896E-2</v>
      </c>
      <c r="AI3" s="35">
        <f t="shared" si="6"/>
        <v>4.5288197621225984E-3</v>
      </c>
      <c r="AR3" s="124"/>
      <c r="AT3" s="76" t="str">
        <f t="shared" si="7"/>
        <v>Yeh et al.</v>
      </c>
      <c r="AU3" s="3">
        <f t="shared" si="8"/>
        <v>4.465573629148289</v>
      </c>
      <c r="AV3" s="35">
        <f t="shared" si="9"/>
        <v>-5.6062785461297544</v>
      </c>
      <c r="BC3" s="124"/>
      <c r="BE3" s="76" t="str">
        <f t="shared" si="10"/>
        <v>Yeh et al.</v>
      </c>
      <c r="BF3" s="3">
        <f>IF(AND(Include_study?="Yes",Sufficient_data="Yes"),NORMSINV(Calculations!IW3),"")</f>
        <v>-1.3351777361189361</v>
      </c>
      <c r="BG3" s="35">
        <f t="shared" si="11"/>
        <v>-5.6062785461297544</v>
      </c>
      <c r="BP3" s="124"/>
      <c r="BR3" s="3" t="s">
        <v>141</v>
      </c>
      <c r="BS3" s="4">
        <f>SUM(Calculations!JH:JH)/SQRT(k_)</f>
        <v>-8.6799633589355523</v>
      </c>
      <c r="BT3" s="124"/>
    </row>
    <row r="4" spans="1:72" x14ac:dyDescent="0.3">
      <c r="A4" s="3" t="s">
        <v>60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24"/>
      <c r="O4" s="3" t="s">
        <v>142</v>
      </c>
      <c r="P4" s="4">
        <f>IF(Additional_valid_options="Yes",SLOPE(Z_score,Inverse_standard_error),NA())</f>
        <v>1.1256273770630445</v>
      </c>
      <c r="Q4" s="4">
        <f>IF(Additional_valid_options="Yes",SQRT(((1/(k_-2))*SUMPRODUCT(Calculations!HM:HM,Calculations!HM:HM))/SUMPRODUCT(Calculations!HL:HL,Calculations!HL:HL)),NA())</f>
        <v>0.931200849590053</v>
      </c>
      <c r="R4" s="4">
        <f>P4-ABS(TINV((1-Additional_confidence_level),k_-1))*Q4</f>
        <v>-1.15293901759512</v>
      </c>
      <c r="S4" s="4">
        <f>P4+ABS(TINV((1-Additional_confidence_level),k_-1))*Q4</f>
        <v>3.404193771721209</v>
      </c>
      <c r="T4" s="124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24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24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24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24"/>
      <c r="BR4" s="3" t="s">
        <v>143</v>
      </c>
      <c r="BS4" s="7">
        <f>MAX(0,ROUNDUP(k_*(BS3/NORMSINV((1-Additional_confidence_level)))^2-k_,0))</f>
        <v>188</v>
      </c>
      <c r="BT4" s="124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24"/>
      <c r="T5" s="124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24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24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24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24"/>
      <c r="BR5" s="3" t="s">
        <v>144</v>
      </c>
      <c r="BS5" s="4" t="b">
        <f>BS4&lt;5*k_+10</f>
        <v>0</v>
      </c>
      <c r="BT5" s="124"/>
    </row>
    <row r="6" spans="1:72" x14ac:dyDescent="0.3">
      <c r="A6" s="3" t="s">
        <v>45</v>
      </c>
      <c r="B6" s="5" t="s">
        <v>108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24"/>
      <c r="O6" s="3" t="s">
        <v>145</v>
      </c>
      <c r="P6" s="4">
        <f>P3/Q3</f>
        <v>-1.8242169550369152</v>
      </c>
      <c r="T6" s="124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24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24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24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24"/>
      <c r="BT6" s="124"/>
    </row>
    <row r="7" spans="1:72" x14ac:dyDescent="0.3">
      <c r="A7" s="3" t="s">
        <v>50</v>
      </c>
      <c r="B7" s="29">
        <v>0.95</v>
      </c>
      <c r="D7" s="44" t="str">
        <f t="shared" si="0"/>
        <v>Hsu et al.</v>
      </c>
      <c r="E7" s="3">
        <f t="shared" si="1"/>
        <v>-0.37236663327973407</v>
      </c>
      <c r="F7" s="3">
        <f t="shared" si="2"/>
        <v>0.17865404818091554</v>
      </c>
      <c r="M7" s="124"/>
      <c r="O7" s="3" t="s">
        <v>114</v>
      </c>
      <c r="P7" s="26">
        <f>TDIST(ABS(P6),k_-2,2)</f>
        <v>0.12771432797969831</v>
      </c>
      <c r="T7" s="124"/>
      <c r="V7" s="76" t="str">
        <f t="shared" si="3"/>
        <v>Hsu et al.</v>
      </c>
      <c r="W7" s="35">
        <f>IF(AND(Include_study?="Yes",Sufficient_data="Yes"),((E:E-I$29)*SQRT(Calculations!FU:FU))/SQRT(1-Calculations!FU:FU/SUM(Calculations!FU:FU)),"")</f>
        <v>1.1632902060149446</v>
      </c>
      <c r="AE7" s="124"/>
      <c r="AG7" s="76" t="str">
        <f t="shared" si="4"/>
        <v>Hsu et al.</v>
      </c>
      <c r="AH7" s="3">
        <f t="shared" si="5"/>
        <v>2.6215895610913403E-2</v>
      </c>
      <c r="AI7" s="35">
        <f t="shared" si="6"/>
        <v>1.8213866039952998E-2</v>
      </c>
      <c r="AR7" s="124"/>
      <c r="AT7" s="76" t="str">
        <f t="shared" si="7"/>
        <v>Hsu et al.</v>
      </c>
      <c r="AU7" s="3">
        <f t="shared" si="8"/>
        <v>5.5974102472469109</v>
      </c>
      <c r="AV7" s="35">
        <f t="shared" si="9"/>
        <v>-2.0842888088528162</v>
      </c>
      <c r="BC7" s="124"/>
      <c r="BE7" s="76" t="str">
        <f t="shared" si="10"/>
        <v>Hsu et al.</v>
      </c>
      <c r="BF7" s="3">
        <f>IF(AND(Include_study?="Yes",Sufficient_data="Yes"),NORMSINV(Calculations!IW7),"")</f>
        <v>0.7478585947633023</v>
      </c>
      <c r="BG7" s="35">
        <f t="shared" si="11"/>
        <v>-2.0842888088528162</v>
      </c>
      <c r="BP7" s="124"/>
      <c r="BR7" s="122" t="s">
        <v>146</v>
      </c>
      <c r="BS7" s="122"/>
      <c r="BT7" s="124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24"/>
      <c r="T8" s="124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24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24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24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24"/>
      <c r="BR8" s="3" t="s">
        <v>147</v>
      </c>
      <c r="BS8" s="7">
        <f>MAX(0,ROUNDUP((k_*(1-MAX(Calculations!JI:JI))-1)/MAX(Calculations!JI:JI),0))</f>
        <v>63</v>
      </c>
      <c r="BT8" s="124"/>
    </row>
    <row r="9" spans="1:72" x14ac:dyDescent="0.3">
      <c r="A9" s="122" t="s">
        <v>77</v>
      </c>
      <c r="B9" s="122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24"/>
      <c r="O9" s="122" t="s">
        <v>148</v>
      </c>
      <c r="P9" s="122"/>
      <c r="T9" s="124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24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24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24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24"/>
      <c r="BT9" s="124"/>
    </row>
    <row r="10" spans="1:72" ht="13" x14ac:dyDescent="0.35">
      <c r="A10" s="121" t="s">
        <v>88</v>
      </c>
      <c r="B10" s="121"/>
      <c r="D10" s="44" t="str">
        <f t="shared" si="0"/>
        <v>Mustaqim et al. (A)</v>
      </c>
      <c r="E10" s="3">
        <f t="shared" si="1"/>
        <v>-0.68093733217915597</v>
      </c>
      <c r="F10" s="3">
        <f t="shared" si="2"/>
        <v>0.16068073926587711</v>
      </c>
      <c r="M10" s="124"/>
      <c r="O10" s="3" t="s">
        <v>149</v>
      </c>
      <c r="P10" s="4">
        <f>IF(Additional_valid_options="Yes",SUM(Calculations!HT:HT)/2-SUM(Calculations!HU:HU)/2,NA())</f>
        <v>1</v>
      </c>
      <c r="T10" s="124"/>
      <c r="V10" s="76" t="str">
        <f t="shared" si="3"/>
        <v>Mustaqim et al. (A)</v>
      </c>
      <c r="W10" s="35">
        <f>IF(AND(Include_study?="Yes",Sufficient_data="Yes"),((E:E-I$29)*SQRT(Calculations!FU:FU))/SQRT(1-Calculations!FU:FU/SUM(Calculations!FU:FU)),"")</f>
        <v>-0.79154531839160847</v>
      </c>
      <c r="AE10" s="124"/>
      <c r="AG10" s="76" t="str">
        <f t="shared" si="4"/>
        <v>Mustaqim et al. (A)</v>
      </c>
      <c r="AH10" s="3">
        <f t="shared" si="5"/>
        <v>4.1380887059899403E-2</v>
      </c>
      <c r="AI10" s="35">
        <f t="shared" si="6"/>
        <v>2.1381578947368425E-2</v>
      </c>
      <c r="AR10" s="124"/>
      <c r="AT10" s="76" t="str">
        <f t="shared" si="7"/>
        <v>Mustaqim et al. (A)</v>
      </c>
      <c r="AU10" s="3">
        <f t="shared" si="8"/>
        <v>6.2235212793321057</v>
      </c>
      <c r="AV10" s="35">
        <f t="shared" si="9"/>
        <v>-4.237827976708612</v>
      </c>
      <c r="BC10" s="124"/>
      <c r="BE10" s="76" t="str">
        <f t="shared" si="10"/>
        <v>Mustaqim et al. (A)</v>
      </c>
      <c r="BF10" s="3">
        <f>IF(AND(Include_study?="Yes",Sufficient_data="Yes"),NORMSINV(Calculations!IW10),"")</f>
        <v>-0.74785859476330196</v>
      </c>
      <c r="BG10" s="35">
        <f t="shared" si="11"/>
        <v>-4.237827976708612</v>
      </c>
      <c r="BP10" s="124"/>
      <c r="BR10" s="122" t="s">
        <v>150</v>
      </c>
      <c r="BS10" s="122"/>
      <c r="BT10" s="124"/>
    </row>
    <row r="11" spans="1:72" x14ac:dyDescent="0.3">
      <c r="A11" s="120" t="s">
        <v>78</v>
      </c>
      <c r="B11" s="120"/>
      <c r="D11" s="44" t="str">
        <f t="shared" si="0"/>
        <v>Yildirim et al.</v>
      </c>
      <c r="E11" s="3">
        <f t="shared" si="1"/>
        <v>-0.56413069694856588</v>
      </c>
      <c r="F11" s="3">
        <f t="shared" si="2"/>
        <v>0.18504787877833037</v>
      </c>
      <c r="M11" s="124"/>
      <c r="O11" s="3" t="s">
        <v>151</v>
      </c>
      <c r="P11" s="4">
        <f>IF(Additional_valid_options="Yes",(SUM(Calculations!HT:HT)/2-SUM(Calculations!HU:HU)/2)/(1/2*k_*(k_-1)),NA())</f>
        <v>4.7619047619047616E-2</v>
      </c>
      <c r="T11" s="124"/>
      <c r="V11" s="76" t="str">
        <f t="shared" si="3"/>
        <v>Yildirim et al.</v>
      </c>
      <c r="W11" s="35">
        <f>IF(AND(Include_study?="Yes",Sufficient_data="Yes"),((E:E-I$29)*SQRT(Calculations!FU:FU))/SQRT(1-Calculations!FU:FU/SUM(Calculations!FU:FU)),"")</f>
        <v>6.1953827004951213E-3</v>
      </c>
      <c r="AE11" s="124"/>
      <c r="AG11" s="76" t="str">
        <f t="shared" si="4"/>
        <v>Yildirim et al.</v>
      </c>
      <c r="AH11" s="3">
        <f t="shared" si="5"/>
        <v>2.9172382258802011E-2</v>
      </c>
      <c r="AI11" s="35">
        <f t="shared" si="6"/>
        <v>1.6806220095693779E-2</v>
      </c>
      <c r="AR11" s="124"/>
      <c r="AT11" s="76" t="str">
        <f t="shared" si="7"/>
        <v>Yildirim et al.</v>
      </c>
      <c r="AU11" s="3">
        <f t="shared" si="8"/>
        <v>5.4040068257032239</v>
      </c>
      <c r="AV11" s="35">
        <f t="shared" si="9"/>
        <v>-3.0485661368987667</v>
      </c>
      <c r="BC11" s="124"/>
      <c r="BE11" s="76" t="str">
        <f t="shared" si="10"/>
        <v>Yildirim et al.</v>
      </c>
      <c r="BF11" s="3">
        <f>IF(AND(Include_study?="Yes",Sufficient_data="Yes"),NORMSINV(Calculations!IW11),"")</f>
        <v>0</v>
      </c>
      <c r="BG11" s="35">
        <f t="shared" si="11"/>
        <v>-3.0485661368987667</v>
      </c>
      <c r="BP11" s="124"/>
      <c r="BR11" s="3" t="s">
        <v>119</v>
      </c>
      <c r="BS11" s="4">
        <f>I29</f>
        <v>-0.56520025251829942</v>
      </c>
      <c r="BT11" s="124"/>
    </row>
    <row r="12" spans="1:72" ht="13" x14ac:dyDescent="0.35">
      <c r="A12" s="120" t="s">
        <v>79</v>
      </c>
      <c r="B12" s="120"/>
      <c r="D12" s="44" t="str">
        <f t="shared" si="0"/>
        <v>Mustaqim et al. (B)</v>
      </c>
      <c r="E12" s="3">
        <f t="shared" si="1"/>
        <v>-0.59992101702949263</v>
      </c>
      <c r="F12" s="3">
        <f t="shared" si="2"/>
        <v>0.1651100614558188</v>
      </c>
      <c r="M12" s="124"/>
      <c r="O12" s="3" t="s">
        <v>152</v>
      </c>
      <c r="P12" s="4">
        <f>P10/SQRT((k_*(k_-1)*(2*k_+5)/18))</f>
        <v>0.15018785229652765</v>
      </c>
      <c r="T12" s="124"/>
      <c r="V12" s="76" t="str">
        <f t="shared" si="3"/>
        <v>Mustaqim et al. (B)</v>
      </c>
      <c r="W12" s="35">
        <f>IF(AND(Include_study?="Yes",Sufficient_data="Yes"),((E:E-I$29)*SQRT(Calculations!FU:FU))/SQRT(1-Calculations!FU:FU/SUM(Calculations!FU:FU)),"")</f>
        <v>-0.22983135155506676</v>
      </c>
      <c r="AE12" s="124"/>
      <c r="AG12" s="76" t="str">
        <f t="shared" si="4"/>
        <v>Mustaqim et al. (B)</v>
      </c>
      <c r="AH12" s="3">
        <f t="shared" si="5"/>
        <v>3.7494284407864654E-2</v>
      </c>
      <c r="AI12" s="35">
        <f t="shared" si="6"/>
        <v>2.0933014354066987E-2</v>
      </c>
      <c r="AR12" s="124"/>
      <c r="AT12" s="76" t="str">
        <f t="shared" si="7"/>
        <v>Mustaqim et al. (B)</v>
      </c>
      <c r="AU12" s="3">
        <f t="shared" si="8"/>
        <v>6.0565660940510666</v>
      </c>
      <c r="AV12" s="35">
        <f t="shared" si="9"/>
        <v>-3.6334612908494575</v>
      </c>
      <c r="BC12" s="124"/>
      <c r="BE12" s="76" t="str">
        <f t="shared" si="10"/>
        <v>Mustaqim et al. (B)</v>
      </c>
      <c r="BF12" s="3">
        <f>IF(AND(Include_study?="Yes",Sufficient_data="Yes"),NORMSINV(Calculations!IW12),"")</f>
        <v>-0.34875569551704472</v>
      </c>
      <c r="BG12" s="35">
        <f t="shared" si="11"/>
        <v>-3.6334612908494575</v>
      </c>
      <c r="BP12" s="124"/>
      <c r="BR12" s="3" t="s">
        <v>153</v>
      </c>
      <c r="BS12" s="5">
        <v>0</v>
      </c>
      <c r="BT12" s="124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4"/>
      <c r="O13" s="3" t="s">
        <v>102</v>
      </c>
      <c r="P13" s="26">
        <f>2*(1-NORMSDIST(ABS(P12)))</f>
        <v>0.88061640965196619</v>
      </c>
      <c r="T13" s="124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4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4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4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4"/>
      <c r="BR13" s="3" t="s">
        <v>154</v>
      </c>
      <c r="BS13" s="5">
        <v>-0.69</v>
      </c>
      <c r="BT13" s="124"/>
    </row>
    <row r="14" spans="1:72" x14ac:dyDescent="0.3">
      <c r="A14" s="122" t="s">
        <v>106</v>
      </c>
      <c r="B14" s="122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4"/>
      <c r="T14" s="124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4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4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4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4"/>
      <c r="BR14" s="3" t="s">
        <v>143</v>
      </c>
      <c r="BS14" s="7">
        <f>MAX(0,ROUNDUP(k_*(BS11-BS12)/(BS12-BS13),0))</f>
        <v>0</v>
      </c>
      <c r="BT14" s="124"/>
    </row>
    <row r="15" spans="1:72" x14ac:dyDescent="0.3">
      <c r="A15" s="121" t="str">
        <f>IF(Additional_weighting_method="Peto","Log Peto Odds Ratio","Log Odds Ratio")</f>
        <v>Log Odds Ratio</v>
      </c>
      <c r="B15" s="121"/>
      <c r="D15" s="44" t="str">
        <f t="shared" si="0"/>
        <v>Van et al.</v>
      </c>
      <c r="E15" s="3">
        <f t="shared" si="1"/>
        <v>-0.50124813683049663</v>
      </c>
      <c r="F15" s="3">
        <f t="shared" si="2"/>
        <v>0.16764860774484369</v>
      </c>
      <c r="M15" s="124"/>
      <c r="T15" s="124"/>
      <c r="V15" s="76" t="str">
        <f t="shared" si="3"/>
        <v>Van et al.</v>
      </c>
      <c r="W15" s="35">
        <f>IF(AND(Include_study?="Yes",Sufficient_data="Yes"),((E:E-I$29)*SQRT(Calculations!FU:FU))/SQRT(1-Calculations!FU:FU/SUM(Calculations!FU:FU)),"")</f>
        <v>0.41570266146105161</v>
      </c>
      <c r="AE15" s="124"/>
      <c r="AG15" s="76" t="str">
        <f t="shared" si="4"/>
        <v>Van et al.</v>
      </c>
      <c r="AH15" s="3">
        <f t="shared" si="5"/>
        <v>4.0143609382479656E-2</v>
      </c>
      <c r="AI15" s="35">
        <f t="shared" si="6"/>
        <v>2.4708994708994708E-2</v>
      </c>
      <c r="AR15" s="124"/>
      <c r="AT15" s="76" t="str">
        <f t="shared" si="7"/>
        <v>Van et al.</v>
      </c>
      <c r="AU15" s="3">
        <f t="shared" si="8"/>
        <v>5.9648571703140592</v>
      </c>
      <c r="AV15" s="35">
        <f t="shared" si="9"/>
        <v>-2.9898735430799506</v>
      </c>
      <c r="BC15" s="124"/>
      <c r="BE15" s="76" t="str">
        <f t="shared" si="10"/>
        <v>Van et al.</v>
      </c>
      <c r="BF15" s="3">
        <f>IF(AND(Include_study?="Yes",Sufficient_data="Yes"),NORMSINV(Calculations!IW15),"")</f>
        <v>0.34875569551704505</v>
      </c>
      <c r="BG15" s="35">
        <f t="shared" si="11"/>
        <v>-2.9898735430799506</v>
      </c>
      <c r="BP15" s="124"/>
      <c r="BT15" s="124"/>
    </row>
    <row r="16" spans="1:72" x14ac:dyDescent="0.3">
      <c r="A16" s="120" t="str">
        <f>IF(Additional_weighting_method="Inverse variance","Log Risk Ratio","")</f>
        <v>Log Risk Ratio</v>
      </c>
      <c r="B16" s="120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4"/>
      <c r="T16" s="124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4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4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4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4"/>
      <c r="BR16" s="122" t="s">
        <v>155</v>
      </c>
      <c r="BS16" s="122"/>
      <c r="BT16" s="124"/>
    </row>
    <row r="17" spans="1:72" x14ac:dyDescent="0.3">
      <c r="A17" s="120" t="str">
        <f>IF(Additional_weighting_method="Inverse Variance","Risk Difference","")</f>
        <v>Risk Difference</v>
      </c>
      <c r="B17" s="120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4"/>
      <c r="T17" s="124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4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4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4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4"/>
      <c r="BR17" s="3" t="s">
        <v>143</v>
      </c>
      <c r="BS17" s="7">
        <f>MAX(0,ROUNDUP(-2*SUM(Calculations!JJ:JJ),0))</f>
        <v>117</v>
      </c>
      <c r="BT17" s="124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4"/>
      <c r="T18" s="124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4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4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4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4"/>
      <c r="BR18" s="3" t="s">
        <v>156</v>
      </c>
      <c r="BS18" s="26">
        <f>CHIDIST(BS17,k_*2)</f>
        <v>2.4292110441756993E-18</v>
      </c>
      <c r="BT18" s="124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4"/>
      <c r="T19" s="124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4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4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4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4"/>
      <c r="BT19" s="124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4"/>
      <c r="T20" s="124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4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4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4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4"/>
      <c r="BT20" s="124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4"/>
      <c r="T21" s="124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4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4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4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4"/>
      <c r="BT21" s="124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4"/>
      <c r="T22" s="124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4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4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4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4"/>
      <c r="BT22" s="124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4"/>
      <c r="T23" s="124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4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4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4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4"/>
      <c r="BT23" s="124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4"/>
      <c r="T24" s="124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4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4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4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4"/>
      <c r="BT24" s="124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4"/>
      <c r="T25" s="124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4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4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4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4"/>
      <c r="BT25" s="124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4"/>
      <c r="T26" s="124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4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4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4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4"/>
      <c r="BT26" s="124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4"/>
      <c r="T27" s="124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4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4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4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4"/>
      <c r="BT27" s="124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119</v>
      </c>
      <c r="I28" s="28" t="s">
        <v>157</v>
      </c>
      <c r="K28" s="122" t="s">
        <v>73</v>
      </c>
      <c r="L28" s="122"/>
      <c r="M28" s="124"/>
      <c r="T28" s="124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4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4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6" t="s">
        <v>158</v>
      </c>
      <c r="AY28" s="136"/>
      <c r="AZ28" s="136"/>
      <c r="BA28" s="136"/>
      <c r="BB28" s="139"/>
      <c r="BC28" s="124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6" t="s">
        <v>158</v>
      </c>
      <c r="BJ28" s="136"/>
      <c r="BK28" s="136"/>
      <c r="BL28" s="136"/>
      <c r="BM28" s="136"/>
      <c r="BP28" s="124"/>
      <c r="BT28" s="124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-0.56520025251829942</v>
      </c>
      <c r="K29" s="3" t="s">
        <v>74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15.066731397009278</v>
      </c>
      <c r="M29" s="124"/>
      <c r="T29" s="124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159</v>
      </c>
      <c r="Z29" s="1" t="s">
        <v>160</v>
      </c>
      <c r="AA29" s="1" t="s">
        <v>161</v>
      </c>
      <c r="AE29" s="124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4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133</v>
      </c>
      <c r="AZ29" s="3" t="s">
        <v>110</v>
      </c>
      <c r="BA29" s="3" t="s">
        <v>111</v>
      </c>
      <c r="BB29" s="3" t="s">
        <v>112</v>
      </c>
      <c r="BC29" s="124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133</v>
      </c>
      <c r="BK29" s="3" t="s">
        <v>110</v>
      </c>
      <c r="BL29" s="3" t="s">
        <v>111</v>
      </c>
      <c r="BM29" s="3" t="s">
        <v>112</v>
      </c>
      <c r="BP29" s="124"/>
      <c r="BT29" s="124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6.6625824673202994E-2</v>
      </c>
      <c r="K30" s="3" t="s">
        <v>75</v>
      </c>
      <c r="L30" s="26">
        <f>IF(Additional_valid_options="Yes",CHIDIST(L29,k_-1+IF(Trim_and_fill="On",L39,0)),"")</f>
        <v>1.9743996621829438E-2</v>
      </c>
      <c r="M30" s="124"/>
      <c r="T30" s="124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4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4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115</v>
      </c>
      <c r="AY30" s="4">
        <v>0</v>
      </c>
      <c r="AZ30" s="4"/>
      <c r="BA30" s="4"/>
      <c r="BB30" s="4"/>
      <c r="BC30" s="124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115</v>
      </c>
      <c r="BJ30" s="4">
        <f>INTERCEPT(BG:BG,BF:BF)</f>
        <v>-3.2807177766994786</v>
      </c>
      <c r="BK30" s="4">
        <f>BK31*SQRT(1/k_*SUMPRODUCT(BF:BF,BF:BF))</f>
        <v>8.9276908656305984E-2</v>
      </c>
      <c r="BL30" s="4">
        <f>BJ30-ABS(TINV((1-Additional_confidence_level),k_-1))*BK30</f>
        <v>-3.4991705025241804</v>
      </c>
      <c r="BM30" s="4">
        <f>BJ30+ABS(TINV((1-Additional_confidence_level),k_-1))*BK30</f>
        <v>-3.0622650508747769</v>
      </c>
      <c r="BP30" s="124"/>
      <c r="BT30" s="124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42</v>
      </c>
      <c r="I31" s="4">
        <f>IF(Additional_valid_options="Yes",I29-ABS(TINV((1-Additional_confidence_level),k_-1))*I30,"")</f>
        <v>-0.72822777250346671</v>
      </c>
      <c r="K31" s="3" t="s">
        <v>76</v>
      </c>
      <c r="L31" s="8">
        <f>IF(Additional_valid_options="Yes",IF(L29-(k_-1+IF(Trim_and_fill="On",L39,0))&lt;=0,0,(L29-(k_-1+IF(Trim_and_fill="On",L39,0)))/L29),"")</f>
        <v>0.6017716223977424</v>
      </c>
      <c r="M31" s="124"/>
      <c r="T31" s="124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-2.8</v>
      </c>
      <c r="Z31" s="4">
        <f t="array" ref="Z31:Z39">FREQUENCY(W:W,Calculations!HZ2:HZ10)/k_</f>
        <v>0.14285714285714285</v>
      </c>
      <c r="AA31" s="4">
        <f>NORMSDIST(Calculations!HZ2)</f>
        <v>2.5551303304279312E-3</v>
      </c>
      <c r="AE31" s="124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4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142</v>
      </c>
      <c r="AY31" s="4">
        <f>I29</f>
        <v>-0.56520025251829942</v>
      </c>
      <c r="AZ31" s="4">
        <f>I30</f>
        <v>6.6625824673202994E-2</v>
      </c>
      <c r="BA31" s="4">
        <f>AY31-ABS(TINV((1-Additional_confidence_level),k_-1))*AZ31</f>
        <v>-0.72822777250346671</v>
      </c>
      <c r="BB31" s="4">
        <f>AY31+ABS(TINV((1-Additional_confidence_level),k_-1))*AZ31</f>
        <v>-0.40217273253313213</v>
      </c>
      <c r="BC31" s="124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142</v>
      </c>
      <c r="BJ31" s="4">
        <f>SLOPE(BG:BG,BF:BF)</f>
        <v>1.5217877415572827</v>
      </c>
      <c r="BK31" s="4">
        <f>SQRT(((1/(k_-2))*SUMPRODUCT(Calculations!JA:JA,Calculations!JA:JA))/SUMPRODUCT(Calculations!IZ:IZ,Calculations!IZ:IZ))</f>
        <v>0.10641089016546085</v>
      </c>
      <c r="BL31" s="4">
        <f>BJ31-ABS(TINV((1-Additional_confidence_level),k_-1))*BK31</f>
        <v>1.2614096733205309</v>
      </c>
      <c r="BM31" s="4">
        <f>BJ31+ABS(TINV((1-Additional_confidence_level),k_-1))*BK31</f>
        <v>1.7821658097940345</v>
      </c>
      <c r="BP31" s="124"/>
      <c r="BT31" s="124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43</v>
      </c>
      <c r="I32" s="4">
        <f>IF(Additional_valid_options="Yes",I29+ABS(TINV((1-Additional_confidence_level),k_-1))*I30,"")</f>
        <v>-0.40217273253313213</v>
      </c>
      <c r="K32" s="3" t="s">
        <v>162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4.721207275669554E-2</v>
      </c>
      <c r="M32" s="124"/>
      <c r="T32" s="124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-2.8; -2</v>
      </c>
      <c r="Z32" s="4">
        <v>0</v>
      </c>
      <c r="AA32" s="4">
        <f>NORMSDIST(Calculations!HZ3)-(SUM(AA$31:AA31))</f>
        <v>2.019500161775126E-2</v>
      </c>
      <c r="AE32" s="124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6" t="s">
        <v>119</v>
      </c>
      <c r="AL32" s="136"/>
      <c r="AM32" s="136"/>
      <c r="AR32" s="124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4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4"/>
      <c r="BT32" s="124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66</v>
      </c>
      <c r="I33" s="4">
        <f>IF(Additional_valid_options="Yes",I29-ABS(TINV((1-Additional_confidence_level),k_-1))*SQRT(I30^2+Calculations!GH12),"")</f>
        <v>-1.1213067886145134</v>
      </c>
      <c r="K33" s="3" t="s">
        <v>86</v>
      </c>
      <c r="L33" s="4">
        <f>IF(Additional_valid_options="Yes",SQRT(L32),"")</f>
        <v>0.21728339273100358</v>
      </c>
      <c r="M33" s="124"/>
      <c r="T33" s="124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-2; -1.2</v>
      </c>
      <c r="Z33" s="4">
        <v>0</v>
      </c>
      <c r="AA33" s="4">
        <f>NORMSDIST(Calculations!HZ4)-(SUM(AA$31:AA32))</f>
        <v>9.2319538273529012E-2</v>
      </c>
      <c r="AE33" s="124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7" t="s">
        <v>163</v>
      </c>
      <c r="AL33" s="137"/>
      <c r="AM33" s="137"/>
      <c r="AR33" s="124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4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164</v>
      </c>
      <c r="BJ33" s="5" t="s">
        <v>165</v>
      </c>
      <c r="BP33" s="124"/>
      <c r="BT33" s="124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67</v>
      </c>
      <c r="I34" s="4">
        <f>IF(Additional_valid_options="Yes",I29+ABS(TINV((1-Additional_confidence_level),k_-1))*SQRT(I30^2+Calculations!GH12),"")</f>
        <v>-9.0937164220855626E-3</v>
      </c>
      <c r="M34" s="124"/>
      <c r="T34" s="124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-1.2; -0.4</v>
      </c>
      <c r="Z34" s="4">
        <v>0.14285714285714285</v>
      </c>
      <c r="AA34" s="4">
        <f>NORMSDIST(Calculations!HZ5)-(SUM(AA$31:AA33))</f>
        <v>0.22950858816796754</v>
      </c>
      <c r="AE34" s="124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166</v>
      </c>
      <c r="AL34" s="3"/>
      <c r="AM34" s="4">
        <f>EXP(SUMPRODUCT(LogRiskRatio,Calculations!IE:IE)/SUM(Calculations!IE:IE))</f>
        <v>0.57731883461504585</v>
      </c>
      <c r="AR34" s="124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4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4"/>
      <c r="BT34" s="124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4"/>
      <c r="T35" s="124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-0.4; 0.4</v>
      </c>
      <c r="Z35" s="4">
        <v>0.2857142857142857</v>
      </c>
      <c r="AA35" s="4">
        <f>NORMSDIST(Calculations!HZ6)-(SUM(AA$31:AA34))</f>
        <v>0.31084348322064853</v>
      </c>
      <c r="AE35" s="124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4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4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4"/>
      <c r="BT35" s="124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119</v>
      </c>
      <c r="I36" s="90" t="s">
        <v>167</v>
      </c>
      <c r="K36" s="1" t="s">
        <v>168</v>
      </c>
      <c r="L36" s="5" t="s">
        <v>169</v>
      </c>
      <c r="M36" s="124"/>
      <c r="T36" s="124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0.4; 1.2</v>
      </c>
      <c r="Z36" s="4">
        <v>0.2857142857142857</v>
      </c>
      <c r="AA36" s="4">
        <f>NORMSDIST(Calculations!HZ7)-(SUM(AA$31:AA35))</f>
        <v>0.22950858816796749</v>
      </c>
      <c r="AE36" s="124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4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4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4"/>
      <c r="BT36" s="124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-0.56520025251829942</v>
      </c>
      <c r="K37" s="3" t="s">
        <v>170</v>
      </c>
      <c r="L37" s="5" t="s">
        <v>171</v>
      </c>
      <c r="M37" s="124"/>
      <c r="T37" s="124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1.2; 2</v>
      </c>
      <c r="Z37" s="4">
        <v>0</v>
      </c>
      <c r="AA37" s="4">
        <f>NORMSDIST(Calculations!HZ8)-(SUM(AA$31:AA36))</f>
        <v>9.2319538273529012E-2</v>
      </c>
      <c r="AE37" s="124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4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4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4"/>
      <c r="BT37" s="124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6.6625824673202994E-2</v>
      </c>
      <c r="K38" s="3" t="s">
        <v>172</v>
      </c>
      <c r="L38" s="91" t="str">
        <f>IF(Trim_and_fill="Off","",IF(I29&gt;0,"Left",IF(I29&lt;0,"Right","NA")))</f>
        <v>Right</v>
      </c>
      <c r="M38" s="124"/>
      <c r="T38" s="124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2; 2.8</v>
      </c>
      <c r="Z38" s="4">
        <v>0.14285714285714285</v>
      </c>
      <c r="AA38" s="4">
        <f>NORMSDIST(Calculations!HZ9)-(SUM(AA$31:AA37))</f>
        <v>2.0195001617751229E-2</v>
      </c>
      <c r="AE38" s="124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4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4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4"/>
      <c r="BT38" s="124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42</v>
      </c>
      <c r="I39" s="4">
        <f>IF(AND(Trim_and_fill="On",Additional_valid_options="Yes",L38&lt;&gt;""),I37-ABS(TINV((1-Additional_confidence_level),k_+L39-1))*I38,"")</f>
        <v>-0.72822777250346671</v>
      </c>
      <c r="K39" s="3" t="s">
        <v>173</v>
      </c>
      <c r="L39" s="7">
        <f>IF(L38&lt;&gt;"",Calculations!GW21,"")</f>
        <v>0</v>
      </c>
      <c r="M39" s="124"/>
      <c r="T39" s="124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2.8; ∞</v>
      </c>
      <c r="Z39" s="4">
        <v>0</v>
      </c>
      <c r="AA39" s="4">
        <f>1-(SUM(AA31:AA38))</f>
        <v>2.5551303304279793E-3</v>
      </c>
      <c r="AE39" s="124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4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4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4"/>
      <c r="BT39" s="124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43</v>
      </c>
      <c r="I40" s="4">
        <f>IF(AND(Trim_and_fill="On",Additional_valid_options="Yes",L38&lt;&gt;""),I37+ABS(TINV((1-Additional_confidence_level),k_+L39-1))*I38,"")</f>
        <v>-0.40217273253313213</v>
      </c>
      <c r="M40" s="124"/>
      <c r="T40" s="124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4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4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4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4"/>
      <c r="BT40" s="124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66</v>
      </c>
      <c r="I41" s="4">
        <f>IF(AND(Trim_and_fill="On",Additional_valid_options="Yes",L38&lt;&gt;""),I37-ABS(TINV((1-Additional_confidence_level),k_+L39-1))*SQRT(I38^2+L32),"")</f>
        <v>-1.1213067886145134</v>
      </c>
      <c r="M41" s="124"/>
      <c r="T41" s="124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174</v>
      </c>
      <c r="AE41" s="124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4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4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4"/>
      <c r="BT41" s="124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67</v>
      </c>
      <c r="I42" s="4">
        <f>IF(AND(Trim_and_fill="On",Additional_valid_options="Yes",L38&lt;&gt;""),I37+ABS(TINV((1-Additional_confidence_level),k_+L39-1))*SQRT(I38^2+L32),"")</f>
        <v>-9.0937164220855626E-3</v>
      </c>
      <c r="M42" s="124"/>
      <c r="T42" s="124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4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4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4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4"/>
      <c r="BT42" s="124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4"/>
      <c r="T43" s="124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4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4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4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4"/>
      <c r="BT43" s="124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4"/>
      <c r="T44" s="124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4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4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4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4"/>
      <c r="BT44" s="124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4"/>
      <c r="T45" s="124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4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4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4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4"/>
      <c r="BT45" s="124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4"/>
      <c r="T46" s="124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4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4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4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4"/>
      <c r="BT46" s="124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4"/>
      <c r="T47" s="124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4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4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4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4"/>
      <c r="BT47" s="124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4"/>
      <c r="T48" s="124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4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4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4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4"/>
      <c r="BT48" s="124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4"/>
      <c r="T49" s="124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4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4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4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4"/>
      <c r="BT49" s="124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4"/>
      <c r="T50" s="124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4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4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4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4"/>
      <c r="BT50" s="124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4"/>
      <c r="T51" s="124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4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4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4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4"/>
      <c r="BT51" s="124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4"/>
      <c r="T52" s="124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4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4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4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4"/>
      <c r="BT52" s="124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4"/>
      <c r="T53" s="124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4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4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4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4"/>
      <c r="BT53" s="124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4"/>
      <c r="T54" s="124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4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4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4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4"/>
      <c r="BT54" s="124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4"/>
      <c r="T55" s="124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4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4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4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4"/>
      <c r="BT55" s="124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4"/>
      <c r="T56" s="124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4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4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4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4"/>
      <c r="BT56" s="124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4"/>
      <c r="T57" s="124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4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4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4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4"/>
      <c r="BT57" s="124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4"/>
      <c r="T58" s="124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4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4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4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4"/>
      <c r="BT58" s="124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4"/>
      <c r="T59" s="124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4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4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4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4"/>
      <c r="BT59" s="124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4"/>
      <c r="T60" s="124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4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4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4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4"/>
      <c r="BT60" s="124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4"/>
      <c r="T61" s="124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4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4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4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4"/>
      <c r="BT61" s="124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4"/>
      <c r="T62" s="124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4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4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4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4"/>
      <c r="BT62" s="124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4"/>
      <c r="T63" s="124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4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4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4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4"/>
      <c r="BT63" s="124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4"/>
      <c r="T64" s="124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4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4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4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4"/>
      <c r="BT64" s="124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4"/>
      <c r="T65" s="124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4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4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4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4"/>
      <c r="BT65" s="124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4"/>
      <c r="T66" s="124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4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4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4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4"/>
      <c r="BT66" s="124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4"/>
      <c r="T67" s="124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4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4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4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4"/>
      <c r="BT67" s="124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4"/>
      <c r="T68" s="124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4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4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4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4"/>
      <c r="BT68" s="124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4"/>
      <c r="T69" s="124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4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4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4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4"/>
      <c r="BT69" s="124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4"/>
      <c r="T70" s="124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4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4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4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4"/>
      <c r="BT70" s="124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4"/>
      <c r="T71" s="124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4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4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4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4"/>
      <c r="BT71" s="124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4"/>
      <c r="T72" s="124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4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4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4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4"/>
      <c r="BT72" s="124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4"/>
      <c r="T73" s="124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4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4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4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4"/>
      <c r="BT73" s="124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4"/>
      <c r="T74" s="124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4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4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4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4"/>
      <c r="BT74" s="124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4"/>
      <c r="T75" s="124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4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4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4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4"/>
      <c r="BT75" s="124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4"/>
      <c r="T76" s="124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4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4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4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4"/>
      <c r="BT76" s="124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4"/>
      <c r="T77" s="124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4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4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4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4"/>
      <c r="BT77" s="124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4"/>
      <c r="T78" s="124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4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4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4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4"/>
      <c r="BT78" s="124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4"/>
      <c r="T79" s="124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4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4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4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4"/>
      <c r="BT79" s="124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4"/>
      <c r="T80" s="124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4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4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4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4"/>
      <c r="BT80" s="124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4"/>
      <c r="T81" s="124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4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4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4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4"/>
      <c r="BT81" s="124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4"/>
      <c r="T82" s="124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4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4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4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4"/>
      <c r="BT82" s="124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4"/>
      <c r="T83" s="124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4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4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4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4"/>
      <c r="BT83" s="124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4"/>
      <c r="T84" s="124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4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4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4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4"/>
      <c r="BT84" s="124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4"/>
      <c r="T85" s="124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4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4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4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4"/>
      <c r="BT85" s="124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4"/>
      <c r="T86" s="124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4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4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4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4"/>
      <c r="BT86" s="124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4"/>
      <c r="T87" s="124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4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4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4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4"/>
      <c r="BT87" s="124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4"/>
      <c r="T88" s="124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4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4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4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4"/>
      <c r="BT88" s="124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4"/>
      <c r="T89" s="124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4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4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4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4"/>
      <c r="BT89" s="124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4"/>
      <c r="T90" s="124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4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4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4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4"/>
      <c r="BT90" s="124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4"/>
      <c r="T91" s="124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4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4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4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4"/>
      <c r="BT91" s="124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4"/>
      <c r="T92" s="124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4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4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4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4"/>
      <c r="BT92" s="124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4"/>
      <c r="T93" s="124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4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4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4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4"/>
      <c r="BT93" s="124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4"/>
      <c r="T94" s="124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4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4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4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4"/>
      <c r="BT94" s="124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4"/>
      <c r="T95" s="124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4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4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4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4"/>
      <c r="BT95" s="124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4"/>
      <c r="T96" s="124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4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4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4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4"/>
      <c r="BT96" s="124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4"/>
      <c r="T97" s="124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4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4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4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4"/>
      <c r="BT97" s="124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4"/>
      <c r="T98" s="124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4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4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4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4"/>
      <c r="BT98" s="124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4"/>
      <c r="T99" s="124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4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4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4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4"/>
      <c r="BT99" s="124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4"/>
      <c r="T100" s="124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4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4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4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4"/>
      <c r="BT100" s="124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4"/>
      <c r="T101" s="124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4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4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4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4"/>
      <c r="BT101" s="124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4"/>
      <c r="T102" s="124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4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4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4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4"/>
      <c r="BT102" s="124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4"/>
      <c r="T103" s="124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4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4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4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4"/>
      <c r="BT103" s="124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4"/>
      <c r="T104" s="124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4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4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4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4"/>
      <c r="BT104" s="124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4"/>
      <c r="T105" s="124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4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4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4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4"/>
      <c r="BT105" s="124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4"/>
      <c r="T106" s="124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4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4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4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4"/>
      <c r="BT106" s="124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4"/>
      <c r="T107" s="124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4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4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4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4"/>
      <c r="BT107" s="124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4"/>
      <c r="T108" s="124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4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4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4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4"/>
      <c r="BT108" s="124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4"/>
      <c r="T109" s="124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4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4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4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4"/>
      <c r="BT109" s="124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4"/>
      <c r="T110" s="124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4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4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4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4"/>
      <c r="BT110" s="124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4"/>
      <c r="T111" s="124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4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4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4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4"/>
      <c r="BT111" s="124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4"/>
      <c r="T112" s="124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4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4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4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4"/>
      <c r="BT112" s="124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4"/>
      <c r="T113" s="124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4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4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4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4"/>
      <c r="BT113" s="124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4"/>
      <c r="T114" s="124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4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4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4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4"/>
      <c r="BT114" s="124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4"/>
      <c r="T115" s="124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4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4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4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4"/>
      <c r="BT115" s="124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4"/>
      <c r="T116" s="124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4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4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4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4"/>
      <c r="BT116" s="124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4"/>
      <c r="T117" s="124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4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4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4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4"/>
      <c r="BT117" s="124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4"/>
      <c r="T118" s="124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4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4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4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4"/>
      <c r="BT118" s="124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4"/>
      <c r="T119" s="124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4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4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4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4"/>
      <c r="BT119" s="124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4"/>
      <c r="T120" s="124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4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4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4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4"/>
      <c r="BT120" s="124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4"/>
      <c r="T121" s="124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4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4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4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4"/>
      <c r="BT121" s="124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4"/>
      <c r="T122" s="124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4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4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4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4"/>
      <c r="BT122" s="124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4"/>
      <c r="T123" s="124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4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4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4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4"/>
      <c r="BT123" s="124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4"/>
      <c r="T124" s="124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4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4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4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4"/>
      <c r="BT124" s="124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4"/>
      <c r="T125" s="124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4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4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4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4"/>
      <c r="BT125" s="124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4"/>
      <c r="T126" s="124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4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4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4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4"/>
      <c r="BT126" s="124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4"/>
      <c r="T127" s="124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4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4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4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4"/>
      <c r="BT127" s="124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4"/>
      <c r="T128" s="124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4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4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4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4"/>
      <c r="BT128" s="124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4"/>
      <c r="T129" s="124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4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4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4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4"/>
      <c r="BT129" s="124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4"/>
      <c r="T130" s="124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4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4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4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4"/>
      <c r="BT130" s="124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4"/>
      <c r="T131" s="124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4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4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4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4"/>
      <c r="BT131" s="124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4"/>
      <c r="T132" s="124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4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4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4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4"/>
      <c r="BT132" s="124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4"/>
      <c r="T133" s="124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4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4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4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4"/>
      <c r="BT133" s="124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4"/>
      <c r="T134" s="124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4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4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4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4"/>
      <c r="BT134" s="124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4"/>
      <c r="T135" s="124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4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4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4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4"/>
      <c r="BT135" s="124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4"/>
      <c r="T136" s="124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4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4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4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4"/>
      <c r="BT136" s="124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4"/>
      <c r="T137" s="124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4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4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4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4"/>
      <c r="BT137" s="124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4"/>
      <c r="T138" s="124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4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4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4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4"/>
      <c r="BT138" s="124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4"/>
      <c r="T139" s="124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4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4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4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4"/>
      <c r="BT139" s="124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4"/>
      <c r="T140" s="124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4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4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4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4"/>
      <c r="BT140" s="124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4"/>
      <c r="T141" s="124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4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4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4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4"/>
      <c r="BT141" s="124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4"/>
      <c r="T142" s="124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4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4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4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4"/>
      <c r="BT142" s="124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4"/>
      <c r="T143" s="124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4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4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4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4"/>
      <c r="BT143" s="124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4"/>
      <c r="T144" s="124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4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4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4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4"/>
      <c r="BT144" s="124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4"/>
      <c r="T145" s="124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4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4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4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4"/>
      <c r="BT145" s="124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4"/>
      <c r="T146" s="124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4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4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4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4"/>
      <c r="BT146" s="124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4"/>
      <c r="T147" s="124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4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4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4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4"/>
      <c r="BT147" s="124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4"/>
      <c r="T148" s="124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4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4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4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4"/>
      <c r="BT148" s="124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4"/>
      <c r="T149" s="124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4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4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4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4"/>
      <c r="BT149" s="124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4"/>
      <c r="T150" s="124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4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4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4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4"/>
      <c r="BT150" s="124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4"/>
      <c r="T151" s="124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4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4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4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4"/>
      <c r="BT151" s="124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4"/>
      <c r="T152" s="124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4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4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4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4"/>
      <c r="BT152" s="124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4"/>
      <c r="T153" s="124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4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4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4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4"/>
      <c r="BT153" s="124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4"/>
      <c r="T154" s="124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4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4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4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4"/>
      <c r="BT154" s="124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4"/>
      <c r="T155" s="124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4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4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4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4"/>
      <c r="BT155" s="124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4"/>
      <c r="T156" s="124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4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4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4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4"/>
      <c r="BT156" s="124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4"/>
      <c r="T157" s="124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4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4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4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4"/>
      <c r="BT157" s="124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4"/>
      <c r="T158" s="124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4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4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4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4"/>
      <c r="BT158" s="124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4"/>
      <c r="T159" s="124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4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4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4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4"/>
      <c r="BT159" s="124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4"/>
      <c r="T160" s="124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4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4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4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4"/>
      <c r="BT160" s="124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4"/>
      <c r="T161" s="124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4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4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4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4"/>
      <c r="BT161" s="124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4"/>
      <c r="T162" s="124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4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4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4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4"/>
      <c r="BT162" s="124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4"/>
      <c r="T163" s="124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4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4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4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4"/>
      <c r="BT163" s="124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4"/>
      <c r="T164" s="124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4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4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4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4"/>
      <c r="BT164" s="124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4"/>
      <c r="T165" s="124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4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4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4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4"/>
      <c r="BT165" s="124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4"/>
      <c r="T166" s="124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4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4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4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4"/>
      <c r="BT166" s="124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4"/>
      <c r="T167" s="124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4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4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4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4"/>
      <c r="BT167" s="124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4"/>
      <c r="T168" s="124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4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4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4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4"/>
      <c r="BT168" s="124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4"/>
      <c r="T169" s="124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4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4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4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4"/>
      <c r="BT169" s="124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4"/>
      <c r="T170" s="124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4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4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4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4"/>
      <c r="BT170" s="124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4"/>
      <c r="T171" s="124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4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4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4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4"/>
      <c r="BT171" s="124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4"/>
      <c r="T172" s="124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4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4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4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4"/>
      <c r="BT172" s="124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4"/>
      <c r="T173" s="124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4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4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4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4"/>
      <c r="BT173" s="124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4"/>
      <c r="T174" s="124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4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4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4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4"/>
      <c r="BT174" s="124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4"/>
      <c r="T175" s="124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4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4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4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4"/>
      <c r="BT175" s="124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4"/>
      <c r="T176" s="124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4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4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4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4"/>
      <c r="BT176" s="124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4"/>
      <c r="T177" s="124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4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4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4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4"/>
      <c r="BT177" s="124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4"/>
      <c r="T178" s="124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4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4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4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4"/>
      <c r="BT178" s="124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4"/>
      <c r="T179" s="124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4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4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4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4"/>
      <c r="BT179" s="124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4"/>
      <c r="T180" s="124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4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4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4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4"/>
      <c r="BT180" s="124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4"/>
      <c r="T181" s="124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4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4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4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4"/>
      <c r="BT181" s="124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4"/>
      <c r="T182" s="124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4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4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4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4"/>
      <c r="BT182" s="124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4"/>
      <c r="T183" s="124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4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4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4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4"/>
      <c r="BT183" s="124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4"/>
      <c r="T184" s="124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4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4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4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4"/>
      <c r="BT184" s="124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4"/>
      <c r="T185" s="124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4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4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4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4"/>
      <c r="BT185" s="124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4"/>
      <c r="T186" s="124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4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4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4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4"/>
      <c r="BT186" s="124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4"/>
      <c r="T187" s="124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4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4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4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4"/>
      <c r="BT187" s="124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4"/>
      <c r="T188" s="124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4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4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4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4"/>
      <c r="BT188" s="124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4"/>
      <c r="T189" s="124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4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4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4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4"/>
      <c r="BT189" s="124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4"/>
      <c r="T190" s="124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4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4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4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4"/>
      <c r="BT190" s="124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4"/>
      <c r="T191" s="124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4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4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4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4"/>
      <c r="BT191" s="124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4"/>
      <c r="T192" s="124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4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4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4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4"/>
      <c r="BT192" s="124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4"/>
      <c r="T193" s="124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4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4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4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4"/>
      <c r="BT193" s="124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4"/>
      <c r="T194" s="124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4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4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4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4"/>
      <c r="BT194" s="124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4"/>
      <c r="T195" s="124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4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4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4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4"/>
      <c r="BT195" s="124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4"/>
      <c r="T196" s="124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4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4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4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4"/>
      <c r="BT196" s="124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4"/>
      <c r="T197" s="124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4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4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4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4"/>
      <c r="BT197" s="124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4"/>
      <c r="T198" s="124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4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4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4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4"/>
      <c r="BT198" s="124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4"/>
      <c r="T199" s="124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4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4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4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4"/>
      <c r="BT199" s="124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4"/>
      <c r="T200" s="124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4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4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4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4"/>
      <c r="BT200" s="124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5"/>
      <c r="T201" s="125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5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5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5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5"/>
      <c r="BT201" s="125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1000000}">
      <formula1>"Fixed effect,Random effects"</formula1>
    </dataValidation>
    <dataValidation type="list" allowBlank="1" showInputMessage="1" showErrorMessage="1" sqref="L37" xr:uid="{00000000-0002-0000-0400-000002000000}">
      <formula1>"Leftmost Run/Rightmost Run,Linear"</formula1>
    </dataValidation>
    <dataValidation type="list" allowBlank="1" showInputMessage="1" showErrorMessage="1" sqref="L36" xr:uid="{00000000-0002-0000-0400-000003000000}">
      <formula1>"Off,On"</formula1>
    </dataValidation>
    <dataValidation type="list" allowBlank="1" showInputMessage="1" showErrorMessage="1" sqref="BJ33" xr:uid="{00000000-0002-0000-0400-000004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5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6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E2DC-362B-4339-88CF-2FAC4A5729F3}">
  <dimension ref="E4:O12"/>
  <sheetViews>
    <sheetView showGridLines="0" tabSelected="1" topLeftCell="A9" workbookViewId="0">
      <selection activeCell="M14" sqref="M14:O28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8" t="s">
        <v>1</v>
      </c>
      <c r="F4" s="115" t="s">
        <v>349</v>
      </c>
      <c r="G4" s="115" t="s">
        <v>350</v>
      </c>
      <c r="H4" s="115" t="s">
        <v>351</v>
      </c>
      <c r="I4" s="116" t="s">
        <v>44</v>
      </c>
      <c r="M4" s="99" t="s">
        <v>1</v>
      </c>
      <c r="N4" s="118" t="s">
        <v>352</v>
      </c>
      <c r="O4" s="118" t="s">
        <v>353</v>
      </c>
    </row>
    <row r="5" spans="5:15" x14ac:dyDescent="0.3">
      <c r="E5" s="114" t="s">
        <v>12</v>
      </c>
      <c r="F5" s="117">
        <v>0.79079415797833941</v>
      </c>
      <c r="G5" s="117">
        <v>0.56445306118928651</v>
      </c>
      <c r="H5" s="117">
        <v>1.1078961977370887</v>
      </c>
      <c r="I5" s="119">
        <v>0.14696833836959786</v>
      </c>
      <c r="M5" s="114" t="s">
        <v>354</v>
      </c>
      <c r="N5" s="117">
        <v>-0.23471757519609454</v>
      </c>
      <c r="O5" s="117">
        <v>0.17198852231711717</v>
      </c>
    </row>
    <row r="6" spans="5:15" x14ac:dyDescent="0.3">
      <c r="E6" s="114" t="s">
        <v>12</v>
      </c>
      <c r="F6" s="117">
        <v>0.28494924350006334</v>
      </c>
      <c r="G6" s="117">
        <v>0.18371009681059169</v>
      </c>
      <c r="H6" s="117">
        <v>0.44197936194532061</v>
      </c>
      <c r="I6" s="119">
        <v>0.115921438830144</v>
      </c>
      <c r="K6" s="97"/>
      <c r="M6" s="114" t="s">
        <v>354</v>
      </c>
      <c r="N6" s="117">
        <v>-1.2554442075561587</v>
      </c>
      <c r="O6" s="117">
        <v>0.2239353962215887</v>
      </c>
    </row>
    <row r="7" spans="5:15" x14ac:dyDescent="0.3">
      <c r="E7" s="114" t="s">
        <v>25</v>
      </c>
      <c r="F7" s="117">
        <v>0.68910154864321094</v>
      </c>
      <c r="G7" s="117">
        <v>0.48549144836505892</v>
      </c>
      <c r="H7" s="117">
        <v>0.97810362250790084</v>
      </c>
      <c r="I7" s="119">
        <v>0.14262738330046773</v>
      </c>
      <c r="M7" s="114" t="s">
        <v>355</v>
      </c>
      <c r="N7" s="117">
        <v>-0.37236663327973407</v>
      </c>
      <c r="O7" s="117">
        <v>0.17865404818091554</v>
      </c>
    </row>
    <row r="8" spans="5:15" x14ac:dyDescent="0.3">
      <c r="E8" s="114" t="s">
        <v>29</v>
      </c>
      <c r="F8" s="117">
        <v>0.50614234644133904</v>
      </c>
      <c r="G8" s="117">
        <v>0.36937800679866201</v>
      </c>
      <c r="H8" s="117">
        <v>0.69354447245361117</v>
      </c>
      <c r="I8" s="119">
        <v>0.15453859162601982</v>
      </c>
      <c r="M8" s="114" t="s">
        <v>356</v>
      </c>
      <c r="N8" s="117">
        <v>-0.68093733217915597</v>
      </c>
      <c r="O8" s="117">
        <v>0.16068073926587711</v>
      </c>
    </row>
    <row r="9" spans="5:15" x14ac:dyDescent="0.3">
      <c r="E9" s="114" t="s">
        <v>30</v>
      </c>
      <c r="F9" s="117">
        <v>0.56885443878108499</v>
      </c>
      <c r="G9" s="117">
        <v>0.3957797978400841</v>
      </c>
      <c r="H9" s="117">
        <v>0.81761467939223298</v>
      </c>
      <c r="I9" s="119">
        <v>0.13855552165763022</v>
      </c>
      <c r="M9" s="114" t="s">
        <v>357</v>
      </c>
      <c r="N9" s="117">
        <v>-0.56413069694856588</v>
      </c>
      <c r="O9" s="117">
        <v>0.18504787877833037</v>
      </c>
    </row>
    <row r="10" spans="5:15" x14ac:dyDescent="0.3">
      <c r="E10" s="114" t="s">
        <v>31</v>
      </c>
      <c r="F10" s="117">
        <v>0.5488549845791677</v>
      </c>
      <c r="G10" s="117">
        <v>0.39708629732880296</v>
      </c>
      <c r="H10" s="117">
        <v>0.75863054485599235</v>
      </c>
      <c r="I10" s="119">
        <v>0.15154417774287643</v>
      </c>
      <c r="M10" s="114" t="s">
        <v>358</v>
      </c>
      <c r="N10" s="117">
        <v>-0.59992101702949263</v>
      </c>
      <c r="O10" s="117">
        <v>0.1651100614558188</v>
      </c>
    </row>
    <row r="11" spans="5:15" x14ac:dyDescent="0.3">
      <c r="E11" s="114" t="s">
        <v>35</v>
      </c>
      <c r="F11" s="117">
        <v>0.60577409870146903</v>
      </c>
      <c r="G11" s="117">
        <v>0.43608529679167651</v>
      </c>
      <c r="H11" s="117">
        <v>0.84149193141194045</v>
      </c>
      <c r="I11" s="119">
        <v>0.14984454847326401</v>
      </c>
      <c r="M11" s="114" t="s">
        <v>359</v>
      </c>
      <c r="N11" s="117">
        <v>-0.50124813683049663</v>
      </c>
      <c r="O11" s="117">
        <v>0.16764860774484369</v>
      </c>
    </row>
    <row r="12" spans="5:15" x14ac:dyDescent="0.3">
      <c r="E12" s="96"/>
      <c r="F12" s="100" t="s">
        <v>360</v>
      </c>
      <c r="G12" s="100" t="s">
        <v>360</v>
      </c>
      <c r="H12" s="100" t="s">
        <v>360</v>
      </c>
      <c r="I12" s="100" t="s">
        <v>360</v>
      </c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4373-A99F-4020-8777-67700BC87273}">
  <dimension ref="A1"/>
  <sheetViews>
    <sheetView workbookViewId="0"/>
  </sheetViews>
  <sheetFormatPr defaultRowHeight="12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175</v>
      </c>
      <c r="H1" s="87"/>
      <c r="I1" s="88"/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P1" s="85"/>
      <c r="Q1" s="1" t="s">
        <v>181</v>
      </c>
      <c r="R1" s="1" t="s">
        <v>182</v>
      </c>
      <c r="S1" s="1" t="s">
        <v>183</v>
      </c>
      <c r="T1" s="1" t="s">
        <v>184</v>
      </c>
      <c r="V1" s="85"/>
      <c r="W1" s="1" t="s">
        <v>185</v>
      </c>
      <c r="X1" s="1" t="s">
        <v>186</v>
      </c>
      <c r="Y1" s="1" t="s">
        <v>187</v>
      </c>
      <c r="Z1" s="1" t="s">
        <v>188</v>
      </c>
      <c r="AB1" s="85"/>
      <c r="AC1" s="1" t="s">
        <v>166</v>
      </c>
      <c r="AD1" s="1" t="s">
        <v>189</v>
      </c>
      <c r="AE1" s="1" t="s">
        <v>190</v>
      </c>
      <c r="AF1" s="1" t="s">
        <v>191</v>
      </c>
      <c r="AG1" s="1" t="s">
        <v>192</v>
      </c>
      <c r="AI1" s="87"/>
      <c r="AJ1" s="122" t="s">
        <v>193</v>
      </c>
      <c r="AK1" s="122"/>
      <c r="AL1" s="1" t="s">
        <v>47</v>
      </c>
      <c r="AM1" s="1" t="s">
        <v>1</v>
      </c>
      <c r="AN1" s="1" t="s">
        <v>51</v>
      </c>
      <c r="AO1" s="1" t="str">
        <f>Present_Effect_size_measure</f>
        <v>Odds Ratio</v>
      </c>
      <c r="AP1" s="1" t="s">
        <v>55</v>
      </c>
      <c r="AQ1" s="1" t="s">
        <v>58</v>
      </c>
      <c r="AR1" s="1" t="str">
        <f>IF(Present_Effect_size_measure="Risk Difference","Standard error","Standard error log")</f>
        <v>Standard error log</v>
      </c>
      <c r="AS1" s="1" t="s">
        <v>42</v>
      </c>
      <c r="AT1" s="1" t="s">
        <v>43</v>
      </c>
      <c r="AU1" s="1" t="s">
        <v>44</v>
      </c>
      <c r="AW1" s="1" t="str">
        <f>Present_Effect_size_measure</f>
        <v>Odds Ratio</v>
      </c>
      <c r="AX1" s="1" t="s">
        <v>194</v>
      </c>
      <c r="AY1" s="1" t="s">
        <v>195</v>
      </c>
      <c r="BA1" s="122" t="s">
        <v>196</v>
      </c>
      <c r="BB1" s="122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110</v>
      </c>
      <c r="BH1" s="1" t="s">
        <v>55</v>
      </c>
      <c r="BI1" s="1" t="s">
        <v>58</v>
      </c>
      <c r="BJ1" s="1" t="s">
        <v>118</v>
      </c>
      <c r="BL1" s="122" t="s">
        <v>65</v>
      </c>
      <c r="BM1" s="122"/>
      <c r="BO1" s="85"/>
      <c r="BP1" s="1" t="s">
        <v>197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55</v>
      </c>
      <c r="BW1" s="1" t="s">
        <v>203</v>
      </c>
      <c r="BX1" s="1" t="s">
        <v>58</v>
      </c>
      <c r="BY1" s="1" t="s">
        <v>118</v>
      </c>
      <c r="BZ1" s="11"/>
      <c r="CA1" s="122" t="s">
        <v>65</v>
      </c>
      <c r="CB1" s="122"/>
      <c r="CD1" s="85"/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55</v>
      </c>
      <c r="CJ1" s="1" t="s">
        <v>58</v>
      </c>
      <c r="CK1" s="1" t="s">
        <v>118</v>
      </c>
      <c r="CM1" s="122" t="s">
        <v>65</v>
      </c>
      <c r="CN1" s="122"/>
      <c r="CP1" s="85"/>
      <c r="CQ1" s="1" t="s">
        <v>208</v>
      </c>
      <c r="CS1" s="122" t="s">
        <v>57</v>
      </c>
      <c r="CT1" s="122"/>
      <c r="CU1" s="122"/>
      <c r="CV1" s="122"/>
      <c r="CX1" s="87"/>
      <c r="CY1" s="1" t="s">
        <v>209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55</v>
      </c>
      <c r="DE1" s="1" t="s">
        <v>210</v>
      </c>
      <c r="DF1" s="1" t="s">
        <v>211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212</v>
      </c>
      <c r="DI1" s="1" t="s">
        <v>213</v>
      </c>
      <c r="DJ1" s="1" t="s">
        <v>118</v>
      </c>
      <c r="DL1" s="1" t="str">
        <f>Subgroup_effect_size_measure</f>
        <v>Odds Ratio</v>
      </c>
      <c r="DM1" s="1" t="s">
        <v>194</v>
      </c>
      <c r="DN1" s="1" t="s">
        <v>195</v>
      </c>
      <c r="DP1" s="1" t="s">
        <v>214</v>
      </c>
      <c r="DQ1" s="1" t="s">
        <v>10</v>
      </c>
      <c r="DR1" s="1" t="s">
        <v>41</v>
      </c>
      <c r="DS1" s="1" t="s">
        <v>215</v>
      </c>
      <c r="DT1" s="1" t="s">
        <v>74</v>
      </c>
      <c r="DU1" s="1" t="s">
        <v>83</v>
      </c>
      <c r="DV1" s="1" t="s">
        <v>84</v>
      </c>
      <c r="DW1" s="1" t="s">
        <v>216</v>
      </c>
      <c r="DX1" s="1" t="s">
        <v>85</v>
      </c>
      <c r="DY1" s="1" t="s">
        <v>86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217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218</v>
      </c>
      <c r="EI1" s="1" t="s">
        <v>219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220</v>
      </c>
      <c r="EO1" s="1" t="s">
        <v>221</v>
      </c>
      <c r="EP1" s="1" t="str">
        <f>IF(Within_subgroup_weighting=EX38,"Sum of squares (Q)","Sum of squares (Q*)")</f>
        <v>Sum of squares (Q*)</v>
      </c>
      <c r="EQ1" s="1" t="s">
        <v>196</v>
      </c>
      <c r="ER1" s="18" t="s">
        <v>222</v>
      </c>
      <c r="ES1" s="1" t="s">
        <v>55</v>
      </c>
      <c r="ET1" s="1" t="s">
        <v>223</v>
      </c>
      <c r="EU1" s="1" t="s">
        <v>224</v>
      </c>
      <c r="EV1" s="1" t="s">
        <v>118</v>
      </c>
      <c r="EX1" s="1" t="s">
        <v>119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225</v>
      </c>
      <c r="FE1" s="1" t="s">
        <v>55</v>
      </c>
      <c r="FF1" s="1" t="s">
        <v>226</v>
      </c>
      <c r="FG1" s="1" t="s">
        <v>227</v>
      </c>
      <c r="FH1" s="1" t="s">
        <v>228</v>
      </c>
      <c r="FJ1" s="1" t="s">
        <v>44</v>
      </c>
      <c r="FK1" s="1" t="s">
        <v>229</v>
      </c>
      <c r="FL1" s="1" t="s">
        <v>227</v>
      </c>
      <c r="FM1" s="1" t="s">
        <v>230</v>
      </c>
      <c r="FO1" s="1" t="s">
        <v>163</v>
      </c>
      <c r="FP1" s="1"/>
      <c r="FR1" s="87"/>
      <c r="FS1" s="88"/>
      <c r="FT1" s="1" t="s">
        <v>55</v>
      </c>
      <c r="FU1" s="1" t="s">
        <v>44</v>
      </c>
      <c r="FV1" s="1" t="s">
        <v>231</v>
      </c>
      <c r="FW1" s="1" t="s">
        <v>232</v>
      </c>
      <c r="FX1" s="1" t="s">
        <v>233</v>
      </c>
      <c r="FY1" s="1" t="s">
        <v>68</v>
      </c>
      <c r="FZ1" s="1" t="s">
        <v>234</v>
      </c>
      <c r="GA1" s="1" t="s">
        <v>235</v>
      </c>
      <c r="GB1" s="1" t="s">
        <v>236</v>
      </c>
      <c r="GC1" s="1" t="s">
        <v>237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2" t="s">
        <v>238</v>
      </c>
      <c r="GH1" s="122"/>
      <c r="GI1" s="122"/>
      <c r="GK1" s="85"/>
      <c r="GL1" s="1" t="s">
        <v>239</v>
      </c>
      <c r="GM1" s="1" t="s">
        <v>240</v>
      </c>
      <c r="GN1" s="1" t="s">
        <v>241</v>
      </c>
      <c r="GO1" s="1" t="s">
        <v>242</v>
      </c>
      <c r="GP1" s="1" t="s">
        <v>243</v>
      </c>
      <c r="GQ1" s="1" t="s">
        <v>244</v>
      </c>
      <c r="GR1" s="1" t="s">
        <v>245</v>
      </c>
      <c r="GS1" s="1" t="s">
        <v>246</v>
      </c>
      <c r="GT1" s="1" t="s">
        <v>247</v>
      </c>
      <c r="GV1" s="122" t="s">
        <v>248</v>
      </c>
      <c r="GW1" s="122"/>
      <c r="GY1" s="1" t="s">
        <v>249</v>
      </c>
      <c r="GZ1" s="1" t="s">
        <v>250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251</v>
      </c>
      <c r="HD1" s="1" t="s">
        <v>44</v>
      </c>
      <c r="HE1" s="1" t="s">
        <v>118</v>
      </c>
      <c r="HG1" s="1" t="s">
        <v>252</v>
      </c>
      <c r="HH1" s="1" t="str">
        <f>HA1</f>
        <v>Log Odds Ratio</v>
      </c>
      <c r="HI1" s="1" t="str">
        <f>HB1</f>
        <v>SE Log Odds Ratio</v>
      </c>
      <c r="HK1" s="85"/>
      <c r="HL1" s="1" t="s">
        <v>253</v>
      </c>
      <c r="HM1" s="1" t="s">
        <v>254</v>
      </c>
      <c r="HO1" s="85"/>
      <c r="HP1" s="1" t="s">
        <v>255</v>
      </c>
      <c r="HQ1" s="1" t="s">
        <v>256</v>
      </c>
      <c r="HR1" s="1" t="s">
        <v>257</v>
      </c>
      <c r="HS1" s="1" t="s">
        <v>258</v>
      </c>
      <c r="HT1" s="1" t="s">
        <v>259</v>
      </c>
      <c r="HU1" s="1" t="s">
        <v>260</v>
      </c>
      <c r="HW1" s="85"/>
      <c r="HX1" s="1" t="s">
        <v>261</v>
      </c>
      <c r="HY1" s="1" t="s">
        <v>262</v>
      </c>
      <c r="HZ1" s="1" t="s">
        <v>263</v>
      </c>
      <c r="IB1" s="85"/>
      <c r="IC1" s="1" t="s">
        <v>126</v>
      </c>
      <c r="ID1" s="1" t="s">
        <v>125</v>
      </c>
      <c r="IE1" s="1" t="s">
        <v>55</v>
      </c>
      <c r="IF1" s="1" t="s">
        <v>264</v>
      </c>
      <c r="IH1" s="122" t="s">
        <v>265</v>
      </c>
      <c r="II1" s="122"/>
      <c r="IK1" s="85"/>
      <c r="IL1" s="1" t="s">
        <v>266</v>
      </c>
      <c r="IM1" s="1" t="s">
        <v>267</v>
      </c>
      <c r="IN1" s="1" t="s">
        <v>253</v>
      </c>
      <c r="IO1" s="1" t="s">
        <v>254</v>
      </c>
      <c r="IQ1" s="122" t="s">
        <v>268</v>
      </c>
      <c r="IR1" s="122"/>
      <c r="IS1" s="122"/>
      <c r="IU1" s="85"/>
      <c r="IV1" s="1" t="s">
        <v>269</v>
      </c>
      <c r="IW1" s="1" t="s">
        <v>270</v>
      </c>
      <c r="IX1" s="1" t="s">
        <v>271</v>
      </c>
      <c r="IY1" s="1" t="s">
        <v>272</v>
      </c>
      <c r="IZ1" s="1" t="s">
        <v>273</v>
      </c>
      <c r="JA1" s="1" t="s">
        <v>254</v>
      </c>
      <c r="JC1" s="122" t="s">
        <v>268</v>
      </c>
      <c r="JD1" s="122"/>
      <c r="JE1" s="122"/>
      <c r="JG1" s="85"/>
      <c r="JH1" s="1" t="s">
        <v>128</v>
      </c>
      <c r="JI1" s="1" t="s">
        <v>114</v>
      </c>
      <c r="JJ1" s="1" t="s">
        <v>274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65.25</v>
      </c>
      <c r="C2" s="6">
        <f>IF(AND(Include_study?="Yes",Sufficient_data="Yes"),IF(Input!b_&lt;&gt;"",Input!b_,Input!n1_-Input!a_),"")</f>
        <v>2326.75</v>
      </c>
      <c r="D2" s="6">
        <f>IF(AND(Include_study?="Yes",Sufficient_data="Yes"),IF(Input!c_&lt;&gt;"",Input!c_,Input!n2_-Input!d_),"")</f>
        <v>74.900000000000006</v>
      </c>
      <c r="E2" s="6">
        <f>IF(AND(Include_study?="Yes",Sufficient_data="Yes"),IF(Input!d_&lt;&gt;"",Input!d_,Input!n2_-Input!c_),"")</f>
        <v>2112.1</v>
      </c>
      <c r="F2" s="35" t="str">
        <f t="shared" ref="F2:F33" si="1">IF(AND(Include_study?="Yes",Sufficient_data="Yes"),IF(OR(a_=0,b_=0,c_=0,d_=0),"Yes","No"),"")</f>
        <v>No</v>
      </c>
      <c r="H2" s="140" t="s">
        <v>275</v>
      </c>
      <c r="I2" s="134" t="s">
        <v>57</v>
      </c>
      <c r="J2" s="77">
        <f t="shared" ref="J2:J65" si="2">IF(AND(Include_study?="Yes",Sufficient_data="Yes"),IF(Add_0_5="Yes",((a_+0.5)*(d_+0.5))/((b_+0.5)*(c_+0.5)),(a_*d_)/(b_*c_)),"")</f>
        <v>0.79079415797833941</v>
      </c>
      <c r="K2" s="74">
        <f t="shared" ref="K2:K33" si="3">IF(AND(Include_study?="Yes",Sufficient_data="Yes"),LN(OddsRatio),"")</f>
        <v>-0.23471757519609454</v>
      </c>
      <c r="L2" s="74">
        <f t="shared" ref="L2:L33" si="4">IF(AND(Include_study?="Yes",Sufficient_data="Yes"),SQRT(IF(Add_0_5="Yes",1/(a_+0.5)+1/(b_+0.5)+1/(c_+0.5)+1/(d_+0.5),1/a_+1/b_+1/c_+1/d_)),"")</f>
        <v>0.17198852231711717</v>
      </c>
      <c r="M2" s="74">
        <f t="shared" ref="M2:M33" si="5">IF(AND(Include_study?="Yes",Sufficient_data="Yes"),EXP(LogOddsRatio-ABS(TINV((1-Confidence_level),Number_of_subjects-2))*SELogOddsRatio),"")</f>
        <v>0.56445306118928651</v>
      </c>
      <c r="N2" s="34">
        <f t="shared" ref="N2:N33" si="6">IF(AND(Include_study?="Yes",Sufficient_data="Yes"),EXP(LogOddsRatio+ABS(TINV((1-Confidence_level),Number_of_subjects-2))*SELogOddsRatio),"")</f>
        <v>1.1078961977370887</v>
      </c>
      <c r="P2" s="124" t="s">
        <v>276</v>
      </c>
      <c r="Q2" s="77">
        <f t="shared" ref="Q2:Q33" si="7">IF(AND(Include_study?="Yes",Sufficient_data="Yes"),EXP(LogPetoOddsRatio),"")</f>
        <v>0.79069470935717312</v>
      </c>
      <c r="R2" s="74">
        <f t="shared" ref="R2:R33" si="8">IF(AND(Include_study?="Yes",Sufficient_data="Yes"),SQRT(VarLogPetoOddsRatio),"")</f>
        <v>0.17174012426042473</v>
      </c>
      <c r="S2" s="74">
        <f t="shared" ref="S2:S33" si="9">IF(AND(Include_study?="Yes",Sufficient_data="Yes"),EXP(LogPetoOddsRatio-ABS(TINV((1-Confidence_level),Number_of_subjects-2))*SELogPetoOddsRatio),"")</f>
        <v>0.5646569864810812</v>
      </c>
      <c r="T2" s="34">
        <f t="shared" ref="T2:T33" si="10">IF(AND(Include_study?="Yes",Sufficient_data="Yes"),EXP(LogPetoOddsRatio+ABS(TINV((1-Confidence_level),Number_of_subjects-2))*SELogPetoOddsRatio),"")</f>
        <v>1.1072175468891885</v>
      </c>
      <c r="V2" s="124" t="s">
        <v>185</v>
      </c>
      <c r="W2" s="77">
        <f t="shared" ref="W2:W33" si="11">IF(AND(Include_study?="Yes",Sufficient_data="Yes"),a_/(a_+b_)-c_/(c_+d_),"")</f>
        <v>-6.9693999813430878E-3</v>
      </c>
      <c r="X2" s="74">
        <f t="shared" ref="X2:X33" si="12">IF(AND(Include_study?="Yes",Sufficient_data="Yes"),SQRT(a_*b_/(a_+b_)^3+c_*d_/(c_+d_)^3),"")</f>
        <v>5.1201912922319674E-3</v>
      </c>
      <c r="Y2" s="74">
        <f t="shared" ref="Y2:Y33" si="13">IF(AND(Include_study?="Yes",Sufficient_data="Yes"),Risk_Difference-SERiskDifference*ABS(TINV((1-Confidence_level),Number_of_subjects-2)),"")</f>
        <v>-1.7007445006781207E-2</v>
      </c>
      <c r="Z2" s="34">
        <f t="shared" ref="Z2:Z33" si="14">IF(AND(Include_study?="Yes",Sufficient_data="Yes"),Risk_Difference+SERiskDifference*ABS(TINV((1-Confidence_level),Number_of_subjects-2)),"")</f>
        <v>3.0686450440950315E-3</v>
      </c>
      <c r="AB2" s="124" t="s">
        <v>166</v>
      </c>
      <c r="AC2" s="77">
        <f t="shared" ref="AC2:AC33" si="15">IF(AND(Include_study?="Yes",Sufficient_data="Yes"),IF(Add_0_5="Yes",((a_+0.5)/(a_+0.5+b_+0.5))/((c_+0.5)/(c_+0.5+d_+0.5)),(a_/(a_+b_))/(c_/(c_+d_))),"")</f>
        <v>0.79650096449669783</v>
      </c>
      <c r="AD2" s="74">
        <f t="shared" ref="AD2:AD33" si="16">IF(AND(Include_study?="Yes",Sufficient_data="Yes"),LN(Risk_Ratio),"")</f>
        <v>-0.22752693871412566</v>
      </c>
      <c r="AE2" s="74">
        <f t="shared" ref="AE2:AE33" si="17">IF(AND(Include_study?="Yes",Sufficient_data="Yes"),IF(Add_0_5="Yes",SQRT(1/(a_+0.5)-1/(a_+0.5+b_+0.5)+1/(c_+0.5)-1/(c_+0.5+d_+0.5)),SQRT(1/a_-1/(a_+b_)+1/c_-1/(c_+d_))),"")</f>
        <v>0.16673781146773436</v>
      </c>
      <c r="AF2" s="74">
        <f t="shared" ref="AF2:AF33" si="18">IF(AND(Include_study?="Yes",Sufficient_data="Yes"),EXP(LN(Risk_Ratio)-ABS(TINV((1-Confidence_level),Number_of_subjects-2))*SELogRiskRatio),"")</f>
        <v>0.57440906070141962</v>
      </c>
      <c r="AG2" s="34">
        <f t="shared" ref="AG2:AG33" si="19">IF(AND(Include_study?="Yes",Sufficient_data="Yes"),EXP(LN(Risk_Ratio)+ABS(TINV((1-Confidence_level),Number_of_subjects-2))*SELogRiskRatio),"")</f>
        <v>1.1044634039537566</v>
      </c>
      <c r="AI2" s="140" t="s">
        <v>277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Yeh et al.</v>
      </c>
      <c r="AN2" s="6">
        <f t="shared" ref="AN2:AN65" si="21">IF(AND(Sufficient_data="Yes",Include_study?="Yes"),(a_+b_+c_+d_),"")</f>
        <v>4579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0.79079415797833941</v>
      </c>
      <c r="AP2" s="3">
        <f t="shared" ref="AP2:AP33" si="23">IF(AND(Include_study?="Yes",Sufficient_data="Yes"),IF(Weighting_method="Inverse variance",Weightf,IF(Weighting_method="Mantel-Haenszel",Weightf_MH,Weightf_Peto)),"")</f>
        <v>33.806566887135737</v>
      </c>
      <c r="AQ2" s="3">
        <f t="shared" ref="AQ2:AQ33" si="24">IF(AND(Include_study?="Yes",Sufficient_data="Yes"),IF(Weighting_method="Inverse variance",Weight,IF(Weighting_method="Mantel-Haenszel",Weight_MH,Weight_Peto)),"")</f>
        <v>13.022168687972343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0.17198852231711717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0.56445306118928651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1.1078961977370887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0.14696833836959786</v>
      </c>
      <c r="AW2" s="43">
        <f t="shared" ref="AW2:AW33" si="29">IF(Effect_size_lookup&lt;&gt;"",Effect_size_lookup,NA())</f>
        <v>0.79079415797833941</v>
      </c>
      <c r="AX2" s="3">
        <f t="shared" ref="AX2:AX33" si="30">IF(Effect_size_lookup&lt;&gt;"",Effect_size_lookup-AS2,NA())</f>
        <v>0.2263410967890529</v>
      </c>
      <c r="AY2" s="34">
        <f t="shared" ref="AY2:AY33" si="31">IF(Effect_size_lookup&lt;&gt;"",AT2-Effect_size_lookup,NA())</f>
        <v>0.31710203975874929</v>
      </c>
      <c r="BA2" s="2" t="s">
        <v>278</v>
      </c>
      <c r="BB2" s="3">
        <f>'Forest Plot'!$B$16</f>
        <v>0.55846854267198309</v>
      </c>
      <c r="BD2" s="140" t="s">
        <v>279</v>
      </c>
      <c r="BE2" s="134" t="s">
        <v>280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-0.23471757519609454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0.17198852231711717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33.806566887135737</v>
      </c>
      <c r="BI2" s="74">
        <f>IF(Weightf&lt;&gt;"",1/(IF(Model_effect_size_measure="Odds Ratio",SELogOddsRatio,IF(Model_effect_size_measure="Risk Ratio",SELogRiskRatio,SERiskDifference))^2+T2_),"")</f>
        <v>13.022168687972343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0.34783941153276204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-0.58255698672885659</v>
      </c>
      <c r="BO2" s="124" t="s">
        <v>281</v>
      </c>
      <c r="BP2" s="3">
        <f t="shared" ref="BP2:BP33" si="36">IF(AND(Sufficient_data="Yes",Include_study?="Yes"),IF(Add_0_5="Yes",(a_+0.5)*(d_+0.5)/(Number_of_subjects+2),a_*d_/Number_of_subjects),"")</f>
        <v>30.097079056562567</v>
      </c>
      <c r="BQ2" s="3">
        <f t="shared" ref="BQ2:BQ33" si="37">IF(AND(Sufficient_data="Yes",Include_study?="Yes"),IF(Add_0_5="Yes",(b_+0.5)*(c_+0.5)/(Number_of_subjects+2),b_*c_/Number_of_subjects),"")</f>
        <v>38.059308801048267</v>
      </c>
      <c r="BR2" s="3">
        <f t="shared" ref="BR2:BR33" si="38">IF(AND(Sufficient_data="Yes",Include_study?="Yes"),IF(Add_0_5="Yes",(a_+d_+1)*(a_+0.5)*(d_+0.5)/(Number_of_subjects+2)^2,(a_+d_)*a_*d_/Number_of_subjects^2),"")</f>
        <v>14.311394427562023</v>
      </c>
      <c r="BS2" s="3">
        <f>IF(AND(Sufficient_data="Yes",Include_study?="Yes"),IF(Add_0_5="Yes",(a_+d_+1)*(ab_+0.5)*(c_+0.5)/(Number_of_subjects+2)^2,(a_+d_)*b_*c_/Number_of_subjects^2),"")</f>
        <v>18.097496400515929</v>
      </c>
      <c r="BT2" s="3">
        <f t="shared" ref="BT2:BT33" si="39">IF(AND(Sufficient_data="Yes",Include_study?="Yes"),IF(Add_0_5="Yes",(b_+c_+1)*(a_+0.5)*(d_+0.5)/(Number_of_subjects+2)^2,(b_+c_)*a_*d_/Number_of_subjects^2),"")</f>
        <v>15.785684629000544</v>
      </c>
      <c r="BU2" s="3">
        <f t="shared" ref="BU2:BU33" si="40">IF(AND(Sufficient_data="Yes",Include_study?="Yes"),IF(Add_0_5="Yes",(b_+c_+1)*(b_+0.5)*(c_+0.5)/(Number_of_subjects+2)^2,(b_+c_)*b_*c_/Number_of_subjects^2),"")</f>
        <v>19.961812400532338</v>
      </c>
      <c r="BV2" s="3">
        <f t="shared" ref="BV2:BV33" si="41">IF(AND(Sufficient_data="Yes",Include_study?="Yes"),IF(Add_0_5="Yes",(b_+0.5)*(c_+0.5)/(Number_of_subjects+2),b_*c_/Number_of_subjects),"")</f>
        <v>38.059308801048267</v>
      </c>
      <c r="BW2" s="3">
        <f t="shared" ref="BW2:BW33" si="42">IF(AND(Sufficient_data="Yes",Include_study?="Yes"),1/(SELogOddsRatio^2)*(LogOddsRatio-LN(SUMPRODUCT(Weightf_MH,OddsRatio)/SUM(Weightf_MH)))^2,"")</f>
        <v>3.4878916931442063</v>
      </c>
      <c r="BX2" s="74">
        <f t="shared" ref="BX2:BX33" si="43">IF(Weithf_MH&lt;&gt;"",1/(SELogOddsRatio^2+T2_MH),"")</f>
        <v>15.153705423704841</v>
      </c>
      <c r="BY2" s="34">
        <f t="shared" ref="BY2:BY33" si="44">IF(Weithf_MH&lt;&gt;"",LogOddsRatio-lnCES_OddsRatio_MH,"")</f>
        <v>0.34549624701354303</v>
      </c>
      <c r="CA2" s="3" t="s">
        <v>282</v>
      </c>
      <c r="CB2" s="3">
        <f>LN(CES_OddsRatio_MH)</f>
        <v>-0.58021382220963758</v>
      </c>
      <c r="CD2" s="124" t="s">
        <v>283</v>
      </c>
      <c r="CE2" s="77">
        <f t="shared" ref="CE2:CE33" si="45">IF(AND(Include_study?="Yes",Sufficient_data="Yes"),((a_+b_)*(a_+c_))/(Number_of_subjects),"")</f>
        <v>73.212229744485697</v>
      </c>
      <c r="CF2" s="74">
        <f t="shared" ref="CF2:CF33" si="46">IF(AND(Include_study?="Yes",Sufficient_data="Yes"),((a_+b_)*(c_+d_)*(a_+c_)*(b_+d_))/((Number_of_subjects)^2*(Number_of_subjects-1)),"")</f>
        <v>33.904430545360405</v>
      </c>
      <c r="CG2" s="74">
        <f t="shared" ref="CG2:CG33" si="47">IF(AND(Include_study?="Yes",Sufficient_data="Yes"),(a_-Expected)/VarExpected,"")</f>
        <v>-0.2348433410150661</v>
      </c>
      <c r="CH2" s="74">
        <f t="shared" ref="CH2:CH33" si="48">IF(AND(Include_study?="Yes",Sufficient_data="Yes"),1/VarExpected,"")</f>
        <v>2.9494670280986131E-2</v>
      </c>
      <c r="CI2" s="74">
        <f t="shared" ref="CI2:CI33" si="49">IF(AND(Sufficient_data="Yes",Include_study?="Yes"),VarExpected,"")</f>
        <v>33.904430545360405</v>
      </c>
      <c r="CJ2" s="74">
        <f t="shared" ref="CJ2:CJ65" si="50">IF(Weightf_Peto&lt;&gt;"",1/(VarLogPetoOddsRatio+T2_Peto),"")</f>
        <v>9.2053315749029689</v>
      </c>
      <c r="CK2" s="34">
        <f t="shared" ref="CK2:CK33" si="51">IF(Weightf_Peto&lt;&gt;"",LogPetoOddsRatio-lnCES_PetoOddsRatio,"")</f>
        <v>0.38734875738466468</v>
      </c>
      <c r="CM2" s="3" t="s">
        <v>284</v>
      </c>
      <c r="CN2" s="3">
        <f>IF(Meta_analysis_model="Fixed effect model",SUMPRODUCT(Weightf_Peto,LogPetoOddsRatio)/SUM(Weightf_Peto),SUMPRODUCT(Weight_Peto,LogPetoOddsRatio)/SUM(Weight_Peto))</f>
        <v>-0.62219209839973078</v>
      </c>
      <c r="CP2" s="124" t="s">
        <v>285</v>
      </c>
      <c r="CQ2" s="51">
        <f t="shared" ref="CQ2:CQ33" si="52">IF(AND(Sufficient_data="Yes",Include_study?="Yes"),c_/(c_+d_),"")</f>
        <v>3.4247828074988572E-2</v>
      </c>
      <c r="CS2" s="2"/>
      <c r="CT2" s="2" t="s">
        <v>54</v>
      </c>
      <c r="CU2" s="2" t="s">
        <v>78</v>
      </c>
      <c r="CV2" s="2" t="s">
        <v>79</v>
      </c>
      <c r="CX2" s="140" t="s">
        <v>286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Yeh et al.</v>
      </c>
      <c r="DA2" s="78" t="str">
        <f t="shared" ref="DA2:DA33" si="55">IF(AND(Include_study?="Yes",Sufficient_data="Yes",Subgroup&lt;&gt;""),Subgroup,"")</f>
        <v>English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-0.23471757519609454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0.17198852231711717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33.806566887135737</v>
      </c>
      <c r="DE2" s="74">
        <f t="shared" ref="DE2:DE33" si="59">IF(AND(Include_study?="Yes",Sufficient_data="Yes",Subgroup&lt;&gt;""),1/(DC2^2+IF(Within_subgroup_weighting=EX$42,0,INDEX(DQ:DX,MATCH(Subgroup,DQ:DQ,0),8))),"")</f>
        <v>11.918657140119224</v>
      </c>
      <c r="DF2" s="79">
        <f t="shared" ref="DF2:DF33" si="60">IF(AND(Include_study?="Yes",Sufficient_data="Yes",Subgroup_valid_options="Yes",Subgroup&lt;&gt;""),DE2/SUMIF(Subgroup,Subgroup,DE:DE),"")</f>
        <v>0.17112374037957184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0.79079415797833941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0.564453072185923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1.1078961761531303</v>
      </c>
      <c r="DJ2" s="34" t="e">
        <f t="shared" ref="DJ2:DJ33" si="64">IF(AND(Include_study?="Yes",Sufficient_data="Yes",Subgroup&lt;&gt;""),Subgroup_effect_size-VLOOKUP(DA:DA,DQ:DZ,10,FALSE),"")</f>
        <v>#DIV/0!</v>
      </c>
      <c r="DL2" s="43">
        <f t="shared" ref="DL2:DL33" si="65">IF(Subgroup_effect_size&lt;&gt;"",IF(Subgroup_effect_size_measure="Risk Difference",Subgroup_effect_size,DG:DG),NA())</f>
        <v>0.79079415797833941</v>
      </c>
      <c r="DM2" s="74">
        <f>IF(AND(Include_study?="Yes",Sufficient_data="Yes",Subgroup&lt;&gt;""),IF(Subgroup_effect_size_measure="Risk Difference",DB2-DH2,DG2-DH2),NA())</f>
        <v>0.22634108579241641</v>
      </c>
      <c r="DN2" s="34">
        <f>IF(AND(Include_study?="Yes",Sufficient_data="Yes",Subgroup&lt;&gt;""),IF(Subgroup_effect_size_measure="Risk Difference",DI2-DB2,DI2-DG2),NA())</f>
        <v>0.31710201817479089</v>
      </c>
      <c r="DP2" s="47">
        <f>IF(DQ2&lt;&gt;"",SUMIFS(DS:DS,DS:DS,"&gt;="&amp;0,DQ:DQ,"&lt;"&amp;DQ2)+DS2+DR2,"")</f>
        <v>7</v>
      </c>
      <c r="DQ2" s="17" t="str">
        <f>IF(AND(Sufficient_data="Yes",Subgroup&lt;&gt;""),Subgroup,"")</f>
        <v>English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6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13.713487293598973</v>
      </c>
      <c r="DU2" s="10">
        <f>IF(DT2&lt;&gt;"",CHIDIST(DT2,DS2-1),"")</f>
        <v>1.75355530122457E-2</v>
      </c>
      <c r="DV2" s="9">
        <f>IF(DT2&lt;&gt;"",IF((DT2-(DS2-1))&lt;=0,0,(DT2-(DS2-1))/DT2),"")</f>
        <v>0.63539544005456272</v>
      </c>
      <c r="DW2" s="10">
        <f t="shared" ref="DW2:DW33" si="68">IF(DT2&lt;&gt;"",SUMIF(Subgroup,DQ2,Subgroup_weightf)-SUMPRODUCT(--(Subgroup=DQ2),Subgroup_weightf,Subgroup_weightf)/SUMIF(Subgroup,DQ2,Subgroup_weightf),"")</f>
        <v>160.40433805913884</v>
      </c>
      <c r="DX2" s="3">
        <f t="shared" ref="DX2:DX33" si="69">IF(DT2&lt;&gt;"",IF(Within_subgroup_weighting=EX$44,MAX(0,(SUM(DT:DT)-(Subgroup_k-COUNT(DT:DT)))/SUM(DW:DW)),MAX(0,(DT2-(DS2-1))/DW2)),"")</f>
        <v>5.4322017714922601E-2</v>
      </c>
      <c r="DY2" s="3">
        <f>IF(DX2&lt;&gt;"",SQRT(DX2),"")</f>
        <v>0.23307084269578338</v>
      </c>
      <c r="DZ2" s="3" t="e">
        <f t="shared" ref="DZ2:DZ33" si="70">IF(DT2&lt;&gt;"",SUMPRODUCT(--(Subgroup=DQ2),DE:DE,Subgroup_effect_size)/SUMIF(Subgroup,DQ2,DE:DE),"")</f>
        <v>#DIV/0!</v>
      </c>
      <c r="EA2" s="3" t="e">
        <f t="shared" ref="EA2:EA33" si="71">IF(DT2&lt;&gt;"",IF(Within_subgroup_weighting=EX$42,1/SQRT(SUMIF(Subgroup,DQ2,DD:DD)),SQRT(SUMPRODUCT(--(Subgroup=DQ2),DE:DE,DJ:DJ,DJ:DJ)/((DS2-1)*SUMIF(Subgroup,DQ2,DE:DE)))),"")</f>
        <v>#DIV/0!</v>
      </c>
      <c r="EB2" s="6">
        <f t="shared" ref="EB2:EB33" si="72">IF(DT2&lt;&gt;"",SUMIFS(Number_of_subjects,Subgroup,DQ2,Include_study?,"Yes",Sufficient_data,"Yes"),"")</f>
        <v>37260</v>
      </c>
      <c r="EC2" s="3" t="e">
        <f>IF(DT2&lt;&gt;"",DZ2-ABS(TINV((1-Subgroup_confidence_level),DS2-1))*EA2,"")</f>
        <v>#DIV/0!</v>
      </c>
      <c r="ED2" s="3" t="e">
        <f>IF(DT2&lt;&gt;"",DZ2+ABS(TINV((1-Subgroup_confidence_level),DS2-1))*EA2,"")</f>
        <v>#DIV/0!</v>
      </c>
      <c r="EE2" s="3" t="e">
        <f>IF(AND(EE$1&lt;&gt;"",DT2&lt;&gt;""),EXP(DZ2),"")</f>
        <v>#DIV/0!</v>
      </c>
      <c r="EF2" s="3" t="e">
        <f>IF(AND(EF$1&lt;&gt;"",DT2&lt;&gt;""),EXP(EC2),"")</f>
        <v>#DIV/0!</v>
      </c>
      <c r="EG2" s="3" t="e">
        <f>IF(AND(EG$1&lt;&gt;"",DT2&lt;&gt;""),EXP(ED2),"")</f>
        <v>#DIV/0!</v>
      </c>
      <c r="EH2" s="3" t="e">
        <f>IF(AND(EE$1&lt;&gt;"",DT2&lt;&gt;""),EE2-EF2,IF(DT2&lt;&gt;"",DZ2-EC2,""))</f>
        <v>#DIV/0!</v>
      </c>
      <c r="EI2" s="3" t="e">
        <f>IF(AND(EE$1&lt;&gt;"",DT2&lt;&gt;""),EG2-EE2,IF(DT2&lt;&gt;"",ED2-DZ2,""))</f>
        <v>#DIV/0!</v>
      </c>
      <c r="EJ2" s="3" t="e">
        <f>IF(DT2&lt;&gt;"",DZ2-ABS(TINV((1-Subgroup_confidence_level),DS2-1))*SQRT(DX2+EA2^2),"")</f>
        <v>#DIV/0!</v>
      </c>
      <c r="EK2" s="3" t="e">
        <f t="shared" ref="EK2:EK33" si="73">IF(DT2&lt;&gt;"",DZ2+ABS(TINV((1-Subgroup_confidence_level),DS2-1))*SQRT(DX2+EA2^2),"")</f>
        <v>#DIV/0!</v>
      </c>
      <c r="EL2" s="3" t="e">
        <f>IF(AND(EL$1&lt;&gt;"",DT2&lt;&gt;""),EXP(EJ2),"")</f>
        <v>#DIV/0!</v>
      </c>
      <c r="EM2" s="3" t="e">
        <f>IF(AND(EM$1&lt;&gt;"",DT2&lt;&gt;""),EXP(EK2),"")</f>
        <v>#DIV/0!</v>
      </c>
      <c r="EN2" s="3" t="e">
        <f>IF(AND(EE$1&lt;&gt;"",DT2&lt;&gt;""),EE2-EL2,IF(DT2&lt;&gt;"",DZ2-EJ2,""))</f>
        <v>#DIV/0!</v>
      </c>
      <c r="EO2" s="3" t="e">
        <f>IF(AND(EE$1&lt;&gt;"",DT2&lt;&gt;""),EM2-EE2,IF(DT2&lt;&gt;"",EK2-DZ2,""))</f>
        <v>#DIV/0!</v>
      </c>
      <c r="EP2" s="3" t="e">
        <f t="shared" ref="EP2:EP33" si="74">IF(DT2&lt;&gt;"",SUMPRODUCT(--(Subgroup=DQ2),DE:DE,Subgroup_effect_size,Subgroup_effect_size)-(SUMPRODUCT(--(Subgroup=DQ2),DE:DE,Subgroup_effect_size)^2/SUMIF(Subgroup,DQ2,DE:DE)),"")</f>
        <v>#DIV/0!</v>
      </c>
      <c r="EQ2" s="3" t="e">
        <f>IF(DT2&lt;&gt;"",IF(EE2&lt;&gt;"",EE2,DZ2),NA())</f>
        <v>#DIV/0!</v>
      </c>
      <c r="ER2" s="9" t="e">
        <f>IF(DT2&lt;&gt;"",(ET2/SUM(ET:ET)),"")</f>
        <v>#DIV/0!</v>
      </c>
      <c r="ES2" s="3" t="e">
        <f>IF(DT2&lt;&gt;"",1/(EA2^2),"")</f>
        <v>#DIV/0!</v>
      </c>
      <c r="ET2" s="3" t="e">
        <f>IF(EA2&lt;&gt;"",1/(EA2^2+IF(Between_subgroup_weighting=EX$38,0,EY$35)),"")</f>
        <v>#DIV/0!</v>
      </c>
      <c r="EU2" s="74" t="e">
        <f t="shared" ref="EU2:EU33" si="75">IF(ES2&lt;&gt;"",IF(Subgroup_effect_size_measure="Risk Difference",(EY$9-DZ2)^2*ET2,(EY$2-DZ2)^2*ET2),"")</f>
        <v>#DIV/0!</v>
      </c>
      <c r="EV2" s="34" t="e">
        <f t="shared" ref="EV2:EV33" si="76">IF(DT2&lt;&gt;"",IF(Subgroup_effect_size_measure="Risk Difference",EE:EE-EY$9,DZ:DZ-EY$2),"")</f>
        <v>#DIV/0!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40" t="s">
        <v>287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119</v>
      </c>
      <c r="FP2" s="3" t="e">
        <f>SUMPRODUCT('Moderator Analysis'!F:F,Calculations!FE:FE)/SUM(Calculations!FE:FE)</f>
        <v>#DIV/0!</v>
      </c>
      <c r="FR2" s="140" t="s">
        <v>288</v>
      </c>
      <c r="FS2" s="134" t="s">
        <v>132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33.806566887135737</v>
      </c>
      <c r="FU2" s="74">
        <f>IF(AND(Include_study?="Yes",Sufficient_data="Yes"),1/('Publication Bias Analysis'!F:F^2+IF(Additional_model="Fixed effect",0,Calculations!GH$12)),"")</f>
        <v>33.806566887135737</v>
      </c>
      <c r="FV2" s="74">
        <f>IF(AND(Include_study?="Yes",Sufficient_data="Yes"),1/('Publication Bias Analysis'!F:F^2+IF(Additional_model="Fixed effect",0,'Publication Bias Analysis'!L$32)),"")</f>
        <v>33.806566887135737</v>
      </c>
      <c r="FW2" s="74">
        <f>IF(AND(Include_study?="Yes",Sufficient_data="Yes"),'Publication Bias Analysis'!E:E-'Publication Bias Analysis'!I$37,"")</f>
        <v>0.33048267732220488</v>
      </c>
      <c r="FX2" s="74">
        <f>IF(AND(Include_study?="Yes",Sufficient_data="Yes"),IF(Additional_model="Fixed effect",1/'Publication Bias Analysis'!F:F,1/SQRT('Publication Bias Analysis'!F:F^2+GH$12)),"")</f>
        <v>5.8143414835332585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-1.3647281343769895</v>
      </c>
      <c r="FZ2" s="37">
        <f t="shared" ref="FZ2:FZ33" si="80">IF(AND(Include_study?="Yes",Sufficient_data="Yes"),RANK(GM:GM,GM:GM,1)*IF(GL:GL&gt;0,1,-1),"")</f>
        <v>-6</v>
      </c>
      <c r="GA2" s="82">
        <f>IF(AND(Include_study?="Yes",Sufficient_data="Yes"),FZ:FZ,"")</f>
        <v>-6</v>
      </c>
      <c r="GB2" s="82">
        <f>IF(AND(Include_study?="Yes",Sufficient_data="Yes"),RANK(GP:GP,GP:GP,1)*IF(GO:GO&lt;0,-1,1),"")</f>
        <v>-6</v>
      </c>
      <c r="GC2" s="82">
        <f>IF(AND(Include_study?="Yes",Sufficient_data="Yes"),RANK(GS:GS,GS:GS,1)*IF(GR:GR&lt;0,-1,1),"")</f>
        <v>-6</v>
      </c>
      <c r="GD2" s="74">
        <f>IF(AND(Include_study?="Yes",Sufficient_data="Yes"),'Publication Bias Analysis'!E2,NA())</f>
        <v>-0.23471757519609454</v>
      </c>
      <c r="GE2" s="34">
        <f>IF(AND(Include_study?="Yes",Sufficient_data="Yes"),'Publication Bias Analysis'!F2,NA())</f>
        <v>0.17198852231711717</v>
      </c>
      <c r="GG2" s="24" t="s">
        <v>289</v>
      </c>
      <c r="GH2" s="2" t="s">
        <v>259</v>
      </c>
      <c r="GI2" s="2" t="s">
        <v>260</v>
      </c>
      <c r="GK2" s="124" t="s">
        <v>290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-0.33048267732220488</v>
      </c>
      <c r="GM2" s="74">
        <f t="shared" ref="GM2:GM33" si="81">IF(AND(Include_study?="Yes",Sufficient_data="Yes"),ABS(GL2),"")</f>
        <v>0.33048267732220488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33.806566887135737</v>
      </c>
      <c r="GO2" s="74">
        <f>IF(AND(Include_study?="Yes",Sufficient_data="Yes"),IF('Publication Bias Analysis'!L$38="Left",'Publication Bias Analysis'!E:E-GW$3,GW$3-'Publication Bias Analysis'!E:E),"")</f>
        <v>-0.33048267732220488</v>
      </c>
      <c r="GP2" s="74">
        <f t="shared" ref="GP2:GP33" si="82">IF(GO2&lt;&gt;"",ABS(GO2),"")</f>
        <v>0.33048267732220488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33.806566887135737</v>
      </c>
      <c r="GR2" s="74">
        <f>IF(AND(Include_study?="Yes",Sufficient_data="Yes"),IF('Publication Bias Analysis'!L$38="Left",'Publication Bias Analysis'!E:E-GW$10,GW$10-'Publication Bias Analysis'!E:E),"")</f>
        <v>-0.33048267732220488</v>
      </c>
      <c r="GS2" s="74">
        <f t="shared" ref="GS2:GS33" si="83">IF(GR2&lt;&gt;"",ABS(GR2),"")</f>
        <v>0.33048267732220488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33.806566887135737</v>
      </c>
      <c r="GV2" s="138" t="s">
        <v>119</v>
      </c>
      <c r="GW2" s="138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4" t="s">
        <v>123</v>
      </c>
      <c r="HL2" s="3">
        <f t="shared" ref="HL2:HL65" si="89">IF(AND(Include_study?="Yes",Sufficient_data="Yes"),Inverse_standard_error-AVERAGE(Inverse_standard_error),"")</f>
        <v>0.16773052220055629</v>
      </c>
      <c r="HM2" s="34">
        <f>IF(AND(Include_study?="Yes",Sufficient_data="Yes"),Z_score-('Publication Bias Analysis'!P$3+'Publication Bias Analysis'!P$4*Inverse_standard_error),"")</f>
        <v>1.7271875745644611</v>
      </c>
      <c r="HO2" s="124" t="s">
        <v>291</v>
      </c>
      <c r="HP2" s="3">
        <f>IF(AND(Include_study?="Yes",Sufficient_data="Yes"),(GD:GD-SUMPRODUCT(Calculations!FT:FT,'Publication Bias Analysis'!E:E)/SUM(Calculations!FT:FT))/SQRT(Calculations!HQ:HQ),"")</f>
        <v>2.0842844250215617</v>
      </c>
      <c r="HQ2" s="3">
        <f>IF(AND(Include_study?="Yes",Sufficient_data="Yes"),GE:GE^2-1/SUM(Calculations!FT:FT),"")</f>
        <v>2.5141051295441124E-2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4</v>
      </c>
      <c r="HT2" s="6">
        <f>IF(AND(Include_study?="Yes",Sufficient_data="Yes"),COUNTIFS(HR3:HR201,"&lt;"&amp;HR2,HS3:HS201,"&lt;"&amp;HS2)+COUNTIFS(HR3:HR201,"&gt;"&amp;HR2,HS3:HS201,"&gt;"&amp;HS2),"")</f>
        <v>3</v>
      </c>
      <c r="HU2" s="56">
        <f>IF(AND(Include_study?="Yes",Sufficient_data="Yes"),COUNTIFS(HR3:HR201,"&lt;"&amp;HR2,HS3:HS201,"&gt;"&amp;HS2)+COUNTIFS(HR3:HR201,"&gt;"&amp;HR2,HS3:HS201,"&lt;"&amp;HS2),"")</f>
        <v>3</v>
      </c>
      <c r="HW2" s="124" t="s">
        <v>135</v>
      </c>
      <c r="HX2" s="20">
        <v>1</v>
      </c>
      <c r="HY2" s="3"/>
      <c r="HZ2" s="34">
        <f>HZ3-HY14</f>
        <v>-2.8</v>
      </c>
      <c r="IB2" s="124" t="s">
        <v>292</v>
      </c>
      <c r="IC2" s="77">
        <f t="shared" ref="IC2:IC33" si="92">IF(AND(Include_study?="Yes",Sufficient_data="Yes"),a_/(a_+b_),NA())</f>
        <v>2.7278428093645484E-2</v>
      </c>
      <c r="ID2" s="74">
        <f t="shared" ref="ID2:ID33" si="93">IF(AND(Include_study?="Yes",Sufficient_data="Yes"),c_/(c_+d_),NA())</f>
        <v>3.4247828074988572E-2</v>
      </c>
      <c r="IE2" s="74">
        <f t="shared" ref="IE2:IE33" si="94">IF(AND(Include_study?="Yes",Sufficient_data="Yes"),1/SELogRiskRatio^2,"")</f>
        <v>35.969285114177623</v>
      </c>
      <c r="IF2" s="74">
        <f t="shared" ref="IF2:IF33" si="95">IF(AND(Include_study?="Yes",Sufficient_data="Yes"),IF(Additional_model="Fixed effect",Weightf,Weightr),"")</f>
        <v>33.806566887135737</v>
      </c>
      <c r="IH2" s="2" t="s">
        <v>259</v>
      </c>
      <c r="II2" s="2" t="s">
        <v>260</v>
      </c>
      <c r="IK2" s="124" t="s">
        <v>137</v>
      </c>
      <c r="IL2" s="3">
        <f>IF(AND(Include_study?="Yes",Sufficient_data="Yes"),'Publication Bias Analysis'!AV:AV,NA())</f>
        <v>-1.3647281343769895</v>
      </c>
      <c r="IM2" s="3">
        <f>IF(AND(Sufficient_data="Yes",Include_study?="Yes"),'Publication Bias Analysis'!AU:AU,NA())</f>
        <v>5.8143414835332585</v>
      </c>
      <c r="IN2" s="3">
        <f t="shared" ref="IN2:IN33" si="96">IF(AND(Include_study?="Yes",Sufficient_data="Yes"),Inverse_standard_error-AVERAGE(Inverse_standard_error),"")</f>
        <v>0.16773052220055629</v>
      </c>
      <c r="IO2" s="34">
        <f>IF(AND(Include_study?="Yes",Sufficient_data="Yes"),Z_score-('Publication Bias Analysis'!AY$30+'Publication Bias Analysis'!AY$31*Inverse_standard_error),"")</f>
        <v>1.9215391403436319</v>
      </c>
      <c r="IQ2" s="24" t="s">
        <v>293</v>
      </c>
      <c r="IR2" s="2" t="s">
        <v>259</v>
      </c>
      <c r="IS2" s="2" t="s">
        <v>260</v>
      </c>
      <c r="IU2" s="124" t="s">
        <v>138</v>
      </c>
      <c r="IV2" s="6">
        <f>IF('Publication Bias Analysis'!BG:BG&lt;&gt;"",RANK('Publication Bias Analysis'!BG:BG,'Publication Bias Analysis'!BG:BG,1),"")</f>
        <v>7</v>
      </c>
      <c r="IW2" s="3">
        <f t="shared" ref="IW2:IW33" si="97">IF(IV:IV&lt;&gt;"",(IV:IV-1/3)/(k_+1/3),"")</f>
        <v>0.90909090909090917</v>
      </c>
      <c r="IX2" s="3">
        <f>IF('Publication Bias Analysis'!BF2&lt;&gt;"",'Publication Bias Analysis'!BF2,NA())</f>
        <v>1.3351777361189372</v>
      </c>
      <c r="IY2" s="3">
        <f>IF('Publication Bias Analysis'!BG2&lt;&gt;"",'Publication Bias Analysis'!BG2,NA())</f>
        <v>-1.3647281343769895</v>
      </c>
      <c r="IZ2" s="3">
        <f>IF(AND(Include_study?="Yes",Sufficient_data="Yes"),'Publication Bias Analysis'!BF:BF-AVERAGE('Publication Bias Analysis'!BF:BF),"")</f>
        <v>1.335177736118937</v>
      </c>
      <c r="JA2" s="34">
        <f>IF(AND(Include_study?="Yes",Sufficient_data="Yes"),'Publication Bias Analysis'!BG:BG-('Publication Bias Analysis'!BJ$30+'Publication Bias Analysis'!BJ$31*'Publication Bias Analysis'!BF:BF),"")</f>
        <v>-0.11586746930351399</v>
      </c>
      <c r="JC2" s="24" t="s">
        <v>294</v>
      </c>
      <c r="JD2" s="2" t="s">
        <v>259</v>
      </c>
      <c r="JE2" s="2" t="s">
        <v>260</v>
      </c>
      <c r="JG2" s="124" t="s">
        <v>140</v>
      </c>
      <c r="JH2" s="74">
        <f t="shared" ref="JH2:JH33" si="98">IF(AND(Include_study?="Yes",Sufficient_data="Yes"),IF(AND(Additional_valid_options="No",Additional_model="Random effects"),NA(),Z_score),"")</f>
        <v>-1.3647281343769895</v>
      </c>
      <c r="JI2" s="84">
        <f>IF(JH2&lt;&gt;"",1-NORMSDIST(ABS(JH2)),"")</f>
        <v>8.6169256768894309E-2</v>
      </c>
      <c r="JJ2" s="34">
        <f>IF(JI2&lt;&gt;"",LN(MAX(10^-306,JI2)),"")</f>
        <v>-2.4514418149400585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39.6</v>
      </c>
      <c r="C3" s="6">
        <f>IF(AND(Include_study?="Yes",Sufficient_data="Yes"),IF(Input!b_&lt;&gt;"",Input!b_,Input!n1_-Input!a_),"")</f>
        <v>8704.4</v>
      </c>
      <c r="D3" s="6">
        <f>IF(AND(Include_study?="Yes",Sufficient_data="Yes"),IF(Input!c_&lt;&gt;"",Input!c_,Input!n2_-Input!d_),"")</f>
        <v>41</v>
      </c>
      <c r="E3" s="6">
        <f>IF(AND(Include_study?="Yes",Sufficient_data="Yes"),IF(Input!d_&lt;&gt;"",Input!d_,Input!n2_-Input!c_),"")</f>
        <v>2568</v>
      </c>
      <c r="F3" s="35" t="str">
        <f t="shared" si="1"/>
        <v>No</v>
      </c>
      <c r="H3" s="140"/>
      <c r="I3" s="134"/>
      <c r="J3" s="76">
        <f t="shared" si="2"/>
        <v>0.28494924350006334</v>
      </c>
      <c r="K3" s="3">
        <f t="shared" si="3"/>
        <v>-1.2554442075561587</v>
      </c>
      <c r="L3" s="3">
        <f t="shared" si="4"/>
        <v>0.2239353962215887</v>
      </c>
      <c r="M3" s="3">
        <f t="shared" si="5"/>
        <v>0.18371009681059169</v>
      </c>
      <c r="N3" s="35">
        <f t="shared" si="6"/>
        <v>0.44197936194532061</v>
      </c>
      <c r="P3" s="124"/>
      <c r="Q3" s="76">
        <f t="shared" si="7"/>
        <v>0.20459062942287429</v>
      </c>
      <c r="R3" s="3">
        <f t="shared" si="8"/>
        <v>0.26569231845657476</v>
      </c>
      <c r="S3" s="3">
        <f t="shared" si="9"/>
        <v>0.12153571185999894</v>
      </c>
      <c r="T3" s="35">
        <f t="shared" si="10"/>
        <v>0.34440350911726048</v>
      </c>
      <c r="V3" s="124"/>
      <c r="W3" s="76">
        <f t="shared" si="11"/>
        <v>-1.1186013507329298E-2</v>
      </c>
      <c r="X3" s="3">
        <f t="shared" si="12"/>
        <v>2.538552777916057E-3</v>
      </c>
      <c r="Y3" s="3">
        <f t="shared" si="13"/>
        <v>-1.6162016118414325E-2</v>
      </c>
      <c r="Z3" s="35">
        <f t="shared" si="14"/>
        <v>-6.2100108962442708E-3</v>
      </c>
      <c r="AB3" s="124"/>
      <c r="AC3" s="76">
        <f t="shared" si="15"/>
        <v>0.28818757949702101</v>
      </c>
      <c r="AD3" s="3">
        <f t="shared" si="16"/>
        <v>-1.2441436931635188</v>
      </c>
      <c r="AE3" s="3">
        <f t="shared" si="17"/>
        <v>0.22168697842505106</v>
      </c>
      <c r="AF3" s="3">
        <f t="shared" si="18"/>
        <v>0.1866185616761504</v>
      </c>
      <c r="AG3" s="35">
        <f t="shared" si="19"/>
        <v>0.44503655065393077</v>
      </c>
      <c r="AI3" s="140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Yeh et al.</v>
      </c>
      <c r="AN3" s="6">
        <f t="shared" si="21"/>
        <v>11353</v>
      </c>
      <c r="AO3" s="3">
        <f t="shared" si="22"/>
        <v>0.28494924350006334</v>
      </c>
      <c r="AP3" s="3">
        <f t="shared" si="23"/>
        <v>19.941347837344622</v>
      </c>
      <c r="AQ3" s="3">
        <f t="shared" si="24"/>
        <v>10.271249901474496</v>
      </c>
      <c r="AR3" s="3">
        <f t="shared" si="25"/>
        <v>0.2239353962215887</v>
      </c>
      <c r="AS3" s="3">
        <f t="shared" si="26"/>
        <v>0.18371009681059169</v>
      </c>
      <c r="AT3" s="3">
        <f t="shared" si="27"/>
        <v>0.44197936194532061</v>
      </c>
      <c r="AU3" s="80">
        <f t="shared" si="28"/>
        <v>0.115921438830144</v>
      </c>
      <c r="AW3" s="44">
        <f t="shared" si="29"/>
        <v>0.28494924350006334</v>
      </c>
      <c r="AX3" s="3">
        <f t="shared" si="30"/>
        <v>0.10123914668947165</v>
      </c>
      <c r="AY3" s="35">
        <f t="shared" si="31"/>
        <v>0.15703011844525727</v>
      </c>
      <c r="BA3" s="2" t="s">
        <v>295</v>
      </c>
      <c r="BB3" s="6">
        <f>IF(BB2&lt;&gt;"",MAX(Entry_number)+1,"")</f>
        <v>8</v>
      </c>
      <c r="BD3" s="140"/>
      <c r="BE3" s="134"/>
      <c r="BF3" s="3">
        <f t="shared" si="32"/>
        <v>-1.2554442075561587</v>
      </c>
      <c r="BG3" s="3">
        <f t="shared" si="33"/>
        <v>0.2239353962215887</v>
      </c>
      <c r="BH3" s="3">
        <f t="shared" si="34"/>
        <v>19.941347837344622</v>
      </c>
      <c r="BI3" s="3">
        <f t="shared" ref="BI3:BI33" si="99">IF(Weightf&lt;&gt;"",1/(IF(Model_effect_size_measure="Odds Ratio",SELogOddsRatio,IF(Model_effect_size_measure="Risk Ratio",SELogRiskRatio,SERiskDifference))^2+T2_),"")</f>
        <v>10.271249901474496</v>
      </c>
      <c r="BJ3" s="35">
        <f t="shared" si="35"/>
        <v>-0.67288722082730212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0.11485425619445988</v>
      </c>
      <c r="BO3" s="124"/>
      <c r="BP3" s="3">
        <f t="shared" si="36"/>
        <v>8.9573504800493264</v>
      </c>
      <c r="BQ3" s="3">
        <f t="shared" si="37"/>
        <v>31.434898264775828</v>
      </c>
      <c r="BR3" s="3">
        <f t="shared" si="38"/>
        <v>2.0573581530676144</v>
      </c>
      <c r="BS3" s="3">
        <f>IF(AND(Sufficient_data="Yes",Include_study?="Yes"),IF(Add_0_5="Yes",(a_+d_+1)*(ab_+0.5)*(c_+0.5)/(Number_of_subjects+2)^2,(a_+d_)*b_*c_/Number_of_subjects^2),"")</f>
        <v>7.2200863837954241</v>
      </c>
      <c r="BT3" s="3">
        <f t="shared" si="39"/>
        <v>6.8999923269817129</v>
      </c>
      <c r="BU3" s="3">
        <f t="shared" si="40"/>
        <v>24.214811880980406</v>
      </c>
      <c r="BV3" s="3">
        <f t="shared" si="41"/>
        <v>31.434898264775828</v>
      </c>
      <c r="BW3" s="3">
        <f t="shared" si="42"/>
        <v>9.757937568612352</v>
      </c>
      <c r="BX3" s="3">
        <f t="shared" si="43"/>
        <v>11.553017839880187</v>
      </c>
      <c r="BY3" s="35">
        <f t="shared" si="44"/>
        <v>-0.67523038534652113</v>
      </c>
      <c r="CA3" s="3" t="s">
        <v>296</v>
      </c>
      <c r="CB3" s="3">
        <f>IF(Meta_analysis_model="Fixed effect model",0.5*(SUM(BR:BR)/SUM(BP:BP)^2+(SUM(BS:BS)+SUM(BT:BT))/(SUM(BP:BP)*SUM(BQ:BQ))+SUM(BU:BU)/SUM(BQ:BQ)^2),SUMPRODUCT(Weight_MH,BY:BY,BY:BY)/((k_-1)*SUM(Weight_MH)))</f>
        <v>1.2938150147138908E-2</v>
      </c>
      <c r="CD3" s="124"/>
      <c r="CE3" s="76">
        <f t="shared" si="45"/>
        <v>62.077547784726498</v>
      </c>
      <c r="CF3" s="3">
        <f t="shared" si="46"/>
        <v>14.16582925985443</v>
      </c>
      <c r="CG3" s="3">
        <f t="shared" si="47"/>
        <v>-1.586744226010633</v>
      </c>
      <c r="CH3" s="3">
        <f t="shared" si="48"/>
        <v>7.0592408086829941E-2</v>
      </c>
      <c r="CI3" s="3">
        <f t="shared" si="49"/>
        <v>14.16582925985443</v>
      </c>
      <c r="CJ3" s="3">
        <f t="shared" si="50"/>
        <v>6.6786688906713856</v>
      </c>
      <c r="CK3" s="35">
        <f t="shared" si="51"/>
        <v>-0.96455212761090225</v>
      </c>
      <c r="CM3" s="3" t="s">
        <v>296</v>
      </c>
      <c r="CN3" s="3">
        <f>IF(Meta_analysis_model="Fixed effect model",1/SUM(Weightf_Peto),SUMPRODUCT(Weight_Peto,CK:CK,CK:CK)/((k_-1)*SUM(Weight_Peto)))</f>
        <v>2.2523839084411756E-2</v>
      </c>
      <c r="CP3" s="124"/>
      <c r="CQ3" s="52">
        <f t="shared" si="52"/>
        <v>1.5714833269451896E-2</v>
      </c>
      <c r="CS3" s="2" t="s">
        <v>297</v>
      </c>
      <c r="CT3" s="3">
        <f>IF(Weighting_method="Inverse variance",IF(Model_effect_size_measure="Odds Ratio",CES_IV,NA()),NA())</f>
        <v>0.55846854267198309</v>
      </c>
      <c r="CU3" s="3">
        <f>IF(Model_effect_size_measure="Odds Ratio",CES_OddsRatio_MH,NA())</f>
        <v>0.55977866065783743</v>
      </c>
      <c r="CV3" s="3" t="e">
        <f>IF(Model_effect_size_measure="Peto Odds Ratio",CES_PetoOddsRatio,NA())</f>
        <v>#N/A</v>
      </c>
      <c r="CX3" s="140"/>
      <c r="CY3" s="48">
        <f t="shared" si="53"/>
        <v>2</v>
      </c>
      <c r="CZ3" s="6" t="str">
        <f t="shared" si="54"/>
        <v>Yeh et al.</v>
      </c>
      <c r="DA3" s="17" t="str">
        <f t="shared" si="55"/>
        <v>English</v>
      </c>
      <c r="DB3" s="3">
        <f t="shared" si="56"/>
        <v>-1.2554442075561587</v>
      </c>
      <c r="DC3" s="3">
        <f t="shared" si="57"/>
        <v>0.2239353962215887</v>
      </c>
      <c r="DD3" s="3">
        <f t="shared" si="58"/>
        <v>19.941347837344622</v>
      </c>
      <c r="DE3" s="3">
        <f t="shared" si="59"/>
        <v>9.5722103208252864</v>
      </c>
      <c r="DF3" s="80">
        <f t="shared" si="60"/>
        <v>0.13743431114280538</v>
      </c>
      <c r="DG3" s="3">
        <f t="shared" si="61"/>
        <v>0.28494924350006334</v>
      </c>
      <c r="DH3" s="3">
        <f t="shared" si="62"/>
        <v>0.18371009756814802</v>
      </c>
      <c r="DI3" s="3">
        <f t="shared" si="63"/>
        <v>0.44197936012275196</v>
      </c>
      <c r="DJ3" s="35" t="e">
        <f t="shared" si="64"/>
        <v>#DIV/0!</v>
      </c>
      <c r="DL3" s="44">
        <f t="shared" si="65"/>
        <v>0.28494924350006334</v>
      </c>
      <c r="DM3" s="3">
        <f t="shared" ref="DM3:DM33" si="100">IF(AND(Include_study?="Yes",Sufficient_data="Yes",Subgroup&lt;&gt;""),IF(Subgroup_effect_size_measure="Risk Difference",DB3-DH3,DG3-DH3),NA())</f>
        <v>0.10123914593191533</v>
      </c>
      <c r="DN3" s="35">
        <f t="shared" ref="DN3:DN33" si="101">IF(AND(Include_study?="Yes",Sufficient_data="Yes",Subgroup&lt;&gt;""),IF(Subgroup_effect_size_measure="Risk Difference",DI3-DB3,DI3-DG3),NA())</f>
        <v>0.15703011662268862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40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298</v>
      </c>
      <c r="FP3" s="3" t="str">
        <f>IF(SUM(Moderator)&lt;&gt;0,SUMPRODUCT(Moderator,FE:FE)/SUM(Calculations!FE:FE),"")</f>
        <v/>
      </c>
      <c r="FR3" s="140"/>
      <c r="FS3" s="134"/>
      <c r="FT3" s="76">
        <f>IF(AND(Include_study?="Yes",Sufficient_data="Yes"),IF(Additional_weighting_method="Inverse Variance",1/'Publication Bias Analysis'!F:F^2,IF(Additional_weighting_method="Mantel-Haenszel",Weightf_MH,Weightf_Peto)),"")</f>
        <v>19.941347837344622</v>
      </c>
      <c r="FU3" s="3">
        <f>IF(AND(Include_study?="Yes",Sufficient_data="Yes"),1/('Publication Bias Analysis'!F:F^2+IF(Additional_model="Fixed effect",0,Calculations!GH$12)),"")</f>
        <v>19.941347837344622</v>
      </c>
      <c r="FV3" s="3">
        <f>IF(AND(Include_study?="Yes",Sufficient_data="Yes"),1/('Publication Bias Analysis'!F:F^2+IF(Additional_model="Fixed effect",0,'Publication Bias Analysis'!L$32)),"")</f>
        <v>19.941347837344622</v>
      </c>
      <c r="FW3" s="3">
        <f>IF(AND(Include_study?="Yes",Sufficient_data="Yes"),'Publication Bias Analysis'!E:E-'Publication Bias Analysis'!I$37,"")</f>
        <v>-0.69024395503785929</v>
      </c>
      <c r="FX3" s="3">
        <f>IF(AND(Include_study?="Yes",Sufficient_data="Yes"),IF(Additional_model="Fixed effect",1/'Publication Bias Analysis'!F:F,1/SQRT('Publication Bias Analysis'!F:F^2+GH$12)),"")</f>
        <v>4.465573629148289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-5.6062785461297544</v>
      </c>
      <c r="FZ3" s="6">
        <f t="shared" si="80"/>
        <v>7</v>
      </c>
      <c r="GA3" s="83">
        <f>IF(AND(Include_study?="Yes",Sufficient_data="Yes"),FZ:FZ+IF(GL:GL&lt;0,-1,1)*COUNTIF(FZ$2:FZ2,FZ:FZ),"")</f>
        <v>7</v>
      </c>
      <c r="GB3" s="83">
        <f>IF(AND(Include_study?="Yes",Sufficient_data="Yes"),RANK(GP:GP,GP:GP,1)*IF(GO:GO&lt;0,-1,1)+IF(GO:GO&lt;0,-1,1)*COUNTIF(FZ$2:FZ2,FZ:FZ),"")</f>
        <v>7</v>
      </c>
      <c r="GC3" s="83">
        <f>IF(AND(Include_study?="Yes",Sufficient_data="Yes"),RANK(GS:GS,GS:GS,1)*IF(GR:GR&lt;0,-1,1)+IF(GR:GR&lt;0,-1,1)*COUNTIF(FZ$2:FZ2,FZ:FZ),"")</f>
        <v>7</v>
      </c>
      <c r="GD3" s="3">
        <f>IF(AND(Include_study?="Yes",Sufficient_data="Yes"),'Publication Bias Analysis'!E3,NA())</f>
        <v>-1.2554442075561587</v>
      </c>
      <c r="GE3" s="35">
        <f>IF(AND(Include_study?="Yes",Sufficient_data="Yes"),'Publication Bias Analysis'!F3,NA())</f>
        <v>0.2239353962215887</v>
      </c>
      <c r="GG3" s="2" t="s">
        <v>299</v>
      </c>
      <c r="GH3" s="3">
        <f>IF(Additional_valid_options="Yes",IF(Trim_and_fill="Off",'Publication Bias Analysis'!I29,'Publication Bias Analysis'!I37)-ABS(TINV((1-Additional_confidence_level),k_-1))*GI3,"")</f>
        <v>-1.222740462404839</v>
      </c>
      <c r="GI3" s="3">
        <f>IF(Trim_and_fill="Off",GH17,GH22)</f>
        <v>0.26872247546590644</v>
      </c>
      <c r="GK3" s="124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0.69024395503785929</v>
      </c>
      <c r="GM3" s="3">
        <f t="shared" si="81"/>
        <v>0.69024395503785929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19.941347837344622</v>
      </c>
      <c r="GO3" s="3">
        <f>IF(AND(Include_study?="Yes",Sufficient_data="Yes"),IF('Publication Bias Analysis'!L$38="Left",'Publication Bias Analysis'!E:E-GW$3,GW$3-'Publication Bias Analysis'!E:E),"")</f>
        <v>0.69024395503785929</v>
      </c>
      <c r="GP3" s="3">
        <f t="shared" si="82"/>
        <v>0.69024395503785929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19.941347837344622</v>
      </c>
      <c r="GR3" s="3">
        <f>IF(AND(Include_study?="Yes",Sufficient_data="Yes"),IF('Publication Bias Analysis'!L$38="Left",'Publication Bias Analysis'!E:E-GW$10,GW$10-'Publication Bias Analysis'!E:E),"")</f>
        <v>0.69024395503785929</v>
      </c>
      <c r="GS3" s="3">
        <f t="shared" si="83"/>
        <v>0.69024395503785929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19.941347837344622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-0.56520025251829942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4"/>
      <c r="HL3" s="3">
        <f t="shared" si="89"/>
        <v>-1.1810373321844132</v>
      </c>
      <c r="HM3" s="35">
        <f>IF(AND(Include_study?="Yes",Sufficient_data="Yes"),Z_score-('Publication Bias Analysis'!P$3+'Publication Bias Analysis'!P$4*Inverse_standard_error),"")</f>
        <v>-0.9961528149900003</v>
      </c>
      <c r="HO3" s="124"/>
      <c r="HP3" s="3">
        <f>IF(AND(Include_study?="Yes",Sufficient_data="Yes"),(GD:GD-SUMPRODUCT(Calculations!FT:FT,'Publication Bias Analysis'!E:E)/SUM(Calculations!FT:FT))/SQRT(Calculations!HQ:HQ),"")</f>
        <v>-3.2285403009749349</v>
      </c>
      <c r="HQ3" s="3">
        <f>IF(AND(Include_study?="Yes",Sufficient_data="Yes"),GE:GE^2-1/SUM(Calculations!FT:FT),"")</f>
        <v>4.5708061167535542E-2</v>
      </c>
      <c r="HR3" s="6">
        <f t="shared" si="90"/>
        <v>7</v>
      </c>
      <c r="HS3" s="6">
        <f t="shared" si="91"/>
        <v>1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0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6</v>
      </c>
      <c r="HW3" s="124"/>
      <c r="HX3" s="20">
        <v>2</v>
      </c>
      <c r="HY3" s="3">
        <f t="shared" ref="HY3:HY10" si="123">HZ2</f>
        <v>-2.8</v>
      </c>
      <c r="HZ3" s="35">
        <f>HZ4-HY14</f>
        <v>-2</v>
      </c>
      <c r="IB3" s="124"/>
      <c r="IC3" s="76">
        <f t="shared" si="92"/>
        <v>4.5288197621225984E-3</v>
      </c>
      <c r="ID3" s="3">
        <f t="shared" si="93"/>
        <v>1.5714833269451896E-2</v>
      </c>
      <c r="IE3" s="3">
        <f t="shared" si="94"/>
        <v>20.34790174867295</v>
      </c>
      <c r="IF3" s="35">
        <f t="shared" si="95"/>
        <v>19.941347837344622</v>
      </c>
      <c r="IH3" s="3">
        <v>0</v>
      </c>
      <c r="II3" s="3">
        <v>0</v>
      </c>
      <c r="IK3" s="124"/>
      <c r="IL3" s="3">
        <f>IF(AND(Include_study?="Yes",Sufficient_data="Yes"),'Publication Bias Analysis'!AV:AV,NA())</f>
        <v>-5.6062785461297544</v>
      </c>
      <c r="IM3" s="3">
        <f>IF(AND(Sufficient_data="Yes",Include_study?="Yes"),'Publication Bias Analysis'!AU:AU,NA())</f>
        <v>4.465573629148289</v>
      </c>
      <c r="IN3" s="3">
        <f t="shared" si="96"/>
        <v>-1.1810373321844132</v>
      </c>
      <c r="IO3" s="35">
        <f>IF(AND(Include_study?="Yes",Sufficient_data="Yes"),Z_score-('Publication Bias Analysis'!AY$30+'Publication Bias Analysis'!AY$31*Inverse_standard_error),"")</f>
        <v>-3.0823352032960827</v>
      </c>
      <c r="IQ3" s="2" t="s">
        <v>115</v>
      </c>
      <c r="IR3" s="3">
        <v>0</v>
      </c>
      <c r="IS3" s="3">
        <v>0</v>
      </c>
      <c r="IU3" s="124"/>
      <c r="IV3" s="6">
        <f>IF('Publication Bias Analysis'!BG:BG&lt;&gt;"",RANK('Publication Bias Analysis'!BG:BG,'Publication Bias Analysis'!BG:BG,1)+COUNTIF('Publication Bias Analysis'!BG$2:BG2,'Publication Bias Analysis'!BG3),"")</f>
        <v>1</v>
      </c>
      <c r="IW3" s="3">
        <f t="shared" si="97"/>
        <v>9.0909090909090925E-2</v>
      </c>
      <c r="IX3" s="3">
        <f>IF('Publication Bias Analysis'!BF3&lt;&gt;"",'Publication Bias Analysis'!BF3,NA())</f>
        <v>-1.3351777361189361</v>
      </c>
      <c r="IY3" s="3">
        <f>IF('Publication Bias Analysis'!BG3&lt;&gt;"",'Publication Bias Analysis'!BG3,NA())</f>
        <v>-5.6062785461297544</v>
      </c>
      <c r="IZ3" s="3">
        <f>IF(AND(Include_study?="Yes",Sufficient_data="Yes"),'Publication Bias Analysis'!BF:BF-AVERAGE('Publication Bias Analysis'!BF:BF),"")</f>
        <v>-1.3351777361189363</v>
      </c>
      <c r="JA3" s="35">
        <f>IF(AND(Include_study?="Yes",Sufficient_data="Yes"),'Publication Bias Analysis'!BG:BG-('Publication Bias Analysis'!BJ$30+'Publication Bias Analysis'!BJ$31*'Publication Bias Analysis'!BF:BF),"")</f>
        <v>-0.29370365780427399</v>
      </c>
      <c r="JC3" s="2" t="s">
        <v>262</v>
      </c>
      <c r="JD3" s="3">
        <f>MIN('Publication Bias Analysis'!BF:BF)</f>
        <v>-1.3351777361189361</v>
      </c>
      <c r="JE3" s="3">
        <f>'Publication Bias Analysis'!BJ$30+JD3*'Publication Bias Analysis'!BJ$31</f>
        <v>-5.3125748883254804</v>
      </c>
      <c r="JG3" s="124"/>
      <c r="JH3" s="3">
        <f t="shared" si="98"/>
        <v>-5.6062785461297544</v>
      </c>
      <c r="JI3" s="10">
        <f t="shared" ref="JI3:JI66" si="124">IF(JH3&lt;&gt;"",1-NORMSDIST(ABS(JH3)),"")</f>
        <v>1.0336158928758721E-8</v>
      </c>
      <c r="JJ3" s="35">
        <f t="shared" ref="JJ3:JJ66" si="125">IF(JI3&lt;&gt;"",LN(MAX(10^-306,JI3)),"")</f>
        <v>-18.387617513789984</v>
      </c>
    </row>
    <row r="4" spans="1:270" ht="13" x14ac:dyDescent="0.3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40"/>
      <c r="I4" s="134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24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24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24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40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300</v>
      </c>
      <c r="BB4" s="3">
        <f>'Forest Plot'!$B$16-CES_CI_Lower_limit</f>
        <v>0.13682509270256871</v>
      </c>
      <c r="BD4" s="140"/>
      <c r="BE4" s="134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-0.86359522736552097</v>
      </c>
      <c r="BO4" s="124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301</v>
      </c>
      <c r="CB4" s="3">
        <f>SQRT(VarlnCES_MH)</f>
        <v>0.11374598958705712</v>
      </c>
      <c r="CD4" s="124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301</v>
      </c>
      <c r="CN4" s="3">
        <f>SQRT(VarlnCES_Peto)</f>
        <v>0.15007944257762873</v>
      </c>
      <c r="CP4" s="124"/>
      <c r="CQ4" s="52" t="str">
        <f t="shared" si="52"/>
        <v/>
      </c>
      <c r="CS4" s="2" t="s">
        <v>111</v>
      </c>
      <c r="CT4" s="3">
        <f>IF(Weighting_method="Inverse variance",IF(Model_effect_size_measure="Odds Ratio",CICES_LL,""),"")</f>
        <v>0.42164344996941439</v>
      </c>
      <c r="CU4" s="3">
        <f>IF(Model_effect_size_measure="Odds Ratio",CICES_LL_MH,"")</f>
        <v>0.42378025180287504</v>
      </c>
      <c r="CV4" s="3" t="str">
        <f>IF(Model_effect_size_measure="Peto Odds Ratio",CICES_LL_Peto,"")</f>
        <v/>
      </c>
      <c r="CX4" s="140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40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142</v>
      </c>
      <c r="FP4" s="3" t="str">
        <f>IF(FP3&lt;&gt;"",SUMPRODUCT(FF:FF,FG:FG,FE:FE)/SUMPRODUCT(FG:FG,FG:FG,FE:FE),"")</f>
        <v/>
      </c>
      <c r="FR4" s="140"/>
      <c r="FS4" s="134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293</v>
      </c>
      <c r="GH4" s="3">
        <f>IF(Trim_and_fill="Off",'Publication Bias Analysis'!I29,'Publication Bias Analysis'!I37)</f>
        <v>-0.56520025251829942</v>
      </c>
      <c r="GI4" s="3">
        <v>0</v>
      </c>
      <c r="GK4" s="124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22" t="s">
        <v>73</v>
      </c>
      <c r="GW4" s="122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4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24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24"/>
      <c r="HX4" s="20">
        <v>3</v>
      </c>
      <c r="HY4" s="3">
        <f t="shared" si="123"/>
        <v>-2</v>
      </c>
      <c r="HZ4" s="35">
        <f>HZ5-HY14</f>
        <v>-1.2000000000000002</v>
      </c>
      <c r="IB4" s="124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4.1380887059899403E-2</v>
      </c>
      <c r="II4" s="3">
        <f>MAX('Publication Bias Analysis'!AH:AH)</f>
        <v>4.1380887059899403E-2</v>
      </c>
      <c r="IK4" s="124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302</v>
      </c>
      <c r="IR4" s="3">
        <f>MAX(Inverse_standard_error)</f>
        <v>6.2235212793321057</v>
      </c>
      <c r="IS4" s="3">
        <f>IR4*'Publication Bias Analysis'!AY31</f>
        <v>-3.5175357986315161</v>
      </c>
      <c r="IU4" s="124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263</v>
      </c>
      <c r="JD4" s="3">
        <f>MAX('Publication Bias Analysis'!BF:BF)</f>
        <v>1.3351777361189372</v>
      </c>
      <c r="JE4" s="3">
        <f>'Publication Bias Analysis'!BJ$30+JD4*'Publication Bias Analysis'!BJ$31</f>
        <v>-1.2488606650734755</v>
      </c>
      <c r="JG4" s="124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40"/>
      <c r="I5" s="134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24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24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24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40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303</v>
      </c>
      <c r="BB5" s="3">
        <f>CES_CI_Upper_limit-'Forest Plot'!$B$16</f>
        <v>0.18122541718151997</v>
      </c>
      <c r="BD5" s="140"/>
      <c r="BE5" s="134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-0.30151874609219226</v>
      </c>
      <c r="BO5" s="124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304</v>
      </c>
      <c r="CB5" s="3">
        <f>lnCES_OddsRatio_MH-ABS(TINV((1-Confidence_level),k_-1))*SElnCES_MH</f>
        <v>-0.85854023215041986</v>
      </c>
      <c r="CD5" s="124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304</v>
      </c>
      <c r="CN5" s="3">
        <f>lnCES_PetoOddsRatio-ABS(TINV((1-Confidence_level),k_-1))*SElnCES_Peto</f>
        <v>-0.98942326505616141</v>
      </c>
      <c r="CP5" s="124"/>
      <c r="CQ5" s="52" t="str">
        <f t="shared" si="52"/>
        <v/>
      </c>
      <c r="CS5" s="2" t="s">
        <v>112</v>
      </c>
      <c r="CT5" s="3">
        <f>IF(Weighting_method="Inverse variance",IF(Model_effect_size_measure="Odds Ratio",CICES_UL,""),"")</f>
        <v>0.73969395985350306</v>
      </c>
      <c r="CU5" s="3">
        <f>IF(Model_effect_size_measure="Odds Ratio",CICES_UL_MH,"")</f>
        <v>0.73942130997090616</v>
      </c>
      <c r="CV5" s="3" t="str">
        <f>IF(Model_effect_size_measure="Peto Odds Ratio",CICES_UL_Peto,"")</f>
        <v/>
      </c>
      <c r="CX5" s="140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40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115</v>
      </c>
      <c r="FP5" s="3" t="str">
        <f>IF(FP3&lt;&gt;"",FP2-FP3*FP4,"")</f>
        <v/>
      </c>
      <c r="FR5" s="140"/>
      <c r="FS5" s="134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305</v>
      </c>
      <c r="GH5" s="3">
        <f>IF(Additional_valid_options="Yes",IF(Trim_and_fill="Off",'Publication Bias Analysis'!I29,'Publication Bias Analysis'!I37)+ABS(TINV((1-Additional_confidence_level),k_-1))*GI3,"")</f>
        <v>9.2339957368240189E-2</v>
      </c>
      <c r="GI5" s="3">
        <f>IF(Trim_and_fill="Off",GH17,GH22)</f>
        <v>0.26872247546590644</v>
      </c>
      <c r="GK5" s="124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74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15.066731397009278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4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24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24"/>
      <c r="HX5" s="20">
        <v>4</v>
      </c>
      <c r="HY5" s="3">
        <f t="shared" si="123"/>
        <v>-1.2000000000000002</v>
      </c>
      <c r="HZ5" s="35">
        <f>HZ6-HY14</f>
        <v>-0.4</v>
      </c>
      <c r="IB5" s="124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22" t="s">
        <v>306</v>
      </c>
      <c r="II5" s="122"/>
      <c r="IK5" s="124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262</v>
      </c>
      <c r="IR5" s="2" t="s">
        <v>259</v>
      </c>
      <c r="IS5" s="2" t="s">
        <v>260</v>
      </c>
      <c r="IU5" s="124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307</v>
      </c>
      <c r="JD5" s="2" t="s">
        <v>259</v>
      </c>
      <c r="JE5" s="2" t="s">
        <v>260</v>
      </c>
      <c r="JG5" s="124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40"/>
      <c r="I6" s="134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24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24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24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40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308</v>
      </c>
      <c r="BB6" s="3">
        <f>'Forest Plot'!$B$16-CES_PI_Lower_limit</f>
        <v>0.25239745689981224</v>
      </c>
      <c r="BD6" s="140"/>
      <c r="BE6" s="134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-1.1839378975637176</v>
      </c>
      <c r="BO6" s="124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309</v>
      </c>
      <c r="CB6" s="3">
        <f>lnCES_OddsRatio_MH+ABS(TINV((1-Confidence_level),k_-1))*SElnCES_MH</f>
        <v>-0.30188741226885529</v>
      </c>
      <c r="CD6" s="124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309</v>
      </c>
      <c r="CN6" s="3">
        <f>lnCES_PetoOddsRatio+ABS(TINV((1-Confidence_level),k_-1))*SElnCES_Peto</f>
        <v>-0.2549609317433002</v>
      </c>
      <c r="CP6" s="124"/>
      <c r="CQ6" s="52" t="str">
        <f t="shared" si="52"/>
        <v/>
      </c>
      <c r="CS6" s="2" t="s">
        <v>310</v>
      </c>
      <c r="CT6" s="3">
        <f>IF(Weighting_method="Inverse variance",IF(Model_effect_size_measure="Odds Ratio",PICES_LL,""),"")</f>
        <v>0.30607108577217085</v>
      </c>
      <c r="CU6" s="3">
        <f>IF(Model_effect_size_measure="Odds Ratio",PICES_LL_MH,"")</f>
        <v>0.32504750931552423</v>
      </c>
      <c r="CV6" s="3" t="str">
        <f>IF(Model_effect_size_measure="Peto Odds Ratio",PICES_LL_Peto,"")</f>
        <v/>
      </c>
      <c r="CX6" s="140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40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311</v>
      </c>
      <c r="FP6" s="3" t="str">
        <f>IF(FP3&lt;&gt;"",SUM(FH:FH),"")</f>
        <v/>
      </c>
      <c r="FR6" s="140"/>
      <c r="FS6" s="134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312</v>
      </c>
      <c r="GH6" s="2" t="s">
        <v>259</v>
      </c>
      <c r="GI6" s="2" t="s">
        <v>260</v>
      </c>
      <c r="GK6" s="124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162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4.2004896025699762E-2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4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24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24"/>
      <c r="HX6" s="20">
        <v>5</v>
      </c>
      <c r="HY6" s="3">
        <f t="shared" si="123"/>
        <v>-0.4</v>
      </c>
      <c r="HZ6" s="35">
        <f>1/2*HY14</f>
        <v>0.4</v>
      </c>
      <c r="IB6" s="124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24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115</v>
      </c>
      <c r="IR6" s="3">
        <v>0</v>
      </c>
      <c r="IS6" s="3">
        <f>ABS(TINV((1-Additional_confidence_level),k_-1))*-1</f>
        <v>-2.4469118511449688</v>
      </c>
      <c r="IU6" s="124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299</v>
      </c>
      <c r="JD6" s="3">
        <f>MIN('Publication Bias Analysis'!BF:BF)</f>
        <v>-1.3351777361189361</v>
      </c>
      <c r="JE6" s="3">
        <f>'Publication Bias Analysis'!BJ30</f>
        <v>-3.2807177766994786</v>
      </c>
      <c r="JG6" s="124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>
        <f t="shared" si="0"/>
        <v>3</v>
      </c>
      <c r="B7" s="6">
        <f>IF(AND(Include_study?="Yes",Sufficient_data="Yes"),IF(Input!a_&lt;&gt;"",Input!a_,Input!n1_-Input!b_),"")</f>
        <v>62</v>
      </c>
      <c r="C7" s="6">
        <f>IF(AND(Include_study?="Yes",Sufficient_data="Yes"),IF(Input!b_&lt;&gt;"",Input!b_,Input!n1_-Input!a_),"")</f>
        <v>3342</v>
      </c>
      <c r="D7" s="6">
        <f>IF(AND(Include_study?="Yes",Sufficient_data="Yes"),IF(Input!c_&lt;&gt;"",Input!c_,Input!n2_-Input!d_),"")</f>
        <v>66.3</v>
      </c>
      <c r="E7" s="6">
        <f>IF(AND(Include_study?="Yes",Sufficient_data="Yes"),IF(Input!d_&lt;&gt;"",Input!d_,Input!n2_-Input!c_),"")</f>
        <v>2462.6999999999998</v>
      </c>
      <c r="F7" s="35" t="str">
        <f t="shared" si="1"/>
        <v>No</v>
      </c>
      <c r="H7" s="140"/>
      <c r="I7" s="134"/>
      <c r="J7" s="76">
        <f t="shared" si="2"/>
        <v>0.68910154864321094</v>
      </c>
      <c r="K7" s="3">
        <f t="shared" si="3"/>
        <v>-0.37236663327973407</v>
      </c>
      <c r="L7" s="3">
        <f t="shared" si="4"/>
        <v>0.17865404818091554</v>
      </c>
      <c r="M7" s="3">
        <f t="shared" si="5"/>
        <v>0.48549144836505892</v>
      </c>
      <c r="N7" s="35">
        <f t="shared" si="6"/>
        <v>0.97810362250790084</v>
      </c>
      <c r="P7" s="124"/>
      <c r="Q7" s="76">
        <f t="shared" si="7"/>
        <v>0.68512468003730065</v>
      </c>
      <c r="R7" s="3">
        <f t="shared" si="8"/>
        <v>0.18046895820367165</v>
      </c>
      <c r="S7" s="3">
        <f t="shared" si="9"/>
        <v>0.48097532999474713</v>
      </c>
      <c r="T7" s="35">
        <f t="shared" si="10"/>
        <v>0.97592495482323394</v>
      </c>
      <c r="V7" s="124"/>
      <c r="W7" s="76">
        <f t="shared" si="11"/>
        <v>-8.0020295709604047E-3</v>
      </c>
      <c r="X7" s="3">
        <f t="shared" si="12"/>
        <v>3.9176040553784534E-3</v>
      </c>
      <c r="Y7" s="3">
        <f t="shared" si="13"/>
        <v>-1.5681959696143291E-2</v>
      </c>
      <c r="Z7" s="35">
        <f t="shared" si="14"/>
        <v>-3.2209944577751663E-4</v>
      </c>
      <c r="AB7" s="124"/>
      <c r="AC7" s="76">
        <f t="shared" si="15"/>
        <v>0.6947642113882524</v>
      </c>
      <c r="AD7" s="3">
        <f t="shared" si="16"/>
        <v>-0.36418275517002474</v>
      </c>
      <c r="AE7" s="3">
        <f t="shared" si="17"/>
        <v>0.17470776536201185</v>
      </c>
      <c r="AF7" s="3">
        <f t="shared" si="18"/>
        <v>0.49328233736939342</v>
      </c>
      <c r="AG7" s="35">
        <f t="shared" si="19"/>
        <v>0.97854164412230604</v>
      </c>
      <c r="AI7" s="140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7" s="6">
        <f>IF(AJ7&lt;&gt;"",IF(AJ7=0,COUNTIF(AJ$2:AJ6,0)+1,COUNTIF(AJ$2:AJ6,AJ7)+AJ7+COUNTIF(AJ:AJ,0)),"")</f>
        <v>3</v>
      </c>
      <c r="AL7" s="6">
        <f t="shared" si="20"/>
        <v>3</v>
      </c>
      <c r="AM7" s="3" t="str">
        <f>IF(AND(Include_study?="Yes",Sufficient_data="Yes",Input!Study_name&lt;&gt;""),Input!Study_name,"")</f>
        <v>Hsu et al.</v>
      </c>
      <c r="AN7" s="6">
        <f t="shared" si="21"/>
        <v>5933</v>
      </c>
      <c r="AO7" s="3">
        <f t="shared" si="22"/>
        <v>0.68910154864321094</v>
      </c>
      <c r="AP7" s="3">
        <f t="shared" si="23"/>
        <v>31.331001475984724</v>
      </c>
      <c r="AQ7" s="3">
        <f t="shared" si="24"/>
        <v>12.637537210170899</v>
      </c>
      <c r="AR7" s="3">
        <f t="shared" si="25"/>
        <v>0.17865404818091554</v>
      </c>
      <c r="AS7" s="3">
        <f t="shared" si="26"/>
        <v>0.48549144836505892</v>
      </c>
      <c r="AT7" s="3">
        <f t="shared" si="27"/>
        <v>0.97810362250790084</v>
      </c>
      <c r="AU7" s="80">
        <f t="shared" si="28"/>
        <v>0.14262738330046773</v>
      </c>
      <c r="AW7" s="44">
        <f t="shared" si="29"/>
        <v>0.68910154864321094</v>
      </c>
      <c r="AX7" s="3">
        <f t="shared" si="30"/>
        <v>0.20361010027815202</v>
      </c>
      <c r="AY7" s="35">
        <f t="shared" si="31"/>
        <v>0.2890020738646899</v>
      </c>
      <c r="BA7" s="2" t="s">
        <v>313</v>
      </c>
      <c r="BB7" s="3">
        <f>CES_PI_Upper_limit-'Forest Plot'!$B$16</f>
        <v>0.46053366842327548</v>
      </c>
      <c r="BD7" s="140"/>
      <c r="BE7" s="134"/>
      <c r="BF7" s="3">
        <f t="shared" si="32"/>
        <v>-0.37236663327973407</v>
      </c>
      <c r="BG7" s="3">
        <f t="shared" si="33"/>
        <v>0.17865404818091554</v>
      </c>
      <c r="BH7" s="3">
        <f t="shared" si="34"/>
        <v>31.331001475984724</v>
      </c>
      <c r="BI7" s="3">
        <f t="shared" si="99"/>
        <v>12.637537210170899</v>
      </c>
      <c r="BJ7" s="35">
        <f t="shared" si="35"/>
        <v>0.21019035344912251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1.8823924106004419E-2</v>
      </c>
      <c r="BO7" s="124"/>
      <c r="BP7" s="3">
        <f t="shared" si="36"/>
        <v>25.735277262767571</v>
      </c>
      <c r="BQ7" s="3">
        <f t="shared" si="37"/>
        <v>37.34613180515759</v>
      </c>
      <c r="BR7" s="3">
        <f t="shared" si="38"/>
        <v>10.951264875326022</v>
      </c>
      <c r="BS7" s="3">
        <f>IF(AND(Sufficient_data="Yes",Include_study?="Yes"),IF(Add_0_5="Yes",(a_+d_+1)*(ab_+0.5)*(c_+0.5)/(Number_of_subjects+2)^2,(a_+d_)*b_*c_/Number_of_subjects^2),"")</f>
        <v>15.892091516683188</v>
      </c>
      <c r="BT7" s="3">
        <f t="shared" si="39"/>
        <v>14.784012387441548</v>
      </c>
      <c r="BU7" s="3">
        <f t="shared" si="40"/>
        <v>21.454040288474403</v>
      </c>
      <c r="BV7" s="3">
        <f t="shared" si="41"/>
        <v>37.34613180515759</v>
      </c>
      <c r="BW7" s="3">
        <f t="shared" si="42"/>
        <v>1.0556172893865459</v>
      </c>
      <c r="BX7" s="3">
        <f t="shared" si="43"/>
        <v>14.635357647344836</v>
      </c>
      <c r="BY7" s="35">
        <f t="shared" si="44"/>
        <v>0.2078471889299035</v>
      </c>
      <c r="CA7" s="3" t="s">
        <v>314</v>
      </c>
      <c r="CB7" s="3">
        <f>lnCES_OddsRatio_MH-ABS(TINV((1-Confidence_level),k_-1))*SQRT(T2_MH+SElnCES_MH^2)</f>
        <v>-1.1237839248267161</v>
      </c>
      <c r="CD7" s="124"/>
      <c r="CE7" s="76">
        <f t="shared" si="45"/>
        <v>73.61085454239003</v>
      </c>
      <c r="CF7" s="3">
        <f t="shared" si="46"/>
        <v>30.704001417123511</v>
      </c>
      <c r="CG7" s="3">
        <f t="shared" si="47"/>
        <v>-0.37815444262957526</v>
      </c>
      <c r="CH7" s="3">
        <f t="shared" si="48"/>
        <v>3.256904487511858E-2</v>
      </c>
      <c r="CI7" s="3">
        <f t="shared" si="49"/>
        <v>30.704001417123511</v>
      </c>
      <c r="CJ7" s="3">
        <f t="shared" si="50"/>
        <v>8.951984700762301</v>
      </c>
      <c r="CK7" s="35">
        <f t="shared" si="51"/>
        <v>0.24403765577015551</v>
      </c>
      <c r="CM7" s="3" t="s">
        <v>314</v>
      </c>
      <c r="CN7" s="3">
        <f>lnCES_PetoOddsRatio-ABS(TINV((1-Confidence_level),k_-1))*SQRT(T2_Peto+SElnCES_Peto^2)</f>
        <v>-1.4023766801380955</v>
      </c>
      <c r="CP7" s="124"/>
      <c r="CQ7" s="52">
        <f t="shared" si="52"/>
        <v>2.6215895610913403E-2</v>
      </c>
      <c r="CS7" s="2" t="s">
        <v>315</v>
      </c>
      <c r="CT7" s="3">
        <f>IF(Weighting_method="Inverse variance",IF(Model_effect_size_measure="Odds Ratio",PICES_UL,""),"")</f>
        <v>1.0190022110952586</v>
      </c>
      <c r="CU7" s="3">
        <f>IF(Model_effect_size_measure="Odds Ratio",PICES_UL_MH,"")</f>
        <v>0.96401953544492713</v>
      </c>
      <c r="CV7" s="3" t="str">
        <f>IF(Model_effect_size_measure="Peto Odds Ratio",PICES_UL_Peto,"")</f>
        <v/>
      </c>
      <c r="CX7" s="140"/>
      <c r="CY7" s="48">
        <f t="shared" si="53"/>
        <v>9</v>
      </c>
      <c r="CZ7" s="6" t="str">
        <f t="shared" si="54"/>
        <v>Hsu et al.</v>
      </c>
      <c r="DA7" s="17" t="str">
        <f t="shared" si="55"/>
        <v>Non-English</v>
      </c>
      <c r="DB7" s="3">
        <f t="shared" si="56"/>
        <v>-0.37236663327973407</v>
      </c>
      <c r="DC7" s="3">
        <f t="shared" si="57"/>
        <v>0.17865404818091554</v>
      </c>
      <c r="DD7" s="3">
        <f t="shared" si="58"/>
        <v>31.331001475984724</v>
      </c>
      <c r="DE7" s="3" t="e">
        <f t="shared" si="59"/>
        <v>#DIV/0!</v>
      </c>
      <c r="DF7" s="80" t="e">
        <f t="shared" si="60"/>
        <v>#DIV/0!</v>
      </c>
      <c r="DG7" s="3">
        <f t="shared" si="61"/>
        <v>0.68910154864321094</v>
      </c>
      <c r="DH7" s="3">
        <f t="shared" si="62"/>
        <v>0.48549145421570461</v>
      </c>
      <c r="DI7" s="3">
        <f t="shared" si="63"/>
        <v>0.97810361072079788</v>
      </c>
      <c r="DJ7" s="35" t="e">
        <f t="shared" si="64"/>
        <v>#DIV/0!</v>
      </c>
      <c r="DL7" s="44">
        <f t="shared" si="65"/>
        <v>0.68910154864321094</v>
      </c>
      <c r="DM7" s="3">
        <f t="shared" si="100"/>
        <v>0.20361009442750633</v>
      </c>
      <c r="DN7" s="35">
        <f t="shared" si="101"/>
        <v>0.28900206207758694</v>
      </c>
      <c r="DP7" s="48">
        <f t="shared" si="102"/>
        <v>9</v>
      </c>
      <c r="DQ7" s="17" t="str">
        <f>IF(AND(Sufficient_data="Yes",Subgroup&lt;&gt;""),IF(COUNTIFS(Input!J$2:J6,"="&amp;"Yes",Input!C$2:C6,"="&amp;"Yes",Input!K$2:K6,"="&amp;Subgroup)&gt;0,"",Subgroup),"")</f>
        <v>Non-English</v>
      </c>
      <c r="DR7" s="6">
        <f t="shared" si="103"/>
        <v>2</v>
      </c>
      <c r="DS7" s="6">
        <f t="shared" si="66"/>
        <v>1</v>
      </c>
      <c r="DT7" s="3">
        <f t="shared" si="67"/>
        <v>0</v>
      </c>
      <c r="DU7" s="10" t="e">
        <f t="shared" si="104"/>
        <v>#NUM!</v>
      </c>
      <c r="DV7" s="9">
        <f t="shared" si="105"/>
        <v>0</v>
      </c>
      <c r="DW7" s="10">
        <f t="shared" si="68"/>
        <v>0</v>
      </c>
      <c r="DX7" s="3" t="e">
        <f t="shared" si="69"/>
        <v>#DIV/0!</v>
      </c>
      <c r="DY7" s="3" t="e">
        <f t="shared" si="106"/>
        <v>#DIV/0!</v>
      </c>
      <c r="DZ7" s="3" t="e">
        <f t="shared" si="70"/>
        <v>#DIV/0!</v>
      </c>
      <c r="EA7" s="3" t="e">
        <f t="shared" si="71"/>
        <v>#DIV/0!</v>
      </c>
      <c r="EB7" s="6">
        <f t="shared" si="72"/>
        <v>5933</v>
      </c>
      <c r="EC7" s="3" t="e">
        <f t="shared" si="107"/>
        <v>#DIV/0!</v>
      </c>
      <c r="ED7" s="3" t="e">
        <f t="shared" si="108"/>
        <v>#DIV/0!</v>
      </c>
      <c r="EE7" s="3" t="e">
        <f t="shared" si="109"/>
        <v>#DIV/0!</v>
      </c>
      <c r="EF7" s="3" t="e">
        <f t="shared" si="110"/>
        <v>#DIV/0!</v>
      </c>
      <c r="EG7" s="3" t="e">
        <f t="shared" si="111"/>
        <v>#DIV/0!</v>
      </c>
      <c r="EH7" s="3" t="e">
        <f t="shared" si="112"/>
        <v>#DIV/0!</v>
      </c>
      <c r="EI7" s="3" t="e">
        <f t="shared" si="113"/>
        <v>#DIV/0!</v>
      </c>
      <c r="EJ7" s="3" t="e">
        <f t="shared" si="114"/>
        <v>#DIV/0!</v>
      </c>
      <c r="EK7" s="3" t="e">
        <f t="shared" si="73"/>
        <v>#DIV/0!</v>
      </c>
      <c r="EL7" s="3" t="e">
        <f t="shared" si="115"/>
        <v>#DIV/0!</v>
      </c>
      <c r="EM7" s="3" t="e">
        <f t="shared" si="116"/>
        <v>#DIV/0!</v>
      </c>
      <c r="EN7" s="3" t="e">
        <f t="shared" si="117"/>
        <v>#DIV/0!</v>
      </c>
      <c r="EO7" s="3" t="e">
        <f t="shared" si="118"/>
        <v>#DIV/0!</v>
      </c>
      <c r="EP7" s="3" t="e">
        <f t="shared" si="74"/>
        <v>#DIV/0!</v>
      </c>
      <c r="EQ7" s="3" t="e">
        <f t="shared" si="119"/>
        <v>#DIV/0!</v>
      </c>
      <c r="ER7" s="9" t="e">
        <f t="shared" si="120"/>
        <v>#DIV/0!</v>
      </c>
      <c r="ES7" s="3" t="e">
        <f t="shared" si="121"/>
        <v>#DIV/0!</v>
      </c>
      <c r="ET7" s="3" t="e">
        <f t="shared" si="122"/>
        <v>#DIV/0!</v>
      </c>
      <c r="EU7" s="3" t="e">
        <f t="shared" si="75"/>
        <v>#DIV/0!</v>
      </c>
      <c r="EV7" s="35" t="e">
        <f t="shared" si="76"/>
        <v>#DIV/0!</v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40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120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0"/>
      <c r="FS7" s="134"/>
      <c r="FT7" s="76">
        <f>IF(AND(Include_study?="Yes",Sufficient_data="Yes"),IF(Additional_weighting_method="Inverse Variance",1/'Publication Bias Analysis'!F:F^2,IF(Additional_weighting_method="Mantel-Haenszel",Weightf_MH,Weightf_Peto)),"")</f>
        <v>31.331001475984724</v>
      </c>
      <c r="FU7" s="3">
        <f>IF(AND(Include_study?="Yes",Sufficient_data="Yes"),1/('Publication Bias Analysis'!F:F^2+IF(Additional_model="Fixed effect",0,Calculations!GH$12)),"")</f>
        <v>31.331001475984724</v>
      </c>
      <c r="FV7" s="3">
        <f>IF(AND(Include_study?="Yes",Sufficient_data="Yes"),1/('Publication Bias Analysis'!F:F^2+IF(Additional_model="Fixed effect",0,'Publication Bias Analysis'!L$32)),"")</f>
        <v>31.331001475984724</v>
      </c>
      <c r="FW7" s="3">
        <f>IF(AND(Include_study?="Yes",Sufficient_data="Yes"),'Publication Bias Analysis'!E:E-'Publication Bias Analysis'!I$37,"")</f>
        <v>0.19283361923856535</v>
      </c>
      <c r="FX7" s="3">
        <f>IF(AND(Include_study?="Yes",Sufficient_data="Yes"),IF(Additional_model="Fixed effect",1/'Publication Bias Analysis'!F:F,1/SQRT('Publication Bias Analysis'!F:F^2+GH$12)),"")</f>
        <v>5.5974102472469109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-2.0842888088528162</v>
      </c>
      <c r="FZ7" s="6">
        <f t="shared" si="80"/>
        <v>-5</v>
      </c>
      <c r="GA7" s="83">
        <f>IF(AND(Include_study?="Yes",Sufficient_data="Yes"),FZ:FZ+IF(GL:GL&lt;0,-1,1)*COUNTIF(FZ$2:FZ6,FZ:FZ),"")</f>
        <v>-5</v>
      </c>
      <c r="GB7" s="83">
        <f>IF(AND(Include_study?="Yes",Sufficient_data="Yes"),RANK(GP:GP,GP:GP,1)*IF(GO:GO&lt;0,-1,1)+IF(GO:GO&lt;0,-1,1)*COUNTIF(FZ$2:FZ6,FZ:FZ),"")</f>
        <v>-5</v>
      </c>
      <c r="GC7" s="83">
        <f>IF(AND(Include_study?="Yes",Sufficient_data="Yes"),RANK(GS:GS,GS:GS,1)*IF(GR:GR&lt;0,-1,1)+IF(GR:GR&lt;0,-1,1)*COUNTIF(FZ$2:FZ6,FZ:FZ),"")</f>
        <v>-5</v>
      </c>
      <c r="GD7" s="3">
        <f>IF(AND(Include_study?="Yes",Sufficient_data="Yes"),'Publication Bias Analysis'!E7,NA())</f>
        <v>-0.37236663327973407</v>
      </c>
      <c r="GE7" s="35">
        <f>IF(AND(Include_study?="Yes",Sufficient_data="Yes"),'Publication Bias Analysis'!F7,NA())</f>
        <v>0.17865404818091554</v>
      </c>
      <c r="GG7" s="2" t="s">
        <v>262</v>
      </c>
      <c r="GH7" s="3">
        <f>IF(Trim_and_fill="Off",'Publication Bias Analysis'!I29,'Publication Bias Analysis'!I37)</f>
        <v>-0.56520025251829942</v>
      </c>
      <c r="GI7" s="3">
        <v>0</v>
      </c>
      <c r="GK7" s="124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-0.19283361923856535</v>
      </c>
      <c r="GM7" s="3">
        <f t="shared" si="81"/>
        <v>0.19283361923856535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31.331001475984724</v>
      </c>
      <c r="GO7" s="3">
        <f>IF(AND(Include_study?="Yes",Sufficient_data="Yes"),IF('Publication Bias Analysis'!L$38="Left",'Publication Bias Analysis'!E:E-GW$3,GW$3-'Publication Bias Analysis'!E:E),"")</f>
        <v>-0.19283361923856535</v>
      </c>
      <c r="GP7" s="3">
        <f t="shared" si="82"/>
        <v>0.19283361923856535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31.331001475984724</v>
      </c>
      <c r="GR7" s="3">
        <f>IF(AND(Include_study?="Yes",Sufficient_data="Yes"),IF('Publication Bias Analysis'!L$38="Left",'Publication Bias Analysis'!E:E-GW$10,GW$10-'Publication Bias Analysis'!E:E),"")</f>
        <v>-0.19283361923856535</v>
      </c>
      <c r="GS7" s="3">
        <f t="shared" si="83"/>
        <v>0.19283361923856535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31.331001475984724</v>
      </c>
      <c r="GV7" s="36" t="s">
        <v>316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4"/>
      <c r="HL7" s="3">
        <f t="shared" si="89"/>
        <v>-4.9200714085791297E-2</v>
      </c>
      <c r="HM7" s="35">
        <f>IF(AND(Include_study?="Yes",Sufficient_data="Yes"),Z_score-('Publication Bias Analysis'!P$3+'Publication Bias Analysis'!P$4*Inverse_standard_error),"")</f>
        <v>1.2518106385926795</v>
      </c>
      <c r="HO7" s="124"/>
      <c r="HP7" s="3">
        <f>IF(AND(Include_study?="Yes",Sufficient_data="Yes"),(GD:GD-SUMPRODUCT(Calculations!FT:FT,'Publication Bias Analysis'!E:E)/SUM(Calculations!FT:FT))/SQRT(Calculations!HQ:HQ),"")</f>
        <v>1.1632902060149448</v>
      </c>
      <c r="HQ7" s="3">
        <f>IF(AND(Include_study?="Yes",Sufficient_data="Yes"),GE:GE^2-1/SUM(Calculations!FT:FT),"")</f>
        <v>2.7478268418044505E-2</v>
      </c>
      <c r="HR7" s="6">
        <f t="shared" si="90"/>
        <v>2</v>
      </c>
      <c r="HS7" s="6">
        <f t="shared" si="91"/>
        <v>3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3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3</v>
      </c>
      <c r="HW7" s="124"/>
      <c r="HX7" s="20">
        <v>6</v>
      </c>
      <c r="HY7" s="3">
        <f t="shared" si="123"/>
        <v>0.4</v>
      </c>
      <c r="HZ7" s="35">
        <f>HZ6+HY14</f>
        <v>1.2000000000000002</v>
      </c>
      <c r="IB7" s="124"/>
      <c r="IC7" s="76">
        <f t="shared" si="92"/>
        <v>1.8213866039952998E-2</v>
      </c>
      <c r="ID7" s="3">
        <f t="shared" si="93"/>
        <v>2.6215895610913403E-2</v>
      </c>
      <c r="IE7" s="3">
        <f t="shared" si="94"/>
        <v>32.762390495362041</v>
      </c>
      <c r="IF7" s="35">
        <f t="shared" si="95"/>
        <v>31.331001475984724</v>
      </c>
      <c r="IH7" s="3">
        <f>MAX('Publication Bias Analysis'!AH:AH)</f>
        <v>4.1380887059899403E-2</v>
      </c>
      <c r="II7" s="3">
        <f>EXP(SUMPRODUCT(LogRiskRatio,IE:IE)/SUM(IE:IE))*MAX('Publication Bias Analysis'!AH:AH)</f>
        <v>2.3889965492757955E-2</v>
      </c>
      <c r="IK7" s="124"/>
      <c r="IL7" s="3">
        <f>IF(AND(Include_study?="Yes",Sufficient_data="Yes"),'Publication Bias Analysis'!AV:AV,NA())</f>
        <v>-2.0842888088528162</v>
      </c>
      <c r="IM7" s="3">
        <f>IF(AND(Sufficient_data="Yes",Include_study?="Yes"),'Publication Bias Analysis'!AU:AU,NA())</f>
        <v>5.5974102472469109</v>
      </c>
      <c r="IN7" s="3">
        <f t="shared" si="96"/>
        <v>-4.9200714085791297E-2</v>
      </c>
      <c r="IO7" s="35">
        <f>IF(AND(Include_study?="Yes",Sufficient_data="Yes"),Z_score-('Publication Bias Analysis'!AY$30+'Publication Bias Analysis'!AY$31*Inverse_standard_error),"")</f>
        <v>1.0793688763396547</v>
      </c>
      <c r="IQ7" s="2" t="s">
        <v>302</v>
      </c>
      <c r="IR7" s="3">
        <f>MAX(Inverse_standard_error)</f>
        <v>6.2235212793321057</v>
      </c>
      <c r="IS7" s="3">
        <f>IR7*'Publication Bias Analysis'!AY31+IS6</f>
        <v>-5.9644476497764849</v>
      </c>
      <c r="IU7" s="124"/>
      <c r="IV7" s="6">
        <f>IF('Publication Bias Analysis'!BG:BG&lt;&gt;"",RANK('Publication Bias Analysis'!BG:BG,'Publication Bias Analysis'!BG:BG,1)+COUNTIF('Publication Bias Analysis'!BG$2:BG6,'Publication Bias Analysis'!BG7),"")</f>
        <v>6</v>
      </c>
      <c r="IW7" s="3">
        <f t="shared" si="97"/>
        <v>0.77272727272727282</v>
      </c>
      <c r="IX7" s="3">
        <f>IF('Publication Bias Analysis'!BF7&lt;&gt;"",'Publication Bias Analysis'!BF7,NA())</f>
        <v>0.7478585947633023</v>
      </c>
      <c r="IY7" s="3">
        <f>IF('Publication Bias Analysis'!BG7&lt;&gt;"",'Publication Bias Analysis'!BG7,NA())</f>
        <v>-2.0842888088528162</v>
      </c>
      <c r="IZ7" s="3">
        <f>IF(AND(Include_study?="Yes",Sufficient_data="Yes"),'Publication Bias Analysis'!BF:BF-AVERAGE('Publication Bias Analysis'!BF:BF),"")</f>
        <v>0.74785859476330208</v>
      </c>
      <c r="JA7" s="35">
        <f>IF(AND(Include_study?="Yes",Sufficient_data="Yes"),'Publication Bias Analysis'!BG:BG-('Publication Bias Analysis'!BJ$30+'Publication Bias Analysis'!BJ$31*'Publication Bias Analysis'!BF:BF),"")</f>
        <v>5.8346925917613479E-2</v>
      </c>
      <c r="JC7" s="2" t="s">
        <v>305</v>
      </c>
      <c r="JD7" s="3">
        <f>MAX('Publication Bias Analysis'!BF:BF)</f>
        <v>1.3351777361189372</v>
      </c>
      <c r="JE7" s="3">
        <f>'Publication Bias Analysis'!BJ30</f>
        <v>-3.2807177766994786</v>
      </c>
      <c r="JG7" s="124"/>
      <c r="JH7" s="3">
        <f t="shared" si="98"/>
        <v>-2.0842888088528162</v>
      </c>
      <c r="JI7" s="10">
        <f t="shared" si="124"/>
        <v>1.856695234678396E-2</v>
      </c>
      <c r="JJ7" s="35">
        <f t="shared" si="125"/>
        <v>-3.986372034114523</v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40"/>
      <c r="I8" s="134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24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24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24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40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317</v>
      </c>
      <c r="BB8" s="9">
        <f>IF(BB2&lt;&gt;"",MAX(Weight_lookup),"")</f>
        <v>0.15453859162601982</v>
      </c>
      <c r="BD8" s="140"/>
      <c r="BE8" s="134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24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318</v>
      </c>
      <c r="CB8" s="3">
        <f>lnCES_OddsRatio_MH+ABS(TINV((1-Confidence_level),k_-1))*SQRT(T2_MH+SElnCES_MH^2)</f>
        <v>-3.6643719592559187E-2</v>
      </c>
      <c r="CD8" s="124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318</v>
      </c>
      <c r="CN8" s="3">
        <f>lnCES_PetoOddsRatio+ABS(TINV((1-Confidence_level),k_-1))*SQRT(T2_Peto+SElnCES_Peto^2)</f>
        <v>0.15799248333863403</v>
      </c>
      <c r="CP8" s="124"/>
      <c r="CQ8" s="52" t="str">
        <f t="shared" si="52"/>
        <v/>
      </c>
      <c r="CX8" s="140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0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319</v>
      </c>
      <c r="FP8" s="6">
        <f>COUNTIFS(Include_study?,"Yes",Sufficient_data,"Yes",Moderator,"&lt;&gt;")</f>
        <v>0</v>
      </c>
      <c r="FR8" s="140"/>
      <c r="FS8" s="134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263</v>
      </c>
      <c r="GH8" s="3">
        <f>IF(Trim_and_fill="Off",'Publication Bias Analysis'!I29,'Publication Bias Analysis'!I37)</f>
        <v>-0.56520025251829942</v>
      </c>
      <c r="GI8" s="3">
        <f>IF(Trim_and_fill="Off",GH17,GH22)</f>
        <v>0.26872247546590644</v>
      </c>
      <c r="GK8" s="124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4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24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24"/>
      <c r="HX8" s="20">
        <v>7</v>
      </c>
      <c r="HY8" s="3">
        <f t="shared" si="123"/>
        <v>1.2000000000000002</v>
      </c>
      <c r="HZ8" s="35">
        <f>HZ7+HY14</f>
        <v>2</v>
      </c>
      <c r="IB8" s="124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24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263</v>
      </c>
      <c r="IR8" s="2" t="s">
        <v>259</v>
      </c>
      <c r="IS8" s="2" t="s">
        <v>260</v>
      </c>
      <c r="IU8" s="124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24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40"/>
      <c r="I9" s="134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24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24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24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40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40"/>
      <c r="BE9" s="134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0.55846854267198309</v>
      </c>
      <c r="BO9" s="124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24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24"/>
      <c r="CQ9" s="52" t="str">
        <f t="shared" si="52"/>
        <v/>
      </c>
      <c r="CS9" s="122" t="s">
        <v>166</v>
      </c>
      <c r="CT9" s="122"/>
      <c r="CU9" s="122"/>
      <c r="CV9" s="122"/>
      <c r="CX9" s="140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40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0"/>
      <c r="FS9" s="134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24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22" t="s">
        <v>119</v>
      </c>
      <c r="GW9" s="122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4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24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24"/>
      <c r="HX9" s="20">
        <v>8</v>
      </c>
      <c r="HY9" s="3">
        <f t="shared" si="123"/>
        <v>2</v>
      </c>
      <c r="HZ9" s="35">
        <f>HZ8+HY14</f>
        <v>2.8</v>
      </c>
      <c r="IB9" s="124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24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115</v>
      </c>
      <c r="IR9" s="3">
        <v>0</v>
      </c>
      <c r="IS9" s="3">
        <f>ABS(TINV((1-Additional_confidence_level),k_-1))</f>
        <v>2.4469118511449688</v>
      </c>
      <c r="IU9" s="124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24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>
        <f t="shared" si="0"/>
        <v>4</v>
      </c>
      <c r="B10" s="6">
        <f>IF(AND(Include_study?="Yes",Sufficient_data="Yes"),IF(Input!a_&lt;&gt;"",Input!a_,Input!n1_-Input!b_),"")</f>
        <v>71.500000000000014</v>
      </c>
      <c r="C10" s="6">
        <f>IF(AND(Include_study?="Yes",Sufficient_data="Yes"),IF(Input!b_&lt;&gt;"",Input!b_,Input!n1_-Input!a_),"")</f>
        <v>3272.5</v>
      </c>
      <c r="D10" s="6">
        <f>IF(AND(Include_study?="Yes",Sufficient_data="Yes"),IF(Input!c_&lt;&gt;"",Input!c_,Input!n2_-Input!d_),"")</f>
        <v>90.5</v>
      </c>
      <c r="E10" s="6">
        <f>IF(AND(Include_study?="Yes",Sufficient_data="Yes"),IF(Input!d_&lt;&gt;"",Input!d_,Input!n2_-Input!c_),"")</f>
        <v>2096.5</v>
      </c>
      <c r="F10" s="35" t="str">
        <f t="shared" si="1"/>
        <v>No</v>
      </c>
      <c r="H10" s="140"/>
      <c r="I10" s="134"/>
      <c r="J10" s="76">
        <f t="shared" si="2"/>
        <v>0.50614234644133904</v>
      </c>
      <c r="K10" s="3">
        <f t="shared" si="3"/>
        <v>-0.68093733217915597</v>
      </c>
      <c r="L10" s="3">
        <f t="shared" si="4"/>
        <v>0.16068073926587711</v>
      </c>
      <c r="M10" s="3">
        <f t="shared" si="5"/>
        <v>0.36937800679866201</v>
      </c>
      <c r="N10" s="35">
        <f t="shared" si="6"/>
        <v>0.69354447245361117</v>
      </c>
      <c r="P10" s="124"/>
      <c r="Q10" s="76">
        <f t="shared" si="7"/>
        <v>0.4949535011693228</v>
      </c>
      <c r="R10" s="3">
        <f t="shared" si="8"/>
        <v>0.16308142174021334</v>
      </c>
      <c r="S10" s="3">
        <f t="shared" si="9"/>
        <v>0.35951651727446721</v>
      </c>
      <c r="T10" s="35">
        <f t="shared" si="10"/>
        <v>0.68141227606726484</v>
      </c>
      <c r="V10" s="124"/>
      <c r="W10" s="76">
        <f t="shared" si="11"/>
        <v>-1.9999308112530978E-2</v>
      </c>
      <c r="X10" s="3">
        <f t="shared" si="12"/>
        <v>4.9391922730460426E-3</v>
      </c>
      <c r="Y10" s="3">
        <f t="shared" si="13"/>
        <v>-2.9682066745014939E-2</v>
      </c>
      <c r="Z10" s="35">
        <f t="shared" si="14"/>
        <v>-1.0316549480047019E-2</v>
      </c>
      <c r="AB10" s="124"/>
      <c r="AC10" s="76">
        <f t="shared" si="15"/>
        <v>0.51670180284966571</v>
      </c>
      <c r="AD10" s="3">
        <f t="shared" si="16"/>
        <v>-0.6602893545337426</v>
      </c>
      <c r="AE10" s="3">
        <f t="shared" si="17"/>
        <v>0.1558186359518382</v>
      </c>
      <c r="AF10" s="3">
        <f t="shared" si="18"/>
        <v>0.38069561306072708</v>
      </c>
      <c r="AG10" s="35">
        <f t="shared" si="19"/>
        <v>0.7012971621123123</v>
      </c>
      <c r="AI10" s="140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10" s="6">
        <f>IF(AJ10&lt;&gt;"",IF(AJ10=0,COUNTIF(AJ$2:AJ9,0)+1,COUNTIF(AJ$2:AJ9,AJ10)+AJ10+COUNTIF(AJ:AJ,0)),"")</f>
        <v>4</v>
      </c>
      <c r="AL10" s="6">
        <f t="shared" si="20"/>
        <v>4</v>
      </c>
      <c r="AM10" s="3" t="str">
        <f>IF(AND(Include_study?="Yes",Sufficient_data="Yes",Input!Study_name&lt;&gt;""),Input!Study_name,"")</f>
        <v>Mustaqim et al. (A)</v>
      </c>
      <c r="AN10" s="6">
        <f t="shared" si="21"/>
        <v>5531</v>
      </c>
      <c r="AO10" s="3">
        <f t="shared" si="22"/>
        <v>0.50614234644133904</v>
      </c>
      <c r="AP10" s="3">
        <f t="shared" si="23"/>
        <v>38.732217114299523</v>
      </c>
      <c r="AQ10" s="3">
        <f t="shared" si="24"/>
        <v>13.692932990062266</v>
      </c>
      <c r="AR10" s="3">
        <f t="shared" si="25"/>
        <v>0.16068073926587711</v>
      </c>
      <c r="AS10" s="3">
        <f t="shared" si="26"/>
        <v>0.36937800679866201</v>
      </c>
      <c r="AT10" s="3">
        <f t="shared" si="27"/>
        <v>0.69354447245361117</v>
      </c>
      <c r="AU10" s="80">
        <f t="shared" si="28"/>
        <v>0.15453859162601982</v>
      </c>
      <c r="AW10" s="44">
        <f t="shared" si="29"/>
        <v>0.50614234644133904</v>
      </c>
      <c r="AX10" s="3">
        <f t="shared" si="30"/>
        <v>0.13676433964267704</v>
      </c>
      <c r="AY10" s="35">
        <f t="shared" si="31"/>
        <v>0.18740212601227213</v>
      </c>
      <c r="BD10" s="140"/>
      <c r="BE10" s="134"/>
      <c r="BF10" s="3">
        <f t="shared" si="32"/>
        <v>-0.68093733217915597</v>
      </c>
      <c r="BG10" s="3">
        <f t="shared" si="33"/>
        <v>0.16068073926587711</v>
      </c>
      <c r="BH10" s="3">
        <f t="shared" si="34"/>
        <v>38.732217114299523</v>
      </c>
      <c r="BI10" s="3">
        <f t="shared" si="99"/>
        <v>13.692932990062266</v>
      </c>
      <c r="BJ10" s="35">
        <f t="shared" si="35"/>
        <v>-9.8380345450299389E-2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4"/>
      <c r="BP10" s="3">
        <f t="shared" si="36"/>
        <v>27.10174471162539</v>
      </c>
      <c r="BQ10" s="3">
        <f t="shared" si="37"/>
        <v>53.54569698065449</v>
      </c>
      <c r="BR10" s="3">
        <f t="shared" si="38"/>
        <v>10.623139131224706</v>
      </c>
      <c r="BS10" s="3">
        <f>IF(AND(Sufficient_data="Yes",Include_study?="Yes"),IF(Add_0_5="Yes",(a_+d_+1)*(ab_+0.5)*(c_+0.5)/(Number_of_subjects+2)^2,(a_+d_)*b_*c_/Number_of_subjects^2),"")</f>
        <v>20.988441702053688</v>
      </c>
      <c r="BT10" s="3">
        <f t="shared" si="39"/>
        <v>16.478605580400686</v>
      </c>
      <c r="BU10" s="3">
        <f t="shared" si="40"/>
        <v>32.557255278600806</v>
      </c>
      <c r="BV10" s="3">
        <f t="shared" si="41"/>
        <v>53.54569698065449</v>
      </c>
      <c r="BW10" s="3">
        <f t="shared" si="42"/>
        <v>0.60534336663554034</v>
      </c>
      <c r="BX10" s="3">
        <f t="shared" si="43"/>
        <v>16.069753344410113</v>
      </c>
      <c r="BY10" s="35">
        <f t="shared" si="44"/>
        <v>-0.1007235099695184</v>
      </c>
      <c r="CA10" s="3" t="s">
        <v>320</v>
      </c>
      <c r="CB10" s="3">
        <f>IF(Meta_analysis_model="Fixed effect model",SUMPRODUCT(Weightf_MH,OddsRatio)/SUM(Weightf_MH),EXP(SUMPRODUCT(Weight_MH,LogOddsRatio)/SUM(Weight_MH)))</f>
        <v>0.55977866065783743</v>
      </c>
      <c r="CD10" s="124"/>
      <c r="CE10" s="76">
        <f t="shared" si="45"/>
        <v>97.943952269029111</v>
      </c>
      <c r="CF10" s="3">
        <f t="shared" si="46"/>
        <v>37.600275068871937</v>
      </c>
      <c r="CG10" s="3">
        <f t="shared" si="47"/>
        <v>-0.70329145785747715</v>
      </c>
      <c r="CH10" s="3">
        <f t="shared" si="48"/>
        <v>2.6595550116809329E-2</v>
      </c>
      <c r="CI10" s="3">
        <f t="shared" si="49"/>
        <v>37.600275068871937</v>
      </c>
      <c r="CJ10" s="3">
        <f t="shared" si="50"/>
        <v>9.4577335371665061</v>
      </c>
      <c r="CK10" s="35">
        <f t="shared" si="51"/>
        <v>-8.1099359457746378E-2</v>
      </c>
      <c r="CM10" s="3" t="s">
        <v>321</v>
      </c>
      <c r="CN10" s="3">
        <f>EXP(lnCES_PetoOddsRatio)</f>
        <v>0.53676650200093812</v>
      </c>
      <c r="CP10" s="124"/>
      <c r="CQ10" s="52">
        <f t="shared" si="52"/>
        <v>4.1380887059899403E-2</v>
      </c>
      <c r="CS10" s="2"/>
      <c r="CT10" s="2" t="s">
        <v>54</v>
      </c>
      <c r="CU10" s="2" t="s">
        <v>78</v>
      </c>
      <c r="CV10" s="2" t="s">
        <v>79</v>
      </c>
      <c r="CX10" s="140"/>
      <c r="CY10" s="48">
        <f t="shared" si="53"/>
        <v>3</v>
      </c>
      <c r="CZ10" s="6" t="str">
        <f t="shared" si="54"/>
        <v>Mustaqim et al. (A)</v>
      </c>
      <c r="DA10" s="17" t="str">
        <f t="shared" si="55"/>
        <v>English</v>
      </c>
      <c r="DB10" s="3">
        <f t="shared" si="56"/>
        <v>-0.68093733217915597</v>
      </c>
      <c r="DC10" s="3">
        <f t="shared" si="57"/>
        <v>0.16068073926587711</v>
      </c>
      <c r="DD10" s="3">
        <f t="shared" si="58"/>
        <v>38.732217114299523</v>
      </c>
      <c r="DE10" s="3">
        <f t="shared" si="59"/>
        <v>12.47811374942054</v>
      </c>
      <c r="DF10" s="80">
        <f t="shared" si="60"/>
        <v>0.17915621471272949</v>
      </c>
      <c r="DG10" s="3">
        <f t="shared" si="61"/>
        <v>0.50614234644133904</v>
      </c>
      <c r="DH10" s="3">
        <f t="shared" si="62"/>
        <v>0.36937801140560705</v>
      </c>
      <c r="DI10" s="3">
        <f t="shared" si="63"/>
        <v>0.69354446380360724</v>
      </c>
      <c r="DJ10" s="35" t="e">
        <f t="shared" si="64"/>
        <v>#DIV/0!</v>
      </c>
      <c r="DL10" s="44">
        <f t="shared" si="65"/>
        <v>0.50614234644133904</v>
      </c>
      <c r="DM10" s="3">
        <f t="shared" si="100"/>
        <v>0.13676433503573199</v>
      </c>
      <c r="DN10" s="35">
        <f t="shared" si="101"/>
        <v>0.18740211736226819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0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322</v>
      </c>
      <c r="FP10" s="1"/>
      <c r="FR10" s="140"/>
      <c r="FS10" s="134"/>
      <c r="FT10" s="76">
        <f>IF(AND(Include_study?="Yes",Sufficient_data="Yes"),IF(Additional_weighting_method="Inverse Variance",1/'Publication Bias Analysis'!F:F^2,IF(Additional_weighting_method="Mantel-Haenszel",Weightf_MH,Weightf_Peto)),"")</f>
        <v>38.732217114299523</v>
      </c>
      <c r="FU10" s="3">
        <f>IF(AND(Include_study?="Yes",Sufficient_data="Yes"),1/('Publication Bias Analysis'!F:F^2+IF(Additional_model="Fixed effect",0,Calculations!GH$12)),"")</f>
        <v>38.732217114299523</v>
      </c>
      <c r="FV10" s="3">
        <f>IF(AND(Include_study?="Yes",Sufficient_data="Yes"),1/('Publication Bias Analysis'!F:F^2+IF(Additional_model="Fixed effect",0,'Publication Bias Analysis'!L$32)),"")</f>
        <v>38.732217114299523</v>
      </c>
      <c r="FW10" s="3">
        <f>IF(AND(Include_study?="Yes",Sufficient_data="Yes"),'Publication Bias Analysis'!E:E-'Publication Bias Analysis'!I$37,"")</f>
        <v>-0.11573707966085656</v>
      </c>
      <c r="FX10" s="3">
        <f>IF(AND(Include_study?="Yes",Sufficient_data="Yes"),IF(Additional_model="Fixed effect",1/'Publication Bias Analysis'!F:F,1/SQRT('Publication Bias Analysis'!F:F^2+GH$12)),"")</f>
        <v>6.2235212793321057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-4.237827976708612</v>
      </c>
      <c r="FZ10" s="6">
        <f t="shared" si="80"/>
        <v>4</v>
      </c>
      <c r="GA10" s="83">
        <f>IF(AND(Include_study?="Yes",Sufficient_data="Yes"),FZ:FZ+IF(GL:GL&lt;0,-1,1)*COUNTIF(FZ$2:FZ9,FZ:FZ),"")</f>
        <v>4</v>
      </c>
      <c r="GB10" s="83">
        <f>IF(AND(Include_study?="Yes",Sufficient_data="Yes"),RANK(GP:GP,GP:GP,1)*IF(GO:GO&lt;0,-1,1)+IF(GO:GO&lt;0,-1,1)*COUNTIF(FZ$2:FZ9,FZ:FZ),"")</f>
        <v>4</v>
      </c>
      <c r="GC10" s="83">
        <f>IF(AND(Include_study?="Yes",Sufficient_data="Yes"),RANK(GS:GS,GS:GS,1)*IF(GR:GR&lt;0,-1,1)+IF(GR:GR&lt;0,-1,1)*COUNTIF(FZ$2:FZ9,FZ:FZ),"")</f>
        <v>4</v>
      </c>
      <c r="GD10" s="3">
        <f>IF(AND(Include_study?="Yes",Sufficient_data="Yes"),'Publication Bias Analysis'!E10,NA())</f>
        <v>-0.68093733217915597</v>
      </c>
      <c r="GE10" s="35">
        <f>IF(AND(Include_study?="Yes",Sufficient_data="Yes"),'Publication Bias Analysis'!F10,NA())</f>
        <v>0.16068073926587711</v>
      </c>
      <c r="GG10" s="122" t="s">
        <v>73</v>
      </c>
      <c r="GH10" s="122"/>
      <c r="GK10" s="124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0.11573707966085656</v>
      </c>
      <c r="GM10" s="3">
        <f t="shared" si="81"/>
        <v>0.11573707966085656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38.732217114299523</v>
      </c>
      <c r="GO10" s="3">
        <f>IF(AND(Include_study?="Yes",Sufficient_data="Yes"),IF('Publication Bias Analysis'!L$38="Left",'Publication Bias Analysis'!E:E-GW$3,GW$3-'Publication Bias Analysis'!E:E),"")</f>
        <v>0.11573707966085656</v>
      </c>
      <c r="GP10" s="3">
        <f t="shared" si="82"/>
        <v>0.11573707966085656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38.732217114299523</v>
      </c>
      <c r="GR10" s="3">
        <f>IF(AND(Include_study?="Yes",Sufficient_data="Yes"),IF('Publication Bias Analysis'!L$38="Left",'Publication Bias Analysis'!E:E-GW$10,GW$10-'Publication Bias Analysis'!E:E),"")</f>
        <v>0.11573707966085656</v>
      </c>
      <c r="GS10" s="3">
        <f t="shared" si="83"/>
        <v>0.11573707966085656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38.732217114299523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-0.56520025251829942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4"/>
      <c r="HL10" s="3">
        <f t="shared" si="89"/>
        <v>0.57691031799940351</v>
      </c>
      <c r="HM10" s="35">
        <f>IF(AND(Include_study?="Yes",Sufficient_data="Yes"),Z_score-('Publication Bias Analysis'!P$3+'Publication Bias Analysis'!P$4*Inverse_standard_error),"")</f>
        <v>-1.6064962480594103</v>
      </c>
      <c r="HO10" s="124"/>
      <c r="HP10" s="3">
        <f>IF(AND(Include_study?="Yes",Sufficient_data="Yes"),(GD:GD-SUMPRODUCT(Calculations!FT:FT,'Publication Bias Analysis'!E:E)/SUM(Calculations!FT:FT))/SQRT(Calculations!HQ:HQ),"")</f>
        <v>-0.79154531839160847</v>
      </c>
      <c r="HQ10" s="3">
        <f>IF(AND(Include_study?="Yes",Sufficient_data="Yes"),GE:GE^2-1/SUM(Calculations!FT:FT),"")</f>
        <v>2.1379299457644399E-2</v>
      </c>
      <c r="HR10" s="6">
        <f t="shared" si="90"/>
        <v>6</v>
      </c>
      <c r="HS10" s="6">
        <f t="shared" si="91"/>
        <v>7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5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1</v>
      </c>
      <c r="HW10" s="124"/>
      <c r="HX10" s="54">
        <v>9</v>
      </c>
      <c r="HY10" s="32">
        <f t="shared" si="123"/>
        <v>2.8</v>
      </c>
      <c r="HZ10" s="39"/>
      <c r="IB10" s="124"/>
      <c r="IC10" s="76">
        <f t="shared" si="92"/>
        <v>2.1381578947368425E-2</v>
      </c>
      <c r="ID10" s="3">
        <f t="shared" si="93"/>
        <v>4.1380887059899403E-2</v>
      </c>
      <c r="IE10" s="3">
        <f t="shared" si="94"/>
        <v>41.187098999267519</v>
      </c>
      <c r="IF10" s="35">
        <f t="shared" si="95"/>
        <v>38.732217114299523</v>
      </c>
      <c r="IK10" s="124"/>
      <c r="IL10" s="3">
        <f>IF(AND(Include_study?="Yes",Sufficient_data="Yes"),'Publication Bias Analysis'!AV:AV,NA())</f>
        <v>-4.237827976708612</v>
      </c>
      <c r="IM10" s="3">
        <f>IF(AND(Sufficient_data="Yes",Include_study?="Yes"),'Publication Bias Analysis'!AU:AU,NA())</f>
        <v>6.2235212793321057</v>
      </c>
      <c r="IN10" s="3">
        <f t="shared" si="96"/>
        <v>0.57691031799940351</v>
      </c>
      <c r="IO10" s="35">
        <f>IF(AND(Include_study?="Yes",Sufficient_data="Yes"),Z_score-('Publication Bias Analysis'!AY$30+'Publication Bias Analysis'!AY$31*Inverse_standard_error),"")</f>
        <v>-0.72029217807709589</v>
      </c>
      <c r="IQ10" s="2" t="s">
        <v>302</v>
      </c>
      <c r="IR10" s="3">
        <f>MAX(Inverse_standard_error)</f>
        <v>6.2235212793321057</v>
      </c>
      <c r="IS10" s="3">
        <f>IR10*'Publication Bias Analysis'!AY31+IS9</f>
        <v>-1.0706239474865473</v>
      </c>
      <c r="IU10" s="124"/>
      <c r="IV10" s="6">
        <f>IF('Publication Bias Analysis'!BG:BG&lt;&gt;"",RANK('Publication Bias Analysis'!BG:BG,'Publication Bias Analysis'!BG:BG,1)+COUNTIF('Publication Bias Analysis'!BG$2:BG9,'Publication Bias Analysis'!BG10),"")</f>
        <v>2</v>
      </c>
      <c r="IW10" s="3">
        <f t="shared" si="97"/>
        <v>0.22727272727272729</v>
      </c>
      <c r="IX10" s="3">
        <f>IF('Publication Bias Analysis'!BF10&lt;&gt;"",'Publication Bias Analysis'!BF10,NA())</f>
        <v>-0.74785859476330196</v>
      </c>
      <c r="IY10" s="3">
        <f>IF('Publication Bias Analysis'!BG10&lt;&gt;"",'Publication Bias Analysis'!BG10,NA())</f>
        <v>-4.237827976708612</v>
      </c>
      <c r="IZ10" s="3">
        <f>IF(AND(Include_study?="Yes",Sufficient_data="Yes"),'Publication Bias Analysis'!BF:BF-AVERAGE('Publication Bias Analysis'!BF:BF),"")</f>
        <v>-0.74785859476330219</v>
      </c>
      <c r="JA10" s="35">
        <f>IF(AND(Include_study?="Yes",Sufficient_data="Yes"),'Publication Bias Analysis'!BG:BG-('Publication Bias Analysis'!BJ$30+'Publication Bias Analysis'!BJ$31*'Publication Bias Analysis'!BF:BF),"")</f>
        <v>0.18097184191991467</v>
      </c>
      <c r="JG10" s="124"/>
      <c r="JH10" s="3">
        <f t="shared" si="98"/>
        <v>-4.237827976708612</v>
      </c>
      <c r="JI10" s="10">
        <f t="shared" si="124"/>
        <v>1.1284629214958208E-5</v>
      </c>
      <c r="JJ10" s="35">
        <f t="shared" si="125"/>
        <v>-11.392069004684874</v>
      </c>
    </row>
    <row r="11" spans="1:270" ht="13.5" customHeight="1" x14ac:dyDescent="0.35">
      <c r="A11" s="2">
        <f t="shared" si="0"/>
        <v>5</v>
      </c>
      <c r="B11" s="6">
        <f>IF(AND(Include_study?="Yes",Sufficient_data="Yes"),IF(Input!a_&lt;&gt;"",Input!a_,Input!n1_-Input!b_),"")</f>
        <v>56.2</v>
      </c>
      <c r="C11" s="6">
        <f>IF(AND(Include_study?="Yes",Sufficient_data="Yes"),IF(Input!b_&lt;&gt;"",Input!b_,Input!n1_-Input!a_),"")</f>
        <v>3287.8</v>
      </c>
      <c r="D11" s="6">
        <f>IF(AND(Include_study?="Yes",Sufficient_data="Yes"),IF(Input!c_&lt;&gt;"",Input!c_,Input!n2_-Input!d_),"")</f>
        <v>63.8</v>
      </c>
      <c r="E11" s="6">
        <f>IF(AND(Include_study?="Yes",Sufficient_data="Yes"),IF(Input!d_&lt;&gt;"",Input!d_,Input!n2_-Input!c_),"")</f>
        <v>2123.1999999999998</v>
      </c>
      <c r="F11" s="35" t="str">
        <f t="shared" si="1"/>
        <v>No</v>
      </c>
      <c r="H11" s="140"/>
      <c r="I11" s="134"/>
      <c r="J11" s="76">
        <f t="shared" si="2"/>
        <v>0.56885443878108499</v>
      </c>
      <c r="K11" s="3">
        <f t="shared" si="3"/>
        <v>-0.56413069694856588</v>
      </c>
      <c r="L11" s="3">
        <f t="shared" si="4"/>
        <v>0.18504787877833037</v>
      </c>
      <c r="M11" s="3">
        <f t="shared" si="5"/>
        <v>0.3957797978400841</v>
      </c>
      <c r="N11" s="35">
        <f t="shared" si="6"/>
        <v>0.81761467939223298</v>
      </c>
      <c r="P11" s="124"/>
      <c r="Q11" s="76">
        <f t="shared" si="7"/>
        <v>0.55849361398629815</v>
      </c>
      <c r="R11" s="3">
        <f t="shared" si="8"/>
        <v>0.18874667433976453</v>
      </c>
      <c r="S11" s="3">
        <f t="shared" si="9"/>
        <v>0.38576389035282843</v>
      </c>
      <c r="T11" s="35">
        <f t="shared" si="10"/>
        <v>0.80856483632563847</v>
      </c>
      <c r="V11" s="124"/>
      <c r="W11" s="76">
        <f t="shared" si="11"/>
        <v>-1.2366162163108232E-2</v>
      </c>
      <c r="X11" s="3">
        <f t="shared" si="12"/>
        <v>4.2297971490802E-3</v>
      </c>
      <c r="Y11" s="3">
        <f t="shared" si="13"/>
        <v>-2.0658227463423898E-2</v>
      </c>
      <c r="Z11" s="35">
        <f t="shared" si="14"/>
        <v>-4.0740968627925676E-3</v>
      </c>
      <c r="AB11" s="124"/>
      <c r="AC11" s="76">
        <f t="shared" si="15"/>
        <v>0.5761003659762115</v>
      </c>
      <c r="AD11" s="3">
        <f t="shared" si="16"/>
        <v>-0.55147338697892323</v>
      </c>
      <c r="AE11" s="3">
        <f t="shared" si="17"/>
        <v>0.18086261378251675</v>
      </c>
      <c r="AF11" s="3">
        <f t="shared" si="18"/>
        <v>0.40412331449058614</v>
      </c>
      <c r="AG11" s="35">
        <f t="shared" si="19"/>
        <v>0.82126326241852132</v>
      </c>
      <c r="AI11" s="140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11" s="6">
        <f>IF(AJ11&lt;&gt;"",IF(AJ11=0,COUNTIF(AJ$2:AJ10,0)+1,COUNTIF(AJ$2:AJ10,AJ11)+AJ11+COUNTIF(AJ:AJ,0)),"")</f>
        <v>5</v>
      </c>
      <c r="AL11" s="6">
        <f t="shared" si="20"/>
        <v>5</v>
      </c>
      <c r="AM11" s="3" t="str">
        <f>IF(AND(Include_study?="Yes",Sufficient_data="Yes",Input!Study_name&lt;&gt;""),Input!Study_name,"")</f>
        <v>Yildirim et al.</v>
      </c>
      <c r="AN11" s="6">
        <f t="shared" si="21"/>
        <v>5531</v>
      </c>
      <c r="AO11" s="3">
        <f t="shared" si="22"/>
        <v>0.56885443878108499</v>
      </c>
      <c r="AP11" s="3">
        <f t="shared" si="23"/>
        <v>29.203289772247032</v>
      </c>
      <c r="AQ11" s="3">
        <f t="shared" si="24"/>
        <v>12.276748826935812</v>
      </c>
      <c r="AR11" s="3">
        <f t="shared" si="25"/>
        <v>0.18504787877833037</v>
      </c>
      <c r="AS11" s="3">
        <f t="shared" si="26"/>
        <v>0.3957797978400841</v>
      </c>
      <c r="AT11" s="3">
        <f t="shared" si="27"/>
        <v>0.81761467939223298</v>
      </c>
      <c r="AU11" s="80">
        <f t="shared" si="28"/>
        <v>0.13855552165763022</v>
      </c>
      <c r="AW11" s="44">
        <f t="shared" si="29"/>
        <v>0.56885443878108499</v>
      </c>
      <c r="AX11" s="3">
        <f t="shared" si="30"/>
        <v>0.17307464094100089</v>
      </c>
      <c r="AY11" s="35">
        <f t="shared" si="31"/>
        <v>0.24876024061114799</v>
      </c>
      <c r="BD11" s="140"/>
      <c r="BE11" s="134"/>
      <c r="BF11" s="3">
        <f t="shared" si="32"/>
        <v>-0.56413069694856588</v>
      </c>
      <c r="BG11" s="3">
        <f t="shared" si="33"/>
        <v>0.18504787877833037</v>
      </c>
      <c r="BH11" s="3">
        <f t="shared" si="34"/>
        <v>29.203289772247032</v>
      </c>
      <c r="BI11" s="3">
        <f t="shared" si="99"/>
        <v>12.276748826935812</v>
      </c>
      <c r="BJ11" s="35">
        <f t="shared" si="35"/>
        <v>1.8426289780290706E-2</v>
      </c>
      <c r="BL11" s="3" t="s">
        <v>323</v>
      </c>
      <c r="BM11" s="3">
        <f>IF(Model_effect_size_measure="Risk Difference",CES_IV-ABS(TINV((1-Confidence_level),k_-1))*SECES_Risk_Difference,EXP(CIlnCES_LL))</f>
        <v>0.42164344996941439</v>
      </c>
      <c r="BO11" s="124"/>
      <c r="BP11" s="3">
        <f t="shared" si="36"/>
        <v>21.573646718495752</v>
      </c>
      <c r="BQ11" s="3">
        <f t="shared" si="37"/>
        <v>37.924722473332132</v>
      </c>
      <c r="BR11" s="3">
        <f t="shared" si="38"/>
        <v>8.5007422994557267</v>
      </c>
      <c r="BS11" s="3">
        <f>IF(AND(Sufficient_data="Yes",Include_study?="Yes"),IF(Add_0_5="Yes",(a_+d_+1)*(ab_+0.5)*(c_+0.5)/(Number_of_subjects+2)^2,(a_+d_)*b_*c_/Number_of_subjects^2),"")</f>
        <v>14.943616011278255</v>
      </c>
      <c r="BT11" s="3">
        <f t="shared" si="39"/>
        <v>13.072904419040023</v>
      </c>
      <c r="BU11" s="3">
        <f t="shared" si="40"/>
        <v>22.981106462053873</v>
      </c>
      <c r="BV11" s="3">
        <f t="shared" si="41"/>
        <v>37.924722473332132</v>
      </c>
      <c r="BW11" s="3">
        <f t="shared" si="42"/>
        <v>1.9679948499089816E-3</v>
      </c>
      <c r="BX11" s="3">
        <f t="shared" si="43"/>
        <v>14.153655386504605</v>
      </c>
      <c r="BY11" s="35">
        <f t="shared" si="44"/>
        <v>1.6083125261071696E-2</v>
      </c>
      <c r="CA11" s="3" t="s">
        <v>323</v>
      </c>
      <c r="CB11" s="3">
        <f>EXP(CIlnCES_LL_MH)</f>
        <v>0.42378025180287504</v>
      </c>
      <c r="CD11" s="124"/>
      <c r="CE11" s="76">
        <f t="shared" si="45"/>
        <v>72.551075754836376</v>
      </c>
      <c r="CF11" s="3">
        <f t="shared" si="46"/>
        <v>28.06993348615385</v>
      </c>
      <c r="CG11" s="3">
        <f t="shared" si="47"/>
        <v>-0.58251209476153276</v>
      </c>
      <c r="CH11" s="3">
        <f t="shared" si="48"/>
        <v>3.5625307074321121E-2</v>
      </c>
      <c r="CI11" s="3">
        <f t="shared" si="49"/>
        <v>28.06993348615385</v>
      </c>
      <c r="CJ11" s="3">
        <f t="shared" si="50"/>
        <v>8.7135844083111813</v>
      </c>
      <c r="CK11" s="35">
        <f t="shared" si="51"/>
        <v>3.9680003638198014E-2</v>
      </c>
      <c r="CM11" s="3" t="s">
        <v>323</v>
      </c>
      <c r="CN11" s="3">
        <f>EXP(CIlnCES_LL_Peto)</f>
        <v>0.37179105409346913</v>
      </c>
      <c r="CP11" s="124"/>
      <c r="CQ11" s="52">
        <f t="shared" si="52"/>
        <v>2.9172382258802011E-2</v>
      </c>
      <c r="CS11" s="2" t="s">
        <v>297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0.56704308090016498</v>
      </c>
      <c r="CU11" s="3">
        <f>IF(Model_effect_size_measure="Odds Ratio",CES_OddsRatio_MH/(1-MEDIAN(Control_group_risk)+(MEDIAN(Control_group_risk)*CES_OddsRatio_MH)),NA())</f>
        <v>0.56834742145576178</v>
      </c>
      <c r="CV11" s="3" t="e">
        <f>IF(Model_effect_size_measure="Peto Odds Ratio",CES_PetoOddsRatio/(1-MEDIAN(Control_group_risk)+(MEDIAN(Control_group_risk)*CES_PetoOddsRatio)),NA())</f>
        <v>#N/A</v>
      </c>
      <c r="CX11" s="140"/>
      <c r="CY11" s="48">
        <f t="shared" si="53"/>
        <v>4</v>
      </c>
      <c r="CZ11" s="6" t="str">
        <f t="shared" si="54"/>
        <v>Yildirim et al.</v>
      </c>
      <c r="DA11" s="17" t="str">
        <f t="shared" si="55"/>
        <v>English</v>
      </c>
      <c r="DB11" s="3">
        <f t="shared" si="56"/>
        <v>-0.56413069694856588</v>
      </c>
      <c r="DC11" s="3">
        <f t="shared" si="57"/>
        <v>0.18504787877833037</v>
      </c>
      <c r="DD11" s="3">
        <f t="shared" si="58"/>
        <v>29.203289772247032</v>
      </c>
      <c r="DE11" s="3">
        <f t="shared" si="59"/>
        <v>11.291175864148194</v>
      </c>
      <c r="DF11" s="80">
        <f t="shared" si="60"/>
        <v>0.16211459264590064</v>
      </c>
      <c r="DG11" s="3">
        <f t="shared" si="61"/>
        <v>0.56885443878108499</v>
      </c>
      <c r="DH11" s="3">
        <f t="shared" si="62"/>
        <v>0.39577980352489356</v>
      </c>
      <c r="DI11" s="3">
        <f t="shared" si="63"/>
        <v>0.81761466764837043</v>
      </c>
      <c r="DJ11" s="35" t="e">
        <f t="shared" si="64"/>
        <v>#DIV/0!</v>
      </c>
      <c r="DL11" s="44">
        <f t="shared" si="65"/>
        <v>0.56885443878108499</v>
      </c>
      <c r="DM11" s="3">
        <f t="shared" si="100"/>
        <v>0.17307463525619143</v>
      </c>
      <c r="DN11" s="35">
        <f t="shared" si="101"/>
        <v>0.24876022886728544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212</v>
      </c>
      <c r="EY11" s="3" t="e">
        <f>IF(Subgroup_valid_options="Yes",IF(Subgroup_effect_size_measure="Risk Difference",EY9-ABS(TINV((1-Subgroup_confidence_level),Subgroup_k-1))*EY10,EXP(EY4)),"")</f>
        <v>#DIV/0!</v>
      </c>
      <c r="FA11" s="140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259</v>
      </c>
      <c r="FP11" s="2" t="s">
        <v>260</v>
      </c>
      <c r="FR11" s="140"/>
      <c r="FS11" s="134"/>
      <c r="FT11" s="76">
        <f>IF(AND(Include_study?="Yes",Sufficient_data="Yes"),IF(Additional_weighting_method="Inverse Variance",1/'Publication Bias Analysis'!F:F^2,IF(Additional_weighting_method="Mantel-Haenszel",Weightf_MH,Weightf_Peto)),"")</f>
        <v>29.203289772247032</v>
      </c>
      <c r="FU11" s="3">
        <f>IF(AND(Include_study?="Yes",Sufficient_data="Yes"),1/('Publication Bias Analysis'!F:F^2+IF(Additional_model="Fixed effect",0,Calculations!GH$12)),"")</f>
        <v>29.203289772247032</v>
      </c>
      <c r="FV11" s="3">
        <f>IF(AND(Include_study?="Yes",Sufficient_data="Yes"),1/('Publication Bias Analysis'!F:F^2+IF(Additional_model="Fixed effect",0,'Publication Bias Analysis'!L$32)),"")</f>
        <v>29.203289772247032</v>
      </c>
      <c r="FW11" s="3">
        <f>IF(AND(Include_study?="Yes",Sufficient_data="Yes"),'Publication Bias Analysis'!E:E-'Publication Bias Analysis'!I$37,"")</f>
        <v>1.0695555697335379E-3</v>
      </c>
      <c r="FX11" s="3">
        <f>IF(AND(Include_study?="Yes",Sufficient_data="Yes"),IF(Additional_model="Fixed effect",1/'Publication Bias Analysis'!F:F,1/SQRT('Publication Bias Analysis'!F:F^2+GH$12)),"")</f>
        <v>5.4040068257032239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-3.0485661368987667</v>
      </c>
      <c r="FZ11" s="6">
        <f t="shared" si="80"/>
        <v>-1</v>
      </c>
      <c r="GA11" s="83">
        <f>IF(AND(Include_study?="Yes",Sufficient_data="Yes"),FZ:FZ+IF(GL:GL&lt;0,-1,1)*COUNTIF(FZ$2:FZ10,FZ:FZ),"")</f>
        <v>-1</v>
      </c>
      <c r="GB11" s="83">
        <f>IF(AND(Include_study?="Yes",Sufficient_data="Yes"),RANK(GP:GP,GP:GP,1)*IF(GO:GO&lt;0,-1,1)+IF(GO:GO&lt;0,-1,1)*COUNTIF(FZ$2:FZ10,FZ:FZ),"")</f>
        <v>-1</v>
      </c>
      <c r="GC11" s="83">
        <f>IF(AND(Include_study?="Yes",Sufficient_data="Yes"),RANK(GS:GS,GS:GS,1)*IF(GR:GR&lt;0,-1,1)+IF(GR:GR&lt;0,-1,1)*COUNTIF(FZ$2:FZ10,FZ:FZ),"")</f>
        <v>-1</v>
      </c>
      <c r="GD11" s="3">
        <f>IF(AND(Include_study?="Yes",Sufficient_data="Yes"),'Publication Bias Analysis'!E11,NA())</f>
        <v>-0.56413069694856588</v>
      </c>
      <c r="GE11" s="35">
        <f>IF(AND(Include_study?="Yes",Sufficient_data="Yes"),'Publication Bias Analysis'!F11,NA())</f>
        <v>0.18504787877833037</v>
      </c>
      <c r="GG11" s="2" t="s">
        <v>74</v>
      </c>
      <c r="GH11" s="3">
        <f>SUMPRODUCT(Calculations!FT:FT,'Publication Bias Analysis'!E:E,'Publication Bias Analysis'!E:E)-SUMPRODUCT(Calculations!FT:FT,'Publication Bias Analysis'!E:E)^2/SUM(Calculations!FT:FT)</f>
        <v>15.066731397009278</v>
      </c>
      <c r="GK11" s="124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-1.0695555697335379E-3</v>
      </c>
      <c r="GM11" s="3">
        <f t="shared" si="81"/>
        <v>1.0695555697335379E-3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29.203289772247032</v>
      </c>
      <c r="GO11" s="3">
        <f>IF(AND(Include_study?="Yes",Sufficient_data="Yes"),IF('Publication Bias Analysis'!L$38="Left",'Publication Bias Analysis'!E:E-GW$3,GW$3-'Publication Bias Analysis'!E:E),"")</f>
        <v>-1.0695555697335379E-3</v>
      </c>
      <c r="GP11" s="3">
        <f t="shared" si="82"/>
        <v>1.0695555697335379E-3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29.203289772247032</v>
      </c>
      <c r="GR11" s="3">
        <f>IF(AND(Include_study?="Yes",Sufficient_data="Yes"),IF('Publication Bias Analysis'!L$38="Left",'Publication Bias Analysis'!E:E-GW$10,GW$10-'Publication Bias Analysis'!E:E),"")</f>
        <v>-1.0695555697335379E-3</v>
      </c>
      <c r="GS11" s="3">
        <f t="shared" si="83"/>
        <v>1.0695555697335379E-3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29.203289772247032</v>
      </c>
      <c r="GV11" s="122" t="s">
        <v>73</v>
      </c>
      <c r="GW11" s="122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4"/>
      <c r="HL11" s="3">
        <f t="shared" si="89"/>
        <v>-0.24260413562947836</v>
      </c>
      <c r="HM11" s="35">
        <f>IF(AND(Include_study?="Yes",Sufficient_data="Yes"),Z_score-('Publication Bias Analysis'!P$3+'Publication Bias Analysis'!P$4*Inverse_standard_error),"")</f>
        <v>0.50523349665396777</v>
      </c>
      <c r="HO11" s="124"/>
      <c r="HP11" s="3">
        <f>IF(AND(Include_study?="Yes",Sufficient_data="Yes"),(GD:GD-SUMPRODUCT(Calculations!FT:FT,'Publication Bias Analysis'!E:E)/SUM(Calculations!FT:FT))/SQRT(Calculations!HQ:HQ),"")</f>
        <v>6.1953827004951213E-3</v>
      </c>
      <c r="HQ11" s="3">
        <f>IF(AND(Include_study?="Yes",Sufficient_data="Yes"),GE:GE^2-1/SUM(Calculations!FT:FT),"")</f>
        <v>2.9803716926975265E-2</v>
      </c>
      <c r="HR11" s="6">
        <f t="shared" si="90"/>
        <v>4</v>
      </c>
      <c r="HS11" s="6">
        <f t="shared" si="91"/>
        <v>2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2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4</v>
      </c>
      <c r="HW11" s="124"/>
      <c r="IB11" s="124"/>
      <c r="IC11" s="76">
        <f t="shared" si="92"/>
        <v>1.6806220095693779E-2</v>
      </c>
      <c r="ID11" s="3">
        <f t="shared" si="93"/>
        <v>2.9172382258802011E-2</v>
      </c>
      <c r="IE11" s="3">
        <f t="shared" si="94"/>
        <v>30.570489604307351</v>
      </c>
      <c r="IF11" s="35">
        <f t="shared" si="95"/>
        <v>29.203289772247032</v>
      </c>
      <c r="IK11" s="124"/>
      <c r="IL11" s="3">
        <f>IF(AND(Include_study?="Yes",Sufficient_data="Yes"),'Publication Bias Analysis'!AV:AV,NA())</f>
        <v>-3.0485661368987667</v>
      </c>
      <c r="IM11" s="3">
        <f>IF(AND(Sufficient_data="Yes",Include_study?="Yes"),'Publication Bias Analysis'!AU:AU,NA())</f>
        <v>5.4040068257032239</v>
      </c>
      <c r="IN11" s="3">
        <f t="shared" si="96"/>
        <v>-0.24260413562947836</v>
      </c>
      <c r="IO11" s="35">
        <f>IF(AND(Include_study?="Yes",Sufficient_data="Yes"),Z_score-('Publication Bias Analysis'!AY$30+'Publication Bias Analysis'!AY$31*Inverse_standard_error),"")</f>
        <v>5.7798855993089759E-3</v>
      </c>
      <c r="IU11" s="124"/>
      <c r="IV11" s="6">
        <f>IF('Publication Bias Analysis'!BG:BG&lt;&gt;"",RANK('Publication Bias Analysis'!BG:BG,'Publication Bias Analysis'!BG:BG,1)+COUNTIF('Publication Bias Analysis'!BG$2:BG10,'Publication Bias Analysis'!BG11),"")</f>
        <v>4</v>
      </c>
      <c r="IW11" s="3">
        <f t="shared" si="97"/>
        <v>0.5</v>
      </c>
      <c r="IX11" s="3">
        <f>IF('Publication Bias Analysis'!BF11&lt;&gt;"",'Publication Bias Analysis'!BF11,NA())</f>
        <v>0</v>
      </c>
      <c r="IY11" s="3">
        <f>IF('Publication Bias Analysis'!BG11&lt;&gt;"",'Publication Bias Analysis'!BG11,NA())</f>
        <v>-3.0485661368987667</v>
      </c>
      <c r="IZ11" s="3">
        <f>IF(AND(Include_study?="Yes",Sufficient_data="Yes"),'Publication Bias Analysis'!BF:BF-AVERAGE('Publication Bias Analysis'!BF:BF),"")</f>
        <v>-2.5376526277146434E-16</v>
      </c>
      <c r="JA11" s="35">
        <f>IF(AND(Include_study?="Yes",Sufficient_data="Yes"),'Publication Bias Analysis'!BG:BG-('Publication Bias Analysis'!BJ$30+'Publication Bias Analysis'!BJ$31*'Publication Bias Analysis'!BF:BF),"")</f>
        <v>0.23215163980071196</v>
      </c>
      <c r="JG11" s="124"/>
      <c r="JH11" s="3">
        <f t="shared" si="98"/>
        <v>-3.0485661368987667</v>
      </c>
      <c r="JI11" s="10">
        <f t="shared" si="124"/>
        <v>1.1496814687891321E-3</v>
      </c>
      <c r="JJ11" s="35">
        <f t="shared" si="125"/>
        <v>-6.7682703586356618</v>
      </c>
    </row>
    <row r="12" spans="1:270" ht="14" x14ac:dyDescent="0.35">
      <c r="A12" s="2">
        <f t="shared" si="0"/>
        <v>6</v>
      </c>
      <c r="B12" s="6">
        <f>IF(AND(Include_study?="Yes",Sufficient_data="Yes"),IF(Input!a_&lt;&gt;"",Input!a_,Input!n1_-Input!b_),"")</f>
        <v>70</v>
      </c>
      <c r="C12" s="6">
        <f>IF(AND(Include_study?="Yes",Sufficient_data="Yes"),IF(Input!b_&lt;&gt;"",Input!b_,Input!n1_-Input!a_),"")</f>
        <v>3274</v>
      </c>
      <c r="D12" s="6">
        <f>IF(AND(Include_study?="Yes",Sufficient_data="Yes"),IF(Input!c_&lt;&gt;"",Input!c_,Input!n2_-Input!d_),"")</f>
        <v>82</v>
      </c>
      <c r="E12" s="6">
        <f>IF(AND(Include_study?="Yes",Sufficient_data="Yes"),IF(Input!d_&lt;&gt;"",Input!d_,Input!n2_-Input!c_),"")</f>
        <v>2105</v>
      </c>
      <c r="F12" s="35" t="str">
        <f t="shared" si="1"/>
        <v>No</v>
      </c>
      <c r="H12" s="140"/>
      <c r="I12" s="134"/>
      <c r="J12" s="76">
        <f t="shared" si="2"/>
        <v>0.5488549845791677</v>
      </c>
      <c r="K12" s="3">
        <f t="shared" si="3"/>
        <v>-0.59992101702949263</v>
      </c>
      <c r="L12" s="3">
        <f t="shared" si="4"/>
        <v>0.1651100614558188</v>
      </c>
      <c r="M12" s="3">
        <f t="shared" si="5"/>
        <v>0.39708629732880296</v>
      </c>
      <c r="N12" s="35">
        <f t="shared" si="6"/>
        <v>0.75863054485599235</v>
      </c>
      <c r="P12" s="124"/>
      <c r="Q12" s="76">
        <f t="shared" si="7"/>
        <v>0.53818584904559641</v>
      </c>
      <c r="R12" s="3">
        <f t="shared" si="8"/>
        <v>0.16820392746467216</v>
      </c>
      <c r="S12" s="3">
        <f t="shared" si="9"/>
        <v>0.38701293640703649</v>
      </c>
      <c r="T12" s="35">
        <f t="shared" si="10"/>
        <v>0.74840911211376049</v>
      </c>
      <c r="V12" s="124"/>
      <c r="W12" s="76">
        <f t="shared" si="11"/>
        <v>-1.6561270053797667E-2</v>
      </c>
      <c r="X12" s="3">
        <f t="shared" si="12"/>
        <v>4.7571198799826134E-3</v>
      </c>
      <c r="Y12" s="3">
        <f t="shared" si="13"/>
        <v>-2.5887095216553649E-2</v>
      </c>
      <c r="Z12" s="35">
        <f t="shared" si="14"/>
        <v>-7.2354448910416837E-3</v>
      </c>
      <c r="AB12" s="124"/>
      <c r="AC12" s="76">
        <f t="shared" si="15"/>
        <v>0.55829880966273782</v>
      </c>
      <c r="AD12" s="3">
        <f t="shared" si="16"/>
        <v>-0.58286095874271848</v>
      </c>
      <c r="AE12" s="3">
        <f t="shared" si="17"/>
        <v>0.16038873340701093</v>
      </c>
      <c r="AF12" s="3">
        <f t="shared" si="18"/>
        <v>0.40767461667608235</v>
      </c>
      <c r="AG12" s="35">
        <f t="shared" si="19"/>
        <v>0.76457436426190117</v>
      </c>
      <c r="AI12" s="140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12" s="6">
        <f>IF(AJ12&lt;&gt;"",IF(AJ12=0,COUNTIF(AJ$2:AJ11,0)+1,COUNTIF(AJ$2:AJ11,AJ12)+AJ12+COUNTIF(AJ:AJ,0)),"")</f>
        <v>6</v>
      </c>
      <c r="AL12" s="6">
        <f t="shared" si="20"/>
        <v>6</v>
      </c>
      <c r="AM12" s="3" t="str">
        <f>IF(AND(Include_study?="Yes",Sufficient_data="Yes",Input!Study_name&lt;&gt;""),Input!Study_name,"")</f>
        <v>Mustaqim et al. (B)</v>
      </c>
      <c r="AN12" s="6">
        <f t="shared" si="21"/>
        <v>5531</v>
      </c>
      <c r="AO12" s="3">
        <f t="shared" si="22"/>
        <v>0.5488549845791677</v>
      </c>
      <c r="AP12" s="3">
        <f t="shared" si="23"/>
        <v>36.681992851608989</v>
      </c>
      <c r="AQ12" s="3">
        <f t="shared" si="24"/>
        <v>13.427612151979183</v>
      </c>
      <c r="AR12" s="3">
        <f t="shared" si="25"/>
        <v>0.1651100614558188</v>
      </c>
      <c r="AS12" s="3">
        <f t="shared" si="26"/>
        <v>0.39708629732880296</v>
      </c>
      <c r="AT12" s="3">
        <f t="shared" si="27"/>
        <v>0.75863054485599235</v>
      </c>
      <c r="AU12" s="80">
        <f t="shared" si="28"/>
        <v>0.15154417774287643</v>
      </c>
      <c r="AW12" s="44">
        <f t="shared" si="29"/>
        <v>0.5488549845791677</v>
      </c>
      <c r="AX12" s="3">
        <f t="shared" si="30"/>
        <v>0.15176868725036474</v>
      </c>
      <c r="AY12" s="35">
        <f t="shared" si="31"/>
        <v>0.20977556027682465</v>
      </c>
      <c r="BD12" s="140"/>
      <c r="BE12" s="134"/>
      <c r="BF12" s="3">
        <f t="shared" si="32"/>
        <v>-0.59992101702949263</v>
      </c>
      <c r="BG12" s="3">
        <f t="shared" si="33"/>
        <v>0.1651100614558188</v>
      </c>
      <c r="BH12" s="3">
        <f t="shared" si="34"/>
        <v>36.681992851608989</v>
      </c>
      <c r="BI12" s="3">
        <f t="shared" si="99"/>
        <v>13.427612151979183</v>
      </c>
      <c r="BJ12" s="35">
        <f t="shared" si="35"/>
        <v>-1.7364030300636046E-2</v>
      </c>
      <c r="BL12" s="3" t="s">
        <v>324</v>
      </c>
      <c r="BM12" s="3">
        <f>IF(Model_effect_size_measure="Risk Difference",CES_IV+ABS(TINV((1-Confidence_level),k_-1))*SECES_Risk_Difference,EXP(CIlnCES_UL))</f>
        <v>0.73969395985350306</v>
      </c>
      <c r="BO12" s="124"/>
      <c r="BP12" s="3">
        <f t="shared" si="36"/>
        <v>26.640752124389802</v>
      </c>
      <c r="BQ12" s="3">
        <f t="shared" si="37"/>
        <v>48.538781413849215</v>
      </c>
      <c r="BR12" s="3">
        <f t="shared" si="38"/>
        <v>10.476159079831463</v>
      </c>
      <c r="BS12" s="3">
        <f>IF(AND(Sufficient_data="Yes",Include_study?="Yes"),IF(Add_0_5="Yes",(a_+d_+1)*(ab_+0.5)*(c_+0.5)/(Number_of_subjects+2)^2,(a_+d_)*b_*c_/Number_of_subjects^2),"")</f>
        <v>19.087298784147901</v>
      </c>
      <c r="BT12" s="3">
        <f t="shared" si="39"/>
        <v>16.164593044558341</v>
      </c>
      <c r="BU12" s="3">
        <f t="shared" si="40"/>
        <v>29.451482629701314</v>
      </c>
      <c r="BV12" s="3">
        <f t="shared" si="41"/>
        <v>48.538781413849215</v>
      </c>
      <c r="BW12" s="3">
        <f t="shared" si="42"/>
        <v>7.1014499365063224E-2</v>
      </c>
      <c r="BX12" s="3">
        <f t="shared" si="43"/>
        <v>15.705554491204419</v>
      </c>
      <c r="BY12" s="35">
        <f t="shared" si="44"/>
        <v>-1.9707194819855056E-2</v>
      </c>
      <c r="CA12" s="3" t="s">
        <v>324</v>
      </c>
      <c r="CB12" s="3">
        <f>EXP(CIlnCES_UL_MH)</f>
        <v>0.73942130997090616</v>
      </c>
      <c r="CD12" s="124"/>
      <c r="CE12" s="76">
        <f t="shared" si="45"/>
        <v>91.898029289459416</v>
      </c>
      <c r="CF12" s="3">
        <f t="shared" si="46"/>
        <v>35.344979636769665</v>
      </c>
      <c r="CG12" s="3">
        <f t="shared" si="47"/>
        <v>-0.61955133414983554</v>
      </c>
      <c r="CH12" s="3">
        <f t="shared" si="48"/>
        <v>2.8292561214540692E-2</v>
      </c>
      <c r="CI12" s="3">
        <f t="shared" si="49"/>
        <v>35.344979636769665</v>
      </c>
      <c r="CJ12" s="3">
        <f t="shared" si="50"/>
        <v>9.3083358748071845</v>
      </c>
      <c r="CK12" s="35">
        <f t="shared" si="51"/>
        <v>2.6407642498952333E-3</v>
      </c>
      <c r="CM12" s="3" t="s">
        <v>324</v>
      </c>
      <c r="CN12" s="3">
        <f>EXP(CIlnCES_UL_Peto)</f>
        <v>0.77494677318914051</v>
      </c>
      <c r="CP12" s="124"/>
      <c r="CQ12" s="52">
        <f t="shared" si="52"/>
        <v>3.7494284407864654E-2</v>
      </c>
      <c r="CS12" s="2" t="s">
        <v>111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0.43016390240640817</v>
      </c>
      <c r="CU12" s="3">
        <f>IF(Model_effect_size_measure="Odds Ratio",CICES_LL_MH/(1-MEDIAN(Control_group_risk)+(MEDIAN(Control_group_risk)*CICES_LL_MH)),"")</f>
        <v>0.43231160790257273</v>
      </c>
      <c r="CV12" s="3" t="str">
        <f>IF(Model_effect_size_measure="Peto Odds Ratio",CICES_LL_Peto/(1-MEDIAN(Control_group_risk)+(MEDIAN(Control_group_risk)*CICES_LL_Peto)),"")</f>
        <v/>
      </c>
      <c r="CX12" s="140"/>
      <c r="CY12" s="48">
        <f t="shared" si="53"/>
        <v>5</v>
      </c>
      <c r="CZ12" s="6" t="str">
        <f t="shared" si="54"/>
        <v>Mustaqim et al. (B)</v>
      </c>
      <c r="DA12" s="17" t="str">
        <f t="shared" si="55"/>
        <v>English</v>
      </c>
      <c r="DB12" s="3">
        <f t="shared" si="56"/>
        <v>-0.59992101702949263</v>
      </c>
      <c r="DC12" s="3">
        <f t="shared" si="57"/>
        <v>0.1651100614558188</v>
      </c>
      <c r="DD12" s="3">
        <f t="shared" si="58"/>
        <v>36.681992851608989</v>
      </c>
      <c r="DE12" s="3">
        <f t="shared" si="59"/>
        <v>12.25740299540991</v>
      </c>
      <c r="DF12" s="80">
        <f t="shared" si="60"/>
        <v>0.17598733005363804</v>
      </c>
      <c r="DG12" s="3">
        <f t="shared" si="61"/>
        <v>0.5488549845791677</v>
      </c>
      <c r="DH12" s="3">
        <f t="shared" si="62"/>
        <v>0.39708630241785181</v>
      </c>
      <c r="DI12" s="3">
        <f t="shared" si="63"/>
        <v>0.75863053513340095</v>
      </c>
      <c r="DJ12" s="35" t="e">
        <f t="shared" si="64"/>
        <v>#DIV/0!</v>
      </c>
      <c r="DL12" s="44">
        <f t="shared" si="65"/>
        <v>0.5488549845791677</v>
      </c>
      <c r="DM12" s="3">
        <f t="shared" si="100"/>
        <v>0.15176868216131589</v>
      </c>
      <c r="DN12" s="35">
        <f t="shared" si="101"/>
        <v>0.20977555055423325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213</v>
      </c>
      <c r="EY12" s="3" t="e">
        <f>IF(Subgroup_valid_options="Yes",IF(Subgroup_effect_size_measure="Risk Difference",EY9+ABS(TINV((1-Subgroup_confidence_level),Subgroup_k-1))*EY10,EXP(EY5)),"")</f>
        <v>#DIV/0!</v>
      </c>
      <c r="FA12" s="140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0"/>
      <c r="FS12" s="134"/>
      <c r="FT12" s="76">
        <f>IF(AND(Include_study?="Yes",Sufficient_data="Yes"),IF(Additional_weighting_method="Inverse Variance",1/'Publication Bias Analysis'!F:F^2,IF(Additional_weighting_method="Mantel-Haenszel",Weightf_MH,Weightf_Peto)),"")</f>
        <v>36.681992851608989</v>
      </c>
      <c r="FU12" s="3">
        <f>IF(AND(Include_study?="Yes",Sufficient_data="Yes"),1/('Publication Bias Analysis'!F:F^2+IF(Additional_model="Fixed effect",0,Calculations!GH$12)),"")</f>
        <v>36.681992851608989</v>
      </c>
      <c r="FV12" s="3">
        <f>IF(AND(Include_study?="Yes",Sufficient_data="Yes"),1/('Publication Bias Analysis'!F:F^2+IF(Additional_model="Fixed effect",0,'Publication Bias Analysis'!L$32)),"")</f>
        <v>36.681992851608989</v>
      </c>
      <c r="FW12" s="3">
        <f>IF(AND(Include_study?="Yes",Sufficient_data="Yes"),'Publication Bias Analysis'!E:E-'Publication Bias Analysis'!I$37,"")</f>
        <v>-3.4720764511193214E-2</v>
      </c>
      <c r="FX12" s="3">
        <f>IF(AND(Include_study?="Yes",Sufficient_data="Yes"),IF(Additional_model="Fixed effect",1/'Publication Bias Analysis'!F:F,1/SQRT('Publication Bias Analysis'!F:F^2+GH$12)),"")</f>
        <v>6.0565660940510666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-3.6334612908494575</v>
      </c>
      <c r="FZ12" s="6">
        <f t="shared" si="80"/>
        <v>2</v>
      </c>
      <c r="GA12" s="83">
        <f>IF(AND(Include_study?="Yes",Sufficient_data="Yes"),FZ:FZ+IF(GL:GL&lt;0,-1,1)*COUNTIF(FZ$2:FZ11,FZ:FZ),"")</f>
        <v>2</v>
      </c>
      <c r="GB12" s="83">
        <f>IF(AND(Include_study?="Yes",Sufficient_data="Yes"),RANK(GP:GP,GP:GP,1)*IF(GO:GO&lt;0,-1,1)+IF(GO:GO&lt;0,-1,1)*COUNTIF(FZ$2:FZ11,FZ:FZ),"")</f>
        <v>2</v>
      </c>
      <c r="GC12" s="83">
        <f>IF(AND(Include_study?="Yes",Sufficient_data="Yes"),RANK(GS:GS,GS:GS,1)*IF(GR:GR&lt;0,-1,1)+IF(GR:GR&lt;0,-1,1)*COUNTIF(FZ$2:FZ11,FZ:FZ),"")</f>
        <v>2</v>
      </c>
      <c r="GD12" s="3">
        <f>IF(AND(Include_study?="Yes",Sufficient_data="Yes"),'Publication Bias Analysis'!E12,NA())</f>
        <v>-0.59992101702949263</v>
      </c>
      <c r="GE12" s="35">
        <f>IF(AND(Include_study?="Yes",Sufficient_data="Yes"),'Publication Bias Analysis'!F12,NA())</f>
        <v>0.1651100614558188</v>
      </c>
      <c r="GG12" s="2" t="s">
        <v>162</v>
      </c>
      <c r="GH12" s="3">
        <f>MAX(0,(GH11-(k_-1))/((SUM(Calculations!FT:FT))-SUMPRODUCT(Calculations!FT:FT,Calculations!FT:FT)/SUM(Calculations!FT:FT)))</f>
        <v>4.721207275669554E-2</v>
      </c>
      <c r="GK12" s="124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3.4720764511193214E-2</v>
      </c>
      <c r="GM12" s="3">
        <f t="shared" si="81"/>
        <v>3.4720764511193214E-2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36.681992851608989</v>
      </c>
      <c r="GO12" s="3">
        <f>IF(AND(Include_study?="Yes",Sufficient_data="Yes"),IF('Publication Bias Analysis'!L$38="Left",'Publication Bias Analysis'!E:E-GW$3,GW$3-'Publication Bias Analysis'!E:E),"")</f>
        <v>3.4720764511193214E-2</v>
      </c>
      <c r="GP12" s="3">
        <f t="shared" si="82"/>
        <v>3.4720764511193214E-2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36.681992851608989</v>
      </c>
      <c r="GR12" s="3">
        <f>IF(AND(Include_study?="Yes",Sufficient_data="Yes"),IF('Publication Bias Analysis'!L$38="Left",'Publication Bias Analysis'!E:E-GW$10,GW$10-'Publication Bias Analysis'!E:E),"")</f>
        <v>3.4720764511193214E-2</v>
      </c>
      <c r="GS12" s="3">
        <f t="shared" si="83"/>
        <v>3.4720764511193214E-2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36.681992851608989</v>
      </c>
      <c r="GV12" s="2" t="s">
        <v>74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15.066731397009278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4"/>
      <c r="HL12" s="3">
        <f t="shared" si="89"/>
        <v>0.40995513271836437</v>
      </c>
      <c r="HM12" s="35">
        <f>IF(AND(Include_study?="Yes",Sufficient_data="Yes"),Z_score-('Publication Bias Analysis'!P$3+'Publication Bias Analysis'!P$4*Inverse_standard_error),"")</f>
        <v>-0.81420023490528459</v>
      </c>
      <c r="HO12" s="124"/>
      <c r="HP12" s="3">
        <f>IF(AND(Include_study?="Yes",Sufficient_data="Yes"),(GD:GD-SUMPRODUCT(Calculations!FT:FT,'Publication Bias Analysis'!E:E)/SUM(Calculations!FT:FT))/SQRT(Calculations!HQ:HQ),"")</f>
        <v>-0.22983135155506676</v>
      </c>
      <c r="HQ12" s="3">
        <f>IF(AND(Include_study?="Yes",Sufficient_data="Yes"),GE:GE^2-1/SUM(Calculations!FT:FT),"")</f>
        <v>2.2822331880559876E-2</v>
      </c>
      <c r="HR12" s="6">
        <f t="shared" si="90"/>
        <v>5</v>
      </c>
      <c r="HS12" s="6">
        <f t="shared" si="91"/>
        <v>6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5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1</v>
      </c>
      <c r="HW12" s="124"/>
      <c r="HX12" s="142" t="s">
        <v>325</v>
      </c>
      <c r="HY12" s="122"/>
      <c r="IB12" s="124"/>
      <c r="IC12" s="76">
        <f t="shared" si="92"/>
        <v>2.0933014354066987E-2</v>
      </c>
      <c r="ID12" s="3">
        <f t="shared" si="93"/>
        <v>3.7494284407864654E-2</v>
      </c>
      <c r="IE12" s="3">
        <f t="shared" si="94"/>
        <v>38.873378275475353</v>
      </c>
      <c r="IF12" s="35">
        <f t="shared" si="95"/>
        <v>36.681992851608989</v>
      </c>
      <c r="IK12" s="124"/>
      <c r="IL12" s="3">
        <f>IF(AND(Include_study?="Yes",Sufficient_data="Yes"),'Publication Bias Analysis'!AV:AV,NA())</f>
        <v>-3.6334612908494575</v>
      </c>
      <c r="IM12" s="3">
        <f>IF(AND(Sufficient_data="Yes",Include_study?="Yes"),'Publication Bias Analysis'!AU:AU,NA())</f>
        <v>6.0565660940510666</v>
      </c>
      <c r="IN12" s="3">
        <f t="shared" si="96"/>
        <v>0.40995513271836437</v>
      </c>
      <c r="IO12" s="35">
        <f>IF(AND(Include_study?="Yes",Sufficient_data="Yes"),Z_score-('Publication Bias Analysis'!AY$30+'Publication Bias Analysis'!AY$31*Inverse_standard_error),"")</f>
        <v>-0.21028860509802438</v>
      </c>
      <c r="IU12" s="124"/>
      <c r="IV12" s="6">
        <f>IF('Publication Bias Analysis'!BG:BG&lt;&gt;"",RANK('Publication Bias Analysis'!BG:BG,'Publication Bias Analysis'!BG:BG,1)+COUNTIF('Publication Bias Analysis'!BG$2:BG11,'Publication Bias Analysis'!BG12),"")</f>
        <v>3</v>
      </c>
      <c r="IW12" s="3">
        <f t="shared" si="97"/>
        <v>0.36363636363636365</v>
      </c>
      <c r="IX12" s="3">
        <f>IF('Publication Bias Analysis'!BF12&lt;&gt;"",'Publication Bias Analysis'!BF12,NA())</f>
        <v>-0.34875569551704472</v>
      </c>
      <c r="IY12" s="3">
        <f>IF('Publication Bias Analysis'!BG12&lt;&gt;"",'Publication Bias Analysis'!BG12,NA())</f>
        <v>-3.6334612908494575</v>
      </c>
      <c r="IZ12" s="3">
        <f>IF(AND(Include_study?="Yes",Sufficient_data="Yes"),'Publication Bias Analysis'!BF:BF-AVERAGE('Publication Bias Analysis'!BF:BF),"")</f>
        <v>-0.34875569551704499</v>
      </c>
      <c r="JA12" s="35">
        <f>IF(AND(Include_study?="Yes",Sufficient_data="Yes"),'Publication Bias Analysis'!BG:BG-('Publication Bias Analysis'!BJ$30+'Publication Bias Analysis'!BJ$31*'Publication Bias Analysis'!BF:BF),"")</f>
        <v>0.17798862808614402</v>
      </c>
      <c r="JG12" s="124"/>
      <c r="JH12" s="3">
        <f t="shared" si="98"/>
        <v>-3.6334612908494575</v>
      </c>
      <c r="JI12" s="10">
        <f t="shared" si="124"/>
        <v>1.3982220840691451E-4</v>
      </c>
      <c r="JJ12" s="35">
        <f t="shared" si="125"/>
        <v>-8.875138882362668</v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40"/>
      <c r="I13" s="134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4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4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4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40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40"/>
      <c r="BE13" s="134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326</v>
      </c>
      <c r="BM13" s="3">
        <f>IF(Model_effect_size_measure="Risk Difference",CES_IV-ABS(TINV((1-Confidence_level),k_-1))*SQRT(T2_+SECES_Risk_Difference^2),EXP(PIlnCES_LL))</f>
        <v>0.30607108577217085</v>
      </c>
      <c r="BO13" s="124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326</v>
      </c>
      <c r="CB13" s="3">
        <f>EXP(PIlnCES_LL_MH)</f>
        <v>0.32504750931552423</v>
      </c>
      <c r="CD13" s="124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326</v>
      </c>
      <c r="CN13" s="3">
        <f>EXP(PIlnCES_LL_Peto)</f>
        <v>0.24601157774871213</v>
      </c>
      <c r="CP13" s="124"/>
      <c r="CQ13" s="52" t="str">
        <f t="shared" si="52"/>
        <v/>
      </c>
      <c r="CS13" s="2" t="s">
        <v>112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0.74634758627242614</v>
      </c>
      <c r="CU13" s="3">
        <f>IF(Model_effect_size_measure="Odds Ratio",CICES_UL_MH/(1-MEDIAN(Control_group_risk)+(MEDIAN(Control_group_risk)*CICES_UL_MH)),"")</f>
        <v>0.74607951318214105</v>
      </c>
      <c r="CV13" s="3" t="str">
        <f>IF(Model_effect_size_measure="Peto Odds Ratio",CICES_UL_Peto/(1-MEDIAN(Control_group_risk)+(MEDIAN(Control_group_risk)*CICES_UL_Peto)),"")</f>
        <v/>
      </c>
      <c r="CX13" s="140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327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40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0"/>
      <c r="FS13" s="134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4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162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4.2004896025699762E-2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4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4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4"/>
      <c r="HX13" s="2" t="s">
        <v>328</v>
      </c>
      <c r="HY13" s="3">
        <f>MAX(MAX(Standardized_residual),ABS(MIN(Standardized_residual)))</f>
        <v>3.2285403009749349</v>
      </c>
      <c r="IB13" s="124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4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4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4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0"/>
      <c r="I14" s="134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4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4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4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0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0"/>
      <c r="BE14" s="134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329</v>
      </c>
      <c r="BM14" s="3">
        <f>IF(Model_effect_size_measure="Risk Difference",CES_IV+ABS(TINV((1-Confidence_level),k_-1))*SQRT(T2_+SECES_Risk_Difference^2),EXP(PIlnCES_UL))</f>
        <v>1.0190022110952586</v>
      </c>
      <c r="BO14" s="124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329</v>
      </c>
      <c r="CB14" s="3">
        <f>EXP(PIlnCES_UL_MH)</f>
        <v>0.96401953544492713</v>
      </c>
      <c r="CD14" s="124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329</v>
      </c>
      <c r="CN14" s="3">
        <f>EXP(PIlnCES_UL_Peto)</f>
        <v>1.171157391481066</v>
      </c>
      <c r="CP14" s="124"/>
      <c r="CQ14" s="52" t="str">
        <f t="shared" si="52"/>
        <v/>
      </c>
      <c r="CS14" s="2" t="s">
        <v>310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0.3135221137992083</v>
      </c>
      <c r="CU14" s="3">
        <f>IF(Model_effect_size_measure="Odds Ratio",PICES_LL_MH/(1-MEDIAN(Control_group_risk)+(MEDIAN(Control_group_risk)*PICES_LL_MH)),"")</f>
        <v>0.33273898962352055</v>
      </c>
      <c r="CV14" s="3" t="str">
        <f>IF(Model_effect_size_measure="Peto Odds Ratio",PICES_LL_Peto/(1-MEDIAN(Control_group_risk)+(MEDIAN(Control_group_risk)*PICES_LL_Peto)),"")</f>
        <v/>
      </c>
      <c r="CX14" s="140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>
        <f t="shared" si="102"/>
        <v>8</v>
      </c>
      <c r="DQ14" s="17" t="str">
        <f>IF(AND(Sufficient_data="Yes",Subgroup&lt;&gt;""),IF(COUNTIFS(Input!J$2:J16,"="&amp;"Yes",Input!C$2:C16,"="&amp;"Yes",Input!K$2:K16,"="&amp;Subgroup)&gt;0,"",Subgroup),"")</f>
        <v>Malay</v>
      </c>
      <c r="DR14" s="6">
        <f t="shared" si="103"/>
        <v>2</v>
      </c>
      <c r="DS14" s="6">
        <f t="shared" si="66"/>
        <v>0</v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330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40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0"/>
      <c r="FS14" s="134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2" t="s">
        <v>331</v>
      </c>
      <c r="GH14" s="122"/>
      <c r="GK14" s="124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316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4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4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4"/>
      <c r="HX14" s="2" t="s">
        <v>325</v>
      </c>
      <c r="HY14" s="21">
        <f>ROUND(HY13/4,1)</f>
        <v>0.8</v>
      </c>
      <c r="IB14" s="124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4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4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4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>
        <f t="shared" si="0"/>
        <v>7</v>
      </c>
      <c r="B15" s="6">
        <f>IF(AND(Include_study?="Yes",Sufficient_data="Yes"),IF(Input!a_&lt;&gt;"",Input!a_,Input!n1_-Input!b_),"")</f>
        <v>65.38</v>
      </c>
      <c r="C15" s="6">
        <f>IF(AND(Include_study?="Yes",Sufficient_data="Yes"),IF(Input!b_&lt;&gt;"",Input!b_,Input!n1_-Input!a_),"")</f>
        <v>2580.62</v>
      </c>
      <c r="D15" s="6">
        <f>IF(AND(Include_study?="Yes",Sufficient_data="Yes"),IF(Input!c_&lt;&gt;"",Input!c_,Input!n2_-Input!d_),"")</f>
        <v>83.86</v>
      </c>
      <c r="E15" s="6">
        <f>IF(AND(Include_study?="Yes",Sufficient_data="Yes"),IF(Input!d_&lt;&gt;"",Input!d_,Input!n2_-Input!c_),"")</f>
        <v>2005.14</v>
      </c>
      <c r="F15" s="35" t="str">
        <f t="shared" si="1"/>
        <v>No</v>
      </c>
      <c r="H15" s="140"/>
      <c r="I15" s="134"/>
      <c r="J15" s="76">
        <f t="shared" si="2"/>
        <v>0.60577409870146903</v>
      </c>
      <c r="K15" s="3">
        <f t="shared" si="3"/>
        <v>-0.50124813683049663</v>
      </c>
      <c r="L15" s="3">
        <f t="shared" si="4"/>
        <v>0.16764860774484369</v>
      </c>
      <c r="M15" s="3">
        <f t="shared" si="5"/>
        <v>0.43608529679167651</v>
      </c>
      <c r="N15" s="35">
        <f t="shared" si="6"/>
        <v>0.84149193141194045</v>
      </c>
      <c r="P15" s="124"/>
      <c r="Q15" s="76">
        <f t="shared" si="7"/>
        <v>0.60318542783487561</v>
      </c>
      <c r="R15" s="3">
        <f t="shared" si="8"/>
        <v>0.16750265266016742</v>
      </c>
      <c r="S15" s="3">
        <f t="shared" si="9"/>
        <v>0.43434602762126517</v>
      </c>
      <c r="T15" s="35">
        <f t="shared" si="10"/>
        <v>0.83765623999119776</v>
      </c>
      <c r="V15" s="124"/>
      <c r="W15" s="76">
        <f t="shared" si="11"/>
        <v>-1.5434614673484948E-2</v>
      </c>
      <c r="X15" s="3">
        <f t="shared" si="12"/>
        <v>5.2490706546731471E-3</v>
      </c>
      <c r="Y15" s="3">
        <f t="shared" si="13"/>
        <v>-2.5725235706278021E-2</v>
      </c>
      <c r="Z15" s="35">
        <f t="shared" si="14"/>
        <v>-5.143993640691874E-3</v>
      </c>
      <c r="AB15" s="124"/>
      <c r="AC15" s="76">
        <f t="shared" si="15"/>
        <v>0.61551502441080308</v>
      </c>
      <c r="AD15" s="3">
        <f t="shared" si="16"/>
        <v>-0.48529592356488727</v>
      </c>
      <c r="AE15" s="3">
        <f t="shared" si="17"/>
        <v>0.16236750511011061</v>
      </c>
      <c r="AF15" s="3">
        <f t="shared" si="18"/>
        <v>0.44770901036484373</v>
      </c>
      <c r="AG15" s="35">
        <f t="shared" si="19"/>
        <v>0.84621648549510919</v>
      </c>
      <c r="AI15" s="140"/>
      <c r="AJ1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15" s="6">
        <f>IF(AJ15&lt;&gt;"",IF(AJ15=0,COUNTIF(AJ$2:AJ14,0)+1,COUNTIF(AJ$2:AJ14,AJ15)+AJ15+COUNTIF(AJ:AJ,0)),"")</f>
        <v>7</v>
      </c>
      <c r="AL15" s="6">
        <f t="shared" si="20"/>
        <v>7</v>
      </c>
      <c r="AM15" s="3" t="str">
        <f>IF(AND(Include_study?="Yes",Sufficient_data="Yes",Input!Study_name&lt;&gt;""),Input!Study_name,"")</f>
        <v>Van et al.</v>
      </c>
      <c r="AN15" s="6">
        <f t="shared" si="21"/>
        <v>4735</v>
      </c>
      <c r="AO15" s="3">
        <f t="shared" si="22"/>
        <v>0.60577409870146903</v>
      </c>
      <c r="AP15" s="3">
        <f t="shared" si="23"/>
        <v>35.579521062247046</v>
      </c>
      <c r="AQ15" s="3">
        <f t="shared" si="24"/>
        <v>13.277016048754227</v>
      </c>
      <c r="AR15" s="3">
        <f t="shared" si="25"/>
        <v>0.16764860774484369</v>
      </c>
      <c r="AS15" s="3">
        <f t="shared" si="26"/>
        <v>0.43608529679167651</v>
      </c>
      <c r="AT15" s="3">
        <f t="shared" si="27"/>
        <v>0.84149193141194045</v>
      </c>
      <c r="AU15" s="80">
        <f t="shared" si="28"/>
        <v>0.14984454847326401</v>
      </c>
      <c r="AW15" s="44">
        <f t="shared" si="29"/>
        <v>0.60577409870146903</v>
      </c>
      <c r="AX15" s="3">
        <f t="shared" si="30"/>
        <v>0.16968880190979252</v>
      </c>
      <c r="AY15" s="35">
        <f t="shared" si="31"/>
        <v>0.23571783271047142</v>
      </c>
      <c r="BD15" s="140"/>
      <c r="BE15" s="134"/>
      <c r="BF15" s="3">
        <f t="shared" si="32"/>
        <v>-0.50124813683049663</v>
      </c>
      <c r="BG15" s="3">
        <f t="shared" si="33"/>
        <v>0.16764860774484369</v>
      </c>
      <c r="BH15" s="3">
        <f t="shared" si="34"/>
        <v>35.579521062247046</v>
      </c>
      <c r="BI15" s="3">
        <f t="shared" si="99"/>
        <v>13.277016048754227</v>
      </c>
      <c r="BJ15" s="35">
        <f t="shared" si="35"/>
        <v>8.1308849898359958E-2</v>
      </c>
      <c r="BO15" s="124"/>
      <c r="BP15" s="3">
        <f t="shared" si="36"/>
        <v>27.68660046462513</v>
      </c>
      <c r="BQ15" s="3">
        <f t="shared" si="37"/>
        <v>45.704496979936636</v>
      </c>
      <c r="BR15" s="3">
        <f t="shared" si="38"/>
        <v>12.106791973392951</v>
      </c>
      <c r="BS15" s="3">
        <f>IF(AND(Sufficient_data="Yes",Include_study?="Yes"),IF(Add_0_5="Yes",(a_+d_+1)*(ab_+0.5)*(c_+0.5)/(Number_of_subjects+2)^2,(a_+d_)*b_*c_/Number_of_subjects^2),"")</f>
        <v>19.985654717401989</v>
      </c>
      <c r="BT15" s="3">
        <f t="shared" si="39"/>
        <v>15.579808491232178</v>
      </c>
      <c r="BU15" s="3">
        <f t="shared" si="40"/>
        <v>25.71884226253465</v>
      </c>
      <c r="BV15" s="3">
        <f t="shared" si="41"/>
        <v>45.704496979936636</v>
      </c>
      <c r="BW15" s="3">
        <f t="shared" si="42"/>
        <v>0.10635381042041181</v>
      </c>
      <c r="BX15" s="3">
        <f t="shared" si="43"/>
        <v>15.499919422720181</v>
      </c>
      <c r="BY15" s="35">
        <f t="shared" si="44"/>
        <v>7.8965685379140949E-2</v>
      </c>
      <c r="CD15" s="124"/>
      <c r="CE15" s="76">
        <f t="shared" si="45"/>
        <v>83.397896515311515</v>
      </c>
      <c r="CF15" s="3">
        <f t="shared" si="46"/>
        <v>35.641553208221225</v>
      </c>
      <c r="CG15" s="3">
        <f t="shared" si="47"/>
        <v>-0.50553062067888332</v>
      </c>
      <c r="CH15" s="3">
        <f t="shared" si="48"/>
        <v>2.8057138648192693E-2</v>
      </c>
      <c r="CI15" s="3">
        <f t="shared" si="49"/>
        <v>35.641553208221225</v>
      </c>
      <c r="CJ15" s="3">
        <f t="shared" si="50"/>
        <v>9.3287788892207129</v>
      </c>
      <c r="CK15" s="35">
        <f t="shared" si="51"/>
        <v>0.11666147772084745</v>
      </c>
      <c r="CP15" s="124"/>
      <c r="CQ15" s="52">
        <f t="shared" si="52"/>
        <v>4.0143609382479656E-2</v>
      </c>
      <c r="CS15" s="2" t="s">
        <v>315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1.0183394915805237</v>
      </c>
      <c r="CU15" s="3">
        <f>IF(Model_effect_size_measure="Odds Ratio",PICES_UL_MH/(1-MEDIAN(Control_group_risk)+(MEDIAN(Control_group_risk)*PICES_UL_MH)),"")</f>
        <v>0.9652089168006277</v>
      </c>
      <c r="CV15" s="3" t="str">
        <f>IF(Model_effect_size_measure="Peto Odds Ratio",PICES_UL_Peto/(1-MEDIAN(Control_group_risk)+(MEDIAN(Control_group_risk)*PICES_UL_Peto)),"")</f>
        <v/>
      </c>
      <c r="CX15" s="140"/>
      <c r="CY15" s="48">
        <f t="shared" si="53"/>
        <v>6</v>
      </c>
      <c r="CZ15" s="6" t="str">
        <f t="shared" si="54"/>
        <v>Van et al.</v>
      </c>
      <c r="DA15" s="17" t="str">
        <f t="shared" si="55"/>
        <v>English</v>
      </c>
      <c r="DB15" s="3">
        <f t="shared" si="56"/>
        <v>-0.50124813683049663</v>
      </c>
      <c r="DC15" s="3">
        <f t="shared" si="57"/>
        <v>0.16764860774484369</v>
      </c>
      <c r="DD15" s="3">
        <f t="shared" si="58"/>
        <v>35.579521062247046</v>
      </c>
      <c r="DE15" s="3">
        <f t="shared" si="59"/>
        <v>12.131789071711394</v>
      </c>
      <c r="DF15" s="80">
        <f t="shared" si="60"/>
        <v>0.17418381106535466</v>
      </c>
      <c r="DG15" s="3">
        <f t="shared" si="61"/>
        <v>0.60577409870146903</v>
      </c>
      <c r="DH15" s="3">
        <f t="shared" si="62"/>
        <v>0.43608530453609762</v>
      </c>
      <c r="DI15" s="3">
        <f t="shared" si="63"/>
        <v>0.84149191646791976</v>
      </c>
      <c r="DJ15" s="35" t="e">
        <f t="shared" si="64"/>
        <v>#DIV/0!</v>
      </c>
      <c r="DL15" s="44">
        <f t="shared" si="65"/>
        <v>0.60577409870146903</v>
      </c>
      <c r="DM15" s="3">
        <f t="shared" si="100"/>
        <v>0.16968879416537141</v>
      </c>
      <c r="DN15" s="35">
        <f t="shared" si="101"/>
        <v>0.23571781776645073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0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0"/>
      <c r="FS15" s="134"/>
      <c r="FT15" s="76">
        <f>IF(AND(Include_study?="Yes",Sufficient_data="Yes"),IF(Additional_weighting_method="Inverse Variance",1/'Publication Bias Analysis'!F:F^2,IF(Additional_weighting_method="Mantel-Haenszel",Weightf_MH,Weightf_Peto)),"")</f>
        <v>35.579521062247046</v>
      </c>
      <c r="FU15" s="3">
        <f>IF(AND(Include_study?="Yes",Sufficient_data="Yes"),1/('Publication Bias Analysis'!F:F^2+IF(Additional_model="Fixed effect",0,Calculations!GH$12)),"")</f>
        <v>35.579521062247046</v>
      </c>
      <c r="FV15" s="3">
        <f>IF(AND(Include_study?="Yes",Sufficient_data="Yes"),1/('Publication Bias Analysis'!F:F^2+IF(Additional_model="Fixed effect",0,'Publication Bias Analysis'!L$32)),"")</f>
        <v>35.579521062247046</v>
      </c>
      <c r="FW15" s="3">
        <f>IF(AND(Include_study?="Yes",Sufficient_data="Yes"),'Publication Bias Analysis'!E:E-'Publication Bias Analysis'!I$37,"")</f>
        <v>6.3952115687802791E-2</v>
      </c>
      <c r="FX15" s="3">
        <f>IF(AND(Include_study?="Yes",Sufficient_data="Yes"),IF(Additional_model="Fixed effect",1/'Publication Bias Analysis'!F:F,1/SQRT('Publication Bias Analysis'!F:F^2+GH$12)),"")</f>
        <v>5.9648571703140592</v>
      </c>
      <c r="FY15" s="3">
        <f>IF(AND(Include_study?="Yes",Sufficient_data="Yes"),IF(Additional_model="Fixed effect",'Publication Bias Analysis'!E:E/'Publication Bias Analysis'!F:F,'Publication Bias Analysis'!E:E/SQRT('Publication Bias Analysis'!F:F^2+GH$12)),"")</f>
        <v>-2.9898735430799506</v>
      </c>
      <c r="FZ15" s="6">
        <f t="shared" si="80"/>
        <v>-3</v>
      </c>
      <c r="GA15" s="83">
        <f>IF(AND(Include_study?="Yes",Sufficient_data="Yes"),FZ:FZ+IF(GL:GL&lt;0,-1,1)*COUNTIF(FZ$2:FZ14,FZ:FZ),"")</f>
        <v>-3</v>
      </c>
      <c r="GB15" s="83">
        <f>IF(AND(Include_study?="Yes",Sufficient_data="Yes"),RANK(GP:GP,GP:GP,1)*IF(GO:GO&lt;0,-1,1)+IF(GO:GO&lt;0,-1,1)*COUNTIF(FZ$2:FZ14,FZ:FZ),"")</f>
        <v>-3</v>
      </c>
      <c r="GC15" s="83">
        <f>IF(AND(Include_study?="Yes",Sufficient_data="Yes"),RANK(GS:GS,GS:GS,1)*IF(GR:GR&lt;0,-1,1)+IF(GR:GR&lt;0,-1,1)*COUNTIF(FZ$2:FZ14,FZ:FZ),"")</f>
        <v>-3</v>
      </c>
      <c r="GD15" s="3">
        <f>IF(AND(Include_study?="Yes",Sufficient_data="Yes"),'Publication Bias Analysis'!E15,NA())</f>
        <v>-0.50124813683049663</v>
      </c>
      <c r="GE15" s="35">
        <f>IF(AND(Include_study?="Yes",Sufficient_data="Yes"),'Publication Bias Analysis'!F15,NA())</f>
        <v>0.16764860774484369</v>
      </c>
      <c r="GG15" s="2" t="s">
        <v>332</v>
      </c>
      <c r="GH15" s="3">
        <f>IF(Additional_valid_options="Yes",'Publication Bias Analysis'!I29-'Publication Bias Analysis'!I31,NA())</f>
        <v>0.16302751998516729</v>
      </c>
      <c r="GK15" s="124"/>
      <c r="GL15" s="76">
        <f>IF(AND(Include_study?="Yes",Sufficient_data="Yes"),IF('Publication Bias Analysis'!L$38="Left",'Publication Bias Analysis'!E:E-'Publication Bias Analysis'!I$29,'Publication Bias Analysis'!I$29-'Publication Bias Analysis'!E:E),"")</f>
        <v>-6.3952115687802791E-2</v>
      </c>
      <c r="GM15" s="3">
        <f t="shared" si="81"/>
        <v>6.3952115687802791E-2</v>
      </c>
      <c r="GN15" s="35">
        <f>IF(AND(Include_study?="Yes",Sufficient_data="Yes"),IF(AND(Additional_weighting_method="Mantel-Haenszel",Additional_model="Fixed effect"),Weightf_MH,1/('Publication Bias Analysis'!F:F^2+IF(Additional_model="Fixed effect",0,GW$6))),"")</f>
        <v>35.579521062247046</v>
      </c>
      <c r="GO15" s="3">
        <f>IF(AND(Include_study?="Yes",Sufficient_data="Yes"),IF('Publication Bias Analysis'!L$38="Left",'Publication Bias Analysis'!E:E-GW$3,GW$3-'Publication Bias Analysis'!E:E),"")</f>
        <v>-6.3952115687802791E-2</v>
      </c>
      <c r="GP15" s="3">
        <f t="shared" si="82"/>
        <v>6.3952115687802791E-2</v>
      </c>
      <c r="GQ15" s="35">
        <f>IF(AND(Include_study?="Yes",Sufficient_data="Yes"),IF(AND(Additional_weighting_method="Mantel-Haenszel",Additional_model="Fixed effect"),Weightf_MH,1/('Publication Bias Analysis'!F:F^2+IF(Additional_model="Fixed effect",0,GW$13))),"")</f>
        <v>35.579521062247046</v>
      </c>
      <c r="GR15" s="3">
        <f>IF(AND(Include_study?="Yes",Sufficient_data="Yes"),IF('Publication Bias Analysis'!L$38="Left",'Publication Bias Analysis'!E:E-GW$10,GW$10-'Publication Bias Analysis'!E:E),"")</f>
        <v>-6.3952115687802791E-2</v>
      </c>
      <c r="GS15" s="3">
        <f t="shared" si="83"/>
        <v>6.3952115687802791E-2</v>
      </c>
      <c r="GT15" s="35">
        <f>IF(AND(Include_study?="Yes",Sufficient_data="Yes"),IF(AND(Additional_weighting_method="Mantel-Haenszel",Additional_model="Fixed effect"),Weightf_MH,1/('Publication Bias Analysis'!F:F^2+IF(Additional_model="Fixed effect",0,GW$20))),"")</f>
        <v>35.579521062247046</v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4"/>
      <c r="HL15" s="3">
        <f t="shared" si="89"/>
        <v>0.31824620898135692</v>
      </c>
      <c r="HM15" s="35">
        <f>IF(AND(Include_study?="Yes",Sufficient_data="Yes"),Z_score-('Publication Bias Analysis'!P$3+'Publication Bias Analysis'!P$4*Inverse_standard_error),"")</f>
        <v>-6.7382411856415469E-2</v>
      </c>
      <c r="HO15" s="124"/>
      <c r="HP15" s="3">
        <f>IF(AND(Include_study?="Yes",Sufficient_data="Yes"),(GD:GD-SUMPRODUCT(Calculations!FT:FT,'Publication Bias Analysis'!E:E)/SUM(Calculations!FT:FT))/SQRT(Calculations!HQ:HQ),"")</f>
        <v>0.41570266146105161</v>
      </c>
      <c r="HQ15" s="3">
        <f>IF(AND(Include_study?="Yes",Sufficient_data="Yes"),GE:GE^2-1/SUM(Calculations!FT:FT),"")</f>
        <v>2.3667055165400078E-2</v>
      </c>
      <c r="HR15" s="6">
        <f t="shared" si="90"/>
        <v>3</v>
      </c>
      <c r="HS15" s="6">
        <f t="shared" si="91"/>
        <v>5</v>
      </c>
      <c r="HT15" s="6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>4</v>
      </c>
      <c r="HU15" s="57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>2</v>
      </c>
      <c r="HW15" s="124"/>
      <c r="IB15" s="124"/>
      <c r="IC15" s="76">
        <f t="shared" si="92"/>
        <v>2.4708994708994708E-2</v>
      </c>
      <c r="ID15" s="3">
        <f t="shared" si="93"/>
        <v>4.0143609382479656E-2</v>
      </c>
      <c r="IE15" s="3">
        <f t="shared" si="94"/>
        <v>37.931652654574968</v>
      </c>
      <c r="IF15" s="35">
        <f t="shared" si="95"/>
        <v>35.579521062247046</v>
      </c>
      <c r="IK15" s="124"/>
      <c r="IL15" s="3">
        <f>IF(AND(Include_study?="Yes",Sufficient_data="Yes"),'Publication Bias Analysis'!AV:AV,NA())</f>
        <v>-2.9898735430799506</v>
      </c>
      <c r="IM15" s="3">
        <f>IF(AND(Sufficient_data="Yes",Include_study?="Yes"),'Publication Bias Analysis'!AU:AU,NA())</f>
        <v>5.9648571703140592</v>
      </c>
      <c r="IN15" s="3">
        <f t="shared" si="96"/>
        <v>0.31824620898135692</v>
      </c>
      <c r="IO15" s="35">
        <f>IF(AND(Include_study?="Yes",Sufficient_data="Yes"),Z_score-('Publication Bias Analysis'!AY$30+'Publication Bias Analysis'!AY$31*Inverse_standard_error),"")</f>
        <v>0.38146523581714442</v>
      </c>
      <c r="IU15" s="124"/>
      <c r="IV15" s="6">
        <f>IF('Publication Bias Analysis'!BG:BG&lt;&gt;"",RANK('Publication Bias Analysis'!BG:BG,'Publication Bias Analysis'!BG:BG,1)+COUNTIF('Publication Bias Analysis'!BG$2:BG14,'Publication Bias Analysis'!BG15),"")</f>
        <v>5</v>
      </c>
      <c r="IW15" s="3">
        <f t="shared" si="97"/>
        <v>0.63636363636363646</v>
      </c>
      <c r="IX15" s="3">
        <f>IF('Publication Bias Analysis'!BF15&lt;&gt;"",'Publication Bias Analysis'!BF15,NA())</f>
        <v>0.34875569551704505</v>
      </c>
      <c r="IY15" s="3">
        <f>IF('Publication Bias Analysis'!BG15&lt;&gt;"",'Publication Bias Analysis'!BG15,NA())</f>
        <v>-2.9898735430799506</v>
      </c>
      <c r="IZ15" s="3">
        <f>IF(AND(Include_study?="Yes",Sufficient_data="Yes"),'Publication Bias Analysis'!BF:BF-AVERAGE('Publication Bias Analysis'!BF:BF),"")</f>
        <v>0.34875569551704477</v>
      </c>
      <c r="JA15" s="35">
        <f>IF(AND(Include_study?="Yes",Sufficient_data="Yes"),'Publication Bias Analysis'!BG:BG-('Publication Bias Analysis'!BJ$30+'Publication Bias Analysis'!BJ$31*'Publication Bias Analysis'!BF:BF),"")</f>
        <v>-0.23988790861659526</v>
      </c>
      <c r="JG15" s="124"/>
      <c r="JH15" s="3">
        <f t="shared" si="98"/>
        <v>-2.9898735430799506</v>
      </c>
      <c r="JI15" s="10">
        <f t="shared" si="124"/>
        <v>1.3954648215790399E-3</v>
      </c>
      <c r="JJ15" s="35">
        <f t="shared" si="125"/>
        <v>-6.5745277137764067</v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0"/>
      <c r="I16" s="134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4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4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4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0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0"/>
      <c r="BE16" s="134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68</v>
      </c>
      <c r="BM16" s="3">
        <f>IF(Model_effect_size_measure="Risk Difference",CES_IV/SECES_Risk_Difference,lnCES_IV/SElnCES)</f>
        <v>-5.0721410423182629</v>
      </c>
      <c r="BO16" s="124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68</v>
      </c>
      <c r="CB16" s="3">
        <f>lnCES_OddsRatio_MH/SElnCES_MH</f>
        <v>-5.1009606959862319</v>
      </c>
      <c r="CD16" s="124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68</v>
      </c>
      <c r="CN16" s="3">
        <f>lnCES_PetoOddsRatio/SElnCES_Peto</f>
        <v>-4.1457516613436338</v>
      </c>
      <c r="CP16" s="124"/>
      <c r="CQ16" s="52" t="str">
        <f t="shared" si="52"/>
        <v/>
      </c>
      <c r="CX16" s="140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2" t="s">
        <v>333</v>
      </c>
      <c r="EY16" s="122"/>
      <c r="FA16" s="140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0"/>
      <c r="FS16" s="134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334</v>
      </c>
      <c r="GH16" s="3">
        <f>IF(Additional_valid_options="Yes",'Publication Bias Analysis'!I29-'Publication Bias Analysis'!I33,NA())</f>
        <v>0.55610653609621397</v>
      </c>
      <c r="GK16" s="124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2" t="s">
        <v>119</v>
      </c>
      <c r="GW16" s="122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4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4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4"/>
      <c r="IB16" s="124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4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4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4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0"/>
      <c r="I17" s="134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4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4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4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0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0"/>
      <c r="BE17" s="134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4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4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4"/>
      <c r="CQ17" s="52" t="str">
        <f t="shared" si="52"/>
        <v/>
      </c>
      <c r="CS17" s="122" t="s">
        <v>185</v>
      </c>
      <c r="CT17" s="122"/>
      <c r="CU17" s="122"/>
      <c r="CV17" s="122"/>
      <c r="CX17" s="140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74</v>
      </c>
      <c r="EY17" s="3">
        <f>SUMPRODUCT(Subgroup_weightf,Subgroup_effect_size,Subgroup_effect_size)-SUMPRODUCT(Subgroup_weightf,Subgroup_effect_size)^2/SUM(Subgroup_weightf)</f>
        <v>15.066731397009278</v>
      </c>
      <c r="FA17" s="140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0"/>
      <c r="FS17" s="134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335</v>
      </c>
      <c r="GH17" s="3">
        <f>IF(Additional_valid_options="Yes",MAX('Publication Bias Analysis'!F:F)*1.1,NA())</f>
        <v>0.2463289358437476</v>
      </c>
      <c r="GK17" s="124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-0.56520025251829942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4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4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4"/>
      <c r="IB17" s="124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4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4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4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0"/>
      <c r="I18" s="134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4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4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4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0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0"/>
      <c r="BE18" s="134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73</v>
      </c>
      <c r="BM18" s="28"/>
      <c r="BO18" s="124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2" t="s">
        <v>73</v>
      </c>
      <c r="CB18" s="122"/>
      <c r="CD18" s="124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73</v>
      </c>
      <c r="CN18" s="1"/>
      <c r="CP18" s="124"/>
      <c r="CQ18" s="52" t="str">
        <f t="shared" si="52"/>
        <v/>
      </c>
      <c r="CS18" s="2"/>
      <c r="CT18" s="2" t="s">
        <v>54</v>
      </c>
      <c r="CU18" s="2" t="s">
        <v>78</v>
      </c>
      <c r="CV18" s="2" t="s">
        <v>79</v>
      </c>
      <c r="CX18" s="140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75</v>
      </c>
      <c r="EY18" s="3">
        <f>CHIDIST(EY17,Subgroup_k-1)</f>
        <v>1.9743996621829438E-2</v>
      </c>
      <c r="FA18" s="140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0"/>
      <c r="FS18" s="134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4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2" t="s">
        <v>73</v>
      </c>
      <c r="GW18" s="122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4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4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4"/>
      <c r="IB18" s="124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4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4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4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0"/>
      <c r="I19" s="134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4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4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4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0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0"/>
      <c r="BE19" s="134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74</v>
      </c>
      <c r="BM19" s="3">
        <f>SUMPRODUCT(Weightf,Model_Effect_size,Model_Effect_size)-SUMPRODUCT(Weightf,Model_Effect_size)^2/SUM(Weightf)</f>
        <v>15.066731397009278</v>
      </c>
      <c r="BO19" s="124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74</v>
      </c>
      <c r="CB19" s="3">
        <f>SUM(Weighted_squared_residual)</f>
        <v>15.08612622241403</v>
      </c>
      <c r="CD19" s="124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74</v>
      </c>
      <c r="CN19" s="3">
        <f>SUMPRODUCT(Weightf_Peto,LogPetoOddsRatio,LogPetoOddsRatio)-SUMPRODUCT(Weightf_Peto,LogPetoOddsRatio)^2/SUM(Weightf_Peto)</f>
        <v>20.472133712807207</v>
      </c>
      <c r="CP19" s="124"/>
      <c r="CQ19" s="52" t="str">
        <f t="shared" si="52"/>
        <v/>
      </c>
      <c r="CS19" s="2" t="s">
        <v>297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-1.4827834129207886E-2</v>
      </c>
      <c r="CU19" s="3">
        <f>IF(Model_effect_size_measure="Odds Ratio",CU11*MEDIAN(Control_group_risk)-MEDIAN(Control_group_risk),NA())</f>
        <v>-1.4783163298108571E-2</v>
      </c>
      <c r="CV19" s="3" t="e">
        <f>IF(Model_effect_size_measure="Peto Odds Ratio",CV11*MEDIAN(Control_group_risk)-MEDIAN(Control_group_risk),NA())</f>
        <v>#N/A</v>
      </c>
      <c r="CX19" s="140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76</v>
      </c>
      <c r="EY19" s="9">
        <f>MAX(0,(EY17-(Subgroup_k-1))/EY17)</f>
        <v>0.6017716223977424</v>
      </c>
      <c r="FA19" s="140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0"/>
      <c r="FS19" s="134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2" t="s">
        <v>336</v>
      </c>
      <c r="GH19" s="122"/>
      <c r="GK19" s="124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74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15.066731397009278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4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4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4"/>
      <c r="IB19" s="124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4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4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4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0"/>
      <c r="I20" s="134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4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4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4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0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0"/>
      <c r="BE20" s="134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162</v>
      </c>
      <c r="BM20" s="3">
        <f>MAX((Q_-(k_-1))/(SUM(Weightf)-SUMPRODUCT(Weightf,Weightf)/SUM(Weightf)),0)</f>
        <v>4.721207275669554E-2</v>
      </c>
      <c r="BO20" s="124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162</v>
      </c>
      <c r="CB20" s="3">
        <f>MAX((Q_MH-(k_-1))/(SUM(Weightf_MH)-SUMPRODUCT(Weightf_MH,Weightf_MH)/SUM(Weightf_MH)),0)</f>
        <v>3.6410408744519202E-2</v>
      </c>
      <c r="CD20" s="124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162</v>
      </c>
      <c r="CN20" s="3">
        <f>MAX((Q_Peto-(k_-1))/(SUM(Weightf_Peto)-SUMPRODUCT(Weightf_Peto,Weightf_Peto)/SUM(Weightf_Peto)),0)</f>
        <v>7.9138027179511447E-2</v>
      </c>
      <c r="CP20" s="124"/>
      <c r="CQ20" s="52" t="str">
        <f t="shared" si="52"/>
        <v/>
      </c>
      <c r="CS20" s="2" t="s">
        <v>337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2.9233875804113491E-3</v>
      </c>
      <c r="CU20" s="3">
        <f>IF(Model_effect_size_measure="Odds Ratio",CU19/Z_value_MH,"")</f>
        <v>2.8981135474619372E-3</v>
      </c>
      <c r="CV20" s="3" t="str">
        <f>IF(Model_effect_size_measure="Peto Odds Ratio",CV19/Z_value_Peto,"")</f>
        <v/>
      </c>
      <c r="CX20" s="140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162</v>
      </c>
      <c r="EY20" s="3">
        <f>MAX(0,(EY17-(Subgroup_k-1))/(SUM(Subgroup_weightf)-(SUMPRODUCT(Subgroup_weightf,Subgroup_weightf)/SUM(Subgroup_weightf))))</f>
        <v>4.721207275669554E-2</v>
      </c>
      <c r="FA20" s="140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0"/>
      <c r="FS20" s="134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338</v>
      </c>
      <c r="GH20" s="3">
        <f>IF(AND(Trim_and_fill="On",Additional_valid_options="Yes"),'Publication Bias Analysis'!I37-'Publication Bias Analysis'!I39,NA())</f>
        <v>0.16302751998516729</v>
      </c>
      <c r="GK20" s="124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162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4.2004896025699762E-2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4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4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4"/>
      <c r="IB20" s="124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4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4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4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0"/>
      <c r="I21" s="134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4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4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4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0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0"/>
      <c r="BE21" s="134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4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4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4"/>
      <c r="CQ21" s="52" t="str">
        <f t="shared" si="52"/>
        <v/>
      </c>
      <c r="CS21" s="2" t="s">
        <v>111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-2.198110584520643E-2</v>
      </c>
      <c r="CU21" s="3">
        <f>IF(Model_effect_size_measure="Odds Ratio",CU19-CU20*ABS(TINV((1-Confidence_level),k_-1)),"")</f>
        <v>-2.1874591683356974E-2</v>
      </c>
      <c r="CV21" s="3" t="str">
        <f>IF(Model_effect_size_measure="Peto Odds Ratio",CV19-CV20*ABS(TINV((1-Confidence_level),k_-1)),"")</f>
        <v/>
      </c>
      <c r="CX21" s="140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86</v>
      </c>
      <c r="EY21" s="3">
        <f>SQRT(EY20)</f>
        <v>0.21728339273100358</v>
      </c>
      <c r="FA21" s="140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0"/>
      <c r="FS21" s="134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339</v>
      </c>
      <c r="GH21" s="3">
        <f>IF(AND(Trim_and_fill="On",Additional_valid_options="Yes"),'Publication Bias Analysis'!I37-'Publication Bias Analysis'!I41,NA())</f>
        <v>0.55610653609621397</v>
      </c>
      <c r="GK21" s="124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316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4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4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4"/>
      <c r="IB21" s="124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4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4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4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0"/>
      <c r="I22" s="134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4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4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4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0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0"/>
      <c r="BE22" s="134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4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4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4"/>
      <c r="CQ22" s="52" t="str">
        <f t="shared" si="52"/>
        <v/>
      </c>
      <c r="CS22" s="2" t="s">
        <v>112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-7.6745624132093402E-3</v>
      </c>
      <c r="CU22" s="3">
        <f>IF(Model_effect_size_measure="Odds Ratio",CU19+CU20*ABS(TINV((1-Confidence_level),k_-1)),"")</f>
        <v>-7.6917349128601698E-3</v>
      </c>
      <c r="CV22" s="3" t="str">
        <f>IF(Model_effect_size_measure="Peto Odds Ratio",CV19+CV20*ABS(TINV((1-Confidence_level),k_-1)),"")</f>
        <v/>
      </c>
      <c r="CX22" s="140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0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0"/>
      <c r="FS22" s="134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340</v>
      </c>
      <c r="GH22" s="3">
        <f>IF(AND(Trim_and_fill="On",Additional_valid_options="Yes"),MAX('Publication Bias Analysis'!F:F)*1.2,NA())</f>
        <v>0.26872247546590644</v>
      </c>
      <c r="GK22" s="124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4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4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4"/>
      <c r="IB22" s="124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4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4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4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0"/>
      <c r="I23" s="134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4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4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4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0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0"/>
      <c r="BE23" s="134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4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4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4"/>
      <c r="CQ23" s="52" t="str">
        <f t="shared" si="52"/>
        <v/>
      </c>
      <c r="CS23" s="2" t="s">
        <v>310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-3.0134793958841957E-2</v>
      </c>
      <c r="CU23" s="3">
        <f>IF(Model_effect_size_measure="Odds Ratio",CU19-((lnCES_OddsRatio_MH-PIlnCES_LL_MH)/SElnCES_MH)*CU20,"")</f>
        <v>-2.863268787571252E-2</v>
      </c>
      <c r="CV23" s="3" t="str">
        <f>IF(Model_effect_size_measure="Peto Odds Ratio",CV19-((lnCES_PetoOddsRatio-PIlnCES_LL_Peto)/SElnCES_Peto)*CV20,"")</f>
        <v/>
      </c>
      <c r="CX23" s="140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2" t="s">
        <v>341</v>
      </c>
      <c r="EY23" s="122"/>
      <c r="FA23" s="140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0"/>
      <c r="FS23" s="134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4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4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4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4"/>
      <c r="IB23" s="124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4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4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4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0"/>
      <c r="I24" s="134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4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4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4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0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0"/>
      <c r="BE24" s="134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4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4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4"/>
      <c r="CQ24" s="52" t="str">
        <f t="shared" si="52"/>
        <v/>
      </c>
      <c r="CS24" s="2" t="s">
        <v>315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4.7912570042618619E-4</v>
      </c>
      <c r="CU24" s="3">
        <f>IF(Model_effect_size_measure="Odds Ratio",CU19+((lnCES_OddsRatio_MH-PIlnCES_LL_MH)/SElnCES_MH)*CU20,"")</f>
        <v>-9.3363872050462177E-4</v>
      </c>
      <c r="CV24" s="3" t="str">
        <f>IF(Model_effect_size_measure="Peto Odds Ratio",CV19+((lnCES_PetoOddsRatio-PIlnCES_LL_Peto)/SElnCES_Peto)*CV20,"")</f>
        <v/>
      </c>
      <c r="CX24" s="140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278</v>
      </c>
      <c r="EY24" s="3" t="e">
        <f>EY9</f>
        <v>#DIV/0!</v>
      </c>
      <c r="FA24" s="140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0"/>
      <c r="FS24" s="134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4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4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4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4"/>
      <c r="IB24" s="124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4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4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4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0"/>
      <c r="I25" s="134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4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4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4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0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0"/>
      <c r="BE25" s="134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4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4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4"/>
      <c r="CQ25" s="52" t="str">
        <f t="shared" si="52"/>
        <v/>
      </c>
      <c r="CX25" s="140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295</v>
      </c>
      <c r="EY25" s="6">
        <f>IF(Subgroup_valid_options="Yes",MAX(DP:DP)+1,"")</f>
        <v>10</v>
      </c>
      <c r="FA25" s="140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0"/>
      <c r="FS25" s="134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4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4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4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4"/>
      <c r="IB25" s="124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4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4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4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0"/>
      <c r="I26" s="134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4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4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4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0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0"/>
      <c r="BE26" s="134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4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4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4"/>
      <c r="CQ26" s="52" t="str">
        <f t="shared" si="52"/>
        <v/>
      </c>
      <c r="CX26" s="140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342</v>
      </c>
      <c r="EY26" s="6">
        <f>IF(Subgroup_valid_options="Yes",MAX(DR:DR)+1,"")</f>
        <v>3</v>
      </c>
      <c r="FA26" s="140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0"/>
      <c r="FS26" s="134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4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4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4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4"/>
      <c r="IB26" s="124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4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4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4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0"/>
      <c r="I27" s="134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4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4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4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0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0"/>
      <c r="BE27" s="134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4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4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4"/>
      <c r="CQ27" s="52" t="str">
        <f t="shared" si="52"/>
        <v/>
      </c>
      <c r="CX27" s="140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300</v>
      </c>
      <c r="EY27" s="3" t="e">
        <f>IF(Subgroup_valid_options="Yes",EY9-EY11,"")</f>
        <v>#DIV/0!</v>
      </c>
      <c r="FA27" s="140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0"/>
      <c r="FS27" s="134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4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4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4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4"/>
      <c r="IB27" s="124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4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4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4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0"/>
      <c r="I28" s="134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4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4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4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0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0"/>
      <c r="BE28" s="134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4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4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4"/>
      <c r="CQ28" s="52" t="str">
        <f t="shared" si="52"/>
        <v/>
      </c>
      <c r="CX28" s="140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303</v>
      </c>
      <c r="EY28" s="3" t="e">
        <f>IF(Subgroup_valid_options="Yes",EY12-EY9,"")</f>
        <v>#DIV/0!</v>
      </c>
      <c r="FA28" s="140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0"/>
      <c r="FS28" s="134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4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4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4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4"/>
      <c r="IB28" s="124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4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4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4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0"/>
      <c r="I29" s="134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4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4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4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0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0"/>
      <c r="BE29" s="134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4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4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4"/>
      <c r="CQ29" s="52" t="str">
        <f t="shared" si="52"/>
        <v/>
      </c>
      <c r="CX29" s="140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308</v>
      </c>
      <c r="EY29" s="3" t="e">
        <f>IF(Subgroup_valid_options="Yes",EY9-EY13,"")</f>
        <v>#DIV/0!</v>
      </c>
      <c r="FA29" s="140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0"/>
      <c r="FS29" s="134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4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4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4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4"/>
      <c r="IB29" s="124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4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4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4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0"/>
      <c r="I30" s="134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4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4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4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0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0"/>
      <c r="BE30" s="134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4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4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4"/>
      <c r="CQ30" s="52" t="str">
        <f t="shared" si="52"/>
        <v/>
      </c>
      <c r="CX30" s="140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313</v>
      </c>
      <c r="EY30" s="3" t="e">
        <f>IF(Subgroup_valid_options="Yes",EY14-EY9,"")</f>
        <v>#DIV/0!</v>
      </c>
      <c r="FA30" s="140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0"/>
      <c r="FS30" s="134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4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4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4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4"/>
      <c r="IB30" s="124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4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4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4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0"/>
      <c r="I31" s="134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4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4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4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0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0"/>
      <c r="BE31" s="134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4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4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4"/>
      <c r="CQ31" s="52" t="str">
        <f t="shared" si="52"/>
        <v/>
      </c>
      <c r="CX31" s="140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343</v>
      </c>
      <c r="EY31" s="3" t="e">
        <f>IF(Subgroup_valid_options="Yes",MAX(ER:ER),"")</f>
        <v>#DIV/0!</v>
      </c>
      <c r="FA31" s="140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0"/>
      <c r="FS31" s="134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4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4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4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4"/>
      <c r="IB31" s="124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4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4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4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0"/>
      <c r="I32" s="134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4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4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4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0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0"/>
      <c r="BE32" s="134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4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4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4"/>
      <c r="CQ32" s="52" t="str">
        <f t="shared" si="52"/>
        <v/>
      </c>
      <c r="CX32" s="140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0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0"/>
      <c r="FS32" s="134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4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4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4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4"/>
      <c r="IB32" s="124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4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4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4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0"/>
      <c r="I33" s="134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4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4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4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0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0"/>
      <c r="BE33" s="134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4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4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4"/>
      <c r="CQ33" s="52" t="str">
        <f t="shared" si="52"/>
        <v/>
      </c>
      <c r="CX33" s="140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2" t="s">
        <v>344</v>
      </c>
      <c r="EY33" s="122"/>
      <c r="FA33" s="140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0"/>
      <c r="FS33" s="134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4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4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4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4"/>
      <c r="IB33" s="124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4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4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4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0"/>
      <c r="I34" s="134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4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4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4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0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0"/>
      <c r="BE34" s="134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4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4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4"/>
      <c r="CQ34" s="52" t="str">
        <f t="shared" ref="CQ34:CQ97" si="175">IF(AND(Sufficient_data="Yes",Include_study?="Yes"),c_/(c_+d_),"")</f>
        <v/>
      </c>
      <c r="CX34" s="140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345</v>
      </c>
      <c r="EY34" s="3" t="e">
        <f>IF(Subgroup_valid_options="Yes",SUMPRODUCT(ES:ES,DZ:DZ,DZ:DZ)-SUMPRODUCT(ES:ES,DZ:DZ)^2/SUM(ES:ES),"")</f>
        <v>#DIV/0!</v>
      </c>
      <c r="FA34" s="140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0"/>
      <c r="FS34" s="134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4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4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4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4"/>
      <c r="IB34" s="124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4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4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4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0"/>
      <c r="I35" s="134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4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4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4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0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0"/>
      <c r="BE35" s="134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4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4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4"/>
      <c r="CQ35" s="52" t="str">
        <f t="shared" si="175"/>
        <v/>
      </c>
      <c r="CX35" s="140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162</v>
      </c>
      <c r="EY35" s="3" t="e">
        <f>IF(Subgroup_valid_options="Yes",MAX(0,(EY34-(COUNT(DT:DT)-1))/(SUM(ES:ES)-(SUMPRODUCT(ES:ES,ES:ES)/SUM(ES:ES)))),"")</f>
        <v>#DIV/0!</v>
      </c>
      <c r="FA35" s="140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0"/>
      <c r="FS35" s="134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4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4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4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4"/>
      <c r="IB35" s="124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4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4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4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0"/>
      <c r="I36" s="134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4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4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4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0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0"/>
      <c r="BE36" s="134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4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4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4"/>
      <c r="CQ36" s="52" t="str">
        <f t="shared" si="175"/>
        <v/>
      </c>
      <c r="CX36" s="140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0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0"/>
      <c r="FS36" s="134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4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4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4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4"/>
      <c r="IB36" s="124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4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4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4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0"/>
      <c r="I37" s="134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4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4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4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0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0"/>
      <c r="BE37" s="134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4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4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4"/>
      <c r="CQ37" s="52" t="str">
        <f t="shared" si="175"/>
        <v/>
      </c>
      <c r="CX37" s="140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2" t="s">
        <v>346</v>
      </c>
      <c r="EY37" s="122"/>
      <c r="FA37" s="140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0"/>
      <c r="FS37" s="134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4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4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4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4"/>
      <c r="IB37" s="124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4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4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4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0"/>
      <c r="I38" s="134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4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4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4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0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0"/>
      <c r="BE38" s="134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4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4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4"/>
      <c r="CQ38" s="52" t="str">
        <f t="shared" si="175"/>
        <v/>
      </c>
      <c r="CX38" s="140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108</v>
      </c>
      <c r="EY38" s="3"/>
      <c r="FA38" s="140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0"/>
      <c r="FS38" s="134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4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4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4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4"/>
      <c r="IB38" s="124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4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4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4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0"/>
      <c r="I39" s="134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4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4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4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0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0"/>
      <c r="BE39" s="134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4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4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4"/>
      <c r="CQ39" s="52" t="str">
        <f t="shared" si="175"/>
        <v/>
      </c>
      <c r="CX39" s="140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96</v>
      </c>
      <c r="EY39" s="3"/>
      <c r="FA39" s="140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0"/>
      <c r="FS39" s="134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4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4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4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4"/>
      <c r="IB39" s="124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4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4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4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0"/>
      <c r="I40" s="134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4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4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4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0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0"/>
      <c r="BE40" s="134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4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4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4"/>
      <c r="CQ40" s="52" t="str">
        <f t="shared" si="175"/>
        <v/>
      </c>
      <c r="CX40" s="140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0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0"/>
      <c r="FS40" s="134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4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4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4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4"/>
      <c r="IB40" s="124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4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4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4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0"/>
      <c r="I41" s="134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4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4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4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0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0"/>
      <c r="BE41" s="134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4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4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4"/>
      <c r="CQ41" s="52" t="str">
        <f t="shared" si="175"/>
        <v/>
      </c>
      <c r="CX41" s="140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2" t="s">
        <v>347</v>
      </c>
      <c r="EY41" s="122"/>
      <c r="FA41" s="140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0"/>
      <c r="FS41" s="134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4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4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4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4"/>
      <c r="IB41" s="124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4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4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4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0"/>
      <c r="I42" s="134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4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4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4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0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0"/>
      <c r="BE42" s="134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4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4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4"/>
      <c r="CQ42" s="52" t="str">
        <f t="shared" si="175"/>
        <v/>
      </c>
      <c r="CX42" s="140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108</v>
      </c>
      <c r="EY42" s="30"/>
      <c r="FA42" s="140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0"/>
      <c r="FS42" s="134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4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4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4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4"/>
      <c r="IB42" s="124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4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4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4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0"/>
      <c r="I43" s="134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4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4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4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0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0"/>
      <c r="BE43" s="134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4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4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4"/>
      <c r="CQ43" s="52" t="str">
        <f t="shared" si="175"/>
        <v/>
      </c>
      <c r="CX43" s="140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98</v>
      </c>
      <c r="EY43" s="31"/>
      <c r="FA43" s="140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0"/>
      <c r="FS43" s="134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4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4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4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4"/>
      <c r="IB43" s="124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4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4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4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0"/>
      <c r="I44" s="134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4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4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4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0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0"/>
      <c r="BE44" s="134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4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4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4"/>
      <c r="CQ44" s="52" t="str">
        <f t="shared" si="175"/>
        <v/>
      </c>
      <c r="CX44" s="140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348</v>
      </c>
      <c r="EY44" s="31"/>
      <c r="FA44" s="140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0"/>
      <c r="FS44" s="134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4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4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4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4"/>
      <c r="IB44" s="124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4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4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4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0"/>
      <c r="I45" s="134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4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4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4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0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0"/>
      <c r="BE45" s="134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4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4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4"/>
      <c r="CQ45" s="52" t="str">
        <f t="shared" si="175"/>
        <v/>
      </c>
      <c r="CX45" s="140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0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0"/>
      <c r="FS45" s="134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4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4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4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4"/>
      <c r="IB45" s="124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4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4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4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0"/>
      <c r="I46" s="134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4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4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4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0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0"/>
      <c r="BE46" s="134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4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4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4"/>
      <c r="CQ46" s="52" t="str">
        <f t="shared" si="175"/>
        <v/>
      </c>
      <c r="CX46" s="140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0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0"/>
      <c r="FS46" s="134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4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4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4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4"/>
      <c r="IB46" s="124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4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4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4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0"/>
      <c r="I47" s="134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4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4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4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0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0"/>
      <c r="BE47" s="134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4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4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4"/>
      <c r="CQ47" s="52" t="str">
        <f t="shared" si="175"/>
        <v/>
      </c>
      <c r="CX47" s="140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0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0"/>
      <c r="FS47" s="134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4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4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4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4"/>
      <c r="IB47" s="124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4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4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4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0"/>
      <c r="I48" s="134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4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4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4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0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0"/>
      <c r="BE48" s="134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4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4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4"/>
      <c r="CQ48" s="52" t="str">
        <f t="shared" si="175"/>
        <v/>
      </c>
      <c r="CX48" s="140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0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0"/>
      <c r="FS48" s="134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4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4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4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4"/>
      <c r="IB48" s="124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4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4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4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0"/>
      <c r="I49" s="134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4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4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4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0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0"/>
      <c r="BE49" s="134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4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4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4"/>
      <c r="CQ49" s="52" t="str">
        <f t="shared" si="175"/>
        <v/>
      </c>
      <c r="CX49" s="140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0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0"/>
      <c r="FS49" s="134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4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4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4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4"/>
      <c r="IB49" s="124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4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4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4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0"/>
      <c r="I50" s="134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4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4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4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0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0"/>
      <c r="BE50" s="134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4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4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4"/>
      <c r="CQ50" s="52" t="str">
        <f t="shared" si="175"/>
        <v/>
      </c>
      <c r="CX50" s="140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0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0"/>
      <c r="FS50" s="134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4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4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4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4"/>
      <c r="IB50" s="124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4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4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4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0"/>
      <c r="I51" s="134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4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4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4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0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0"/>
      <c r="BE51" s="134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4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4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4"/>
      <c r="CQ51" s="52" t="str">
        <f t="shared" si="175"/>
        <v/>
      </c>
      <c r="CX51" s="140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0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0"/>
      <c r="FS51" s="134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4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4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4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4"/>
      <c r="IB51" s="124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4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4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4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0"/>
      <c r="I52" s="134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4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4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4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0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0"/>
      <c r="BE52" s="134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4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4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4"/>
      <c r="CQ52" s="52" t="str">
        <f t="shared" si="175"/>
        <v/>
      </c>
      <c r="CX52" s="140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0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0"/>
      <c r="FS52" s="134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4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4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4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4"/>
      <c r="IB52" s="124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4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4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4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0"/>
      <c r="I53" s="134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4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4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4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0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0"/>
      <c r="BE53" s="134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4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4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4"/>
      <c r="CQ53" s="52" t="str">
        <f t="shared" si="175"/>
        <v/>
      </c>
      <c r="CX53" s="140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0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0"/>
      <c r="FS53" s="134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4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4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4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4"/>
      <c r="IB53" s="124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4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4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4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0"/>
      <c r="I54" s="134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4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4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4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0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0"/>
      <c r="BE54" s="134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4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4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4"/>
      <c r="CQ54" s="52" t="str">
        <f t="shared" si="175"/>
        <v/>
      </c>
      <c r="CX54" s="140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0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0"/>
      <c r="FS54" s="134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4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4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4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4"/>
      <c r="IB54" s="124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4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4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4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0"/>
      <c r="I55" s="134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4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4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4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0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0"/>
      <c r="BE55" s="134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4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4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4"/>
      <c r="CQ55" s="52" t="str">
        <f t="shared" si="175"/>
        <v/>
      </c>
      <c r="CX55" s="140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0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0"/>
      <c r="FS55" s="134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4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4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4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4"/>
      <c r="IB55" s="124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4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4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4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0"/>
      <c r="I56" s="134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4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4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4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0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0"/>
      <c r="BE56" s="134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4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4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4"/>
      <c r="CQ56" s="52" t="str">
        <f t="shared" si="175"/>
        <v/>
      </c>
      <c r="CX56" s="140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0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0"/>
      <c r="FS56" s="134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4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4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4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4"/>
      <c r="IB56" s="124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4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4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4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0"/>
      <c r="I57" s="134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4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4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4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0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0"/>
      <c r="BE57" s="134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4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4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4"/>
      <c r="CQ57" s="52" t="str">
        <f t="shared" si="175"/>
        <v/>
      </c>
      <c r="CX57" s="140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0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0"/>
      <c r="FS57" s="134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4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4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4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4"/>
      <c r="IB57" s="124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4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4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4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0"/>
      <c r="I58" s="134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4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4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4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0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0"/>
      <c r="BE58" s="134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4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4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4"/>
      <c r="CQ58" s="52" t="str">
        <f t="shared" si="175"/>
        <v/>
      </c>
      <c r="CX58" s="140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0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0"/>
      <c r="FS58" s="134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4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4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4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4"/>
      <c r="IB58" s="124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4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4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4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0"/>
      <c r="I59" s="134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4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4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4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0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0"/>
      <c r="BE59" s="134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4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4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4"/>
      <c r="CQ59" s="52" t="str">
        <f t="shared" si="175"/>
        <v/>
      </c>
      <c r="CX59" s="140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0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0"/>
      <c r="FS59" s="134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4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4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4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4"/>
      <c r="IB59" s="124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4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4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4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0"/>
      <c r="I60" s="134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4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4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4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0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0"/>
      <c r="BE60" s="134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4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4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4"/>
      <c r="CQ60" s="52" t="str">
        <f t="shared" si="175"/>
        <v/>
      </c>
      <c r="CX60" s="140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0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0"/>
      <c r="FS60" s="134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4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4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4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4"/>
      <c r="IB60" s="124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4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4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4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0"/>
      <c r="I61" s="134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4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4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4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0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0"/>
      <c r="BE61" s="134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4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4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4"/>
      <c r="CQ61" s="52" t="str">
        <f t="shared" si="175"/>
        <v/>
      </c>
      <c r="CX61" s="140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0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0"/>
      <c r="FS61" s="134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4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4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4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4"/>
      <c r="IB61" s="124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4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4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4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0"/>
      <c r="I62" s="134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4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4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4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0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0"/>
      <c r="BE62" s="134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4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4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4"/>
      <c r="CQ62" s="52" t="str">
        <f t="shared" si="175"/>
        <v/>
      </c>
      <c r="CX62" s="140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0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0"/>
      <c r="FS62" s="134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4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4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4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4"/>
      <c r="IB62" s="124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4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4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4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0"/>
      <c r="I63" s="134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4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4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4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0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0"/>
      <c r="BE63" s="134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4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4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4"/>
      <c r="CQ63" s="52" t="str">
        <f t="shared" si="175"/>
        <v/>
      </c>
      <c r="CX63" s="140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0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0"/>
      <c r="FS63" s="134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4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4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4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4"/>
      <c r="IB63" s="124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4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4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4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0"/>
      <c r="I64" s="134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4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4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4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0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0"/>
      <c r="BE64" s="134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4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4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4"/>
      <c r="CQ64" s="52" t="str">
        <f t="shared" si="175"/>
        <v/>
      </c>
      <c r="CX64" s="140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0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0"/>
      <c r="FS64" s="134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4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4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4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4"/>
      <c r="IB64" s="124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4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4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4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0"/>
      <c r="I65" s="134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4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4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4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0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0"/>
      <c r="BE65" s="134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4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4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4"/>
      <c r="CQ65" s="52" t="str">
        <f t="shared" si="175"/>
        <v/>
      </c>
      <c r="CX65" s="140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0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0"/>
      <c r="FS65" s="134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4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4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4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4"/>
      <c r="IB65" s="124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4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4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4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0"/>
      <c r="I66" s="134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4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4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4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0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0"/>
      <c r="BE66" s="134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4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4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4"/>
      <c r="CQ66" s="52" t="str">
        <f t="shared" si="175"/>
        <v/>
      </c>
      <c r="CX66" s="140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0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0"/>
      <c r="FS66" s="134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4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4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4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4"/>
      <c r="IB66" s="124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4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4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4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0"/>
      <c r="I67" s="134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4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4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4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0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0"/>
      <c r="BE67" s="134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4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4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4"/>
      <c r="CQ67" s="52" t="str">
        <f t="shared" si="175"/>
        <v/>
      </c>
      <c r="CX67" s="140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0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0"/>
      <c r="FS67" s="134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4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4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4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4"/>
      <c r="IB67" s="124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4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4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4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0"/>
      <c r="I68" s="134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4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4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4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0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0"/>
      <c r="BE68" s="134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4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4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4"/>
      <c r="CQ68" s="52" t="str">
        <f t="shared" si="175"/>
        <v/>
      </c>
      <c r="CX68" s="140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0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0"/>
      <c r="FS68" s="134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4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4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4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4"/>
      <c r="IB68" s="124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4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4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4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0"/>
      <c r="I69" s="134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4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4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4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0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0"/>
      <c r="BE69" s="134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4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4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4"/>
      <c r="CQ69" s="52" t="str">
        <f t="shared" si="175"/>
        <v/>
      </c>
      <c r="CX69" s="140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0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0"/>
      <c r="FS69" s="134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4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4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4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4"/>
      <c r="IB69" s="124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4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4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4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0"/>
      <c r="I70" s="134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4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4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4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0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0"/>
      <c r="BE70" s="134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4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4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4"/>
      <c r="CQ70" s="52" t="str">
        <f t="shared" si="175"/>
        <v/>
      </c>
      <c r="CX70" s="140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0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0"/>
      <c r="FS70" s="134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4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4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4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4"/>
      <c r="IB70" s="124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4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4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4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0"/>
      <c r="I71" s="134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4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4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4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0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0"/>
      <c r="BE71" s="134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4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4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4"/>
      <c r="CQ71" s="52" t="str">
        <f t="shared" si="175"/>
        <v/>
      </c>
      <c r="CX71" s="140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0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0"/>
      <c r="FS71" s="134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4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4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4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4"/>
      <c r="IB71" s="124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4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4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4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0"/>
      <c r="I72" s="134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4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4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4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0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0"/>
      <c r="BE72" s="134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4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4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4"/>
      <c r="CQ72" s="52" t="str">
        <f t="shared" si="175"/>
        <v/>
      </c>
      <c r="CX72" s="140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0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0"/>
      <c r="FS72" s="134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4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4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4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4"/>
      <c r="IB72" s="124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4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4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4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0"/>
      <c r="I73" s="134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4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4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4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0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0"/>
      <c r="BE73" s="134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4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4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4"/>
      <c r="CQ73" s="52" t="str">
        <f t="shared" si="175"/>
        <v/>
      </c>
      <c r="CX73" s="140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0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0"/>
      <c r="FS73" s="134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4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4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4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4"/>
      <c r="IB73" s="124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4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4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4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0"/>
      <c r="I74" s="134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4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4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4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0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0"/>
      <c r="BE74" s="134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4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4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4"/>
      <c r="CQ74" s="52" t="str">
        <f t="shared" si="175"/>
        <v/>
      </c>
      <c r="CX74" s="140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0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0"/>
      <c r="FS74" s="134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4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4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4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4"/>
      <c r="IB74" s="124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4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4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4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0"/>
      <c r="I75" s="134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4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4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4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0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0"/>
      <c r="BE75" s="134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4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4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4"/>
      <c r="CQ75" s="52" t="str">
        <f t="shared" si="175"/>
        <v/>
      </c>
      <c r="CX75" s="140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0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0"/>
      <c r="FS75" s="134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4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4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4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4"/>
      <c r="IB75" s="124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4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4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4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0"/>
      <c r="I76" s="134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4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4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4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0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0"/>
      <c r="BE76" s="134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4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4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4"/>
      <c r="CQ76" s="52" t="str">
        <f t="shared" si="175"/>
        <v/>
      </c>
      <c r="CX76" s="140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0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0"/>
      <c r="FS76" s="134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4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4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4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4"/>
      <c r="IB76" s="124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4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4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4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0"/>
      <c r="I77" s="134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4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4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4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0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0"/>
      <c r="BE77" s="134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4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4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4"/>
      <c r="CQ77" s="52" t="str">
        <f t="shared" si="175"/>
        <v/>
      </c>
      <c r="CX77" s="140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0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0"/>
      <c r="FS77" s="134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4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4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4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4"/>
      <c r="IB77" s="124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4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4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4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0"/>
      <c r="I78" s="134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4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4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4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0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0"/>
      <c r="BE78" s="134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4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4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4"/>
      <c r="CQ78" s="52" t="str">
        <f t="shared" si="175"/>
        <v/>
      </c>
      <c r="CX78" s="140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0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0"/>
      <c r="FS78" s="134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4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4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4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4"/>
      <c r="IB78" s="124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4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4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4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0"/>
      <c r="I79" s="134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4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4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4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0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0"/>
      <c r="BE79" s="134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4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4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4"/>
      <c r="CQ79" s="52" t="str">
        <f t="shared" si="175"/>
        <v/>
      </c>
      <c r="CX79" s="140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0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0"/>
      <c r="FS79" s="134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4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4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4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4"/>
      <c r="IB79" s="124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4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4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4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0"/>
      <c r="I80" s="134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4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4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4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0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0"/>
      <c r="BE80" s="134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4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4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4"/>
      <c r="CQ80" s="52" t="str">
        <f t="shared" si="175"/>
        <v/>
      </c>
      <c r="CX80" s="140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0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0"/>
      <c r="FS80" s="134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4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4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4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4"/>
      <c r="IB80" s="124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4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4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4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0"/>
      <c r="I81" s="134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4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4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4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0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0"/>
      <c r="BE81" s="134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4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4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4"/>
      <c r="CQ81" s="52" t="str">
        <f t="shared" si="175"/>
        <v/>
      </c>
      <c r="CX81" s="140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0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0"/>
      <c r="FS81" s="134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4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4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4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4"/>
      <c r="IB81" s="124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4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4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4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0"/>
      <c r="I82" s="134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4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4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4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0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0"/>
      <c r="BE82" s="134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4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4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4"/>
      <c r="CQ82" s="52" t="str">
        <f t="shared" si="175"/>
        <v/>
      </c>
      <c r="CX82" s="140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0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0"/>
      <c r="FS82" s="134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4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4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4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4"/>
      <c r="IB82" s="124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4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4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4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0"/>
      <c r="I83" s="134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4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4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4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0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0"/>
      <c r="BE83" s="134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4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4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4"/>
      <c r="CQ83" s="52" t="str">
        <f t="shared" si="175"/>
        <v/>
      </c>
      <c r="CX83" s="140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0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0"/>
      <c r="FS83" s="134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4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4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4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4"/>
      <c r="IB83" s="124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4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4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4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0"/>
      <c r="I84" s="134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4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4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4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0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0"/>
      <c r="BE84" s="134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4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4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4"/>
      <c r="CQ84" s="52" t="str">
        <f t="shared" si="175"/>
        <v/>
      </c>
      <c r="CX84" s="140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0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0"/>
      <c r="FS84" s="134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4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4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4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4"/>
      <c r="IB84" s="124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4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4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4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0"/>
      <c r="I85" s="134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4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4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4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0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0"/>
      <c r="BE85" s="134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4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4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4"/>
      <c r="CQ85" s="52" t="str">
        <f t="shared" si="175"/>
        <v/>
      </c>
      <c r="CX85" s="140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0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0"/>
      <c r="FS85" s="134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4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4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4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4"/>
      <c r="IB85" s="124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4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4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4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0"/>
      <c r="I86" s="134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4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4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4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0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0"/>
      <c r="BE86" s="134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4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4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4"/>
      <c r="CQ86" s="52" t="str">
        <f t="shared" si="175"/>
        <v/>
      </c>
      <c r="CX86" s="140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0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0"/>
      <c r="FS86" s="134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4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4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4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4"/>
      <c r="IB86" s="124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4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4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4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0"/>
      <c r="I87" s="134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4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4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4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0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0"/>
      <c r="BE87" s="134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4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4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4"/>
      <c r="CQ87" s="52" t="str">
        <f t="shared" si="175"/>
        <v/>
      </c>
      <c r="CX87" s="140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0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0"/>
      <c r="FS87" s="134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4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4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4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4"/>
      <c r="IB87" s="124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4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4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4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0"/>
      <c r="I88" s="134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4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4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4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0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0"/>
      <c r="BE88" s="134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4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4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4"/>
      <c r="CQ88" s="52" t="str">
        <f t="shared" si="175"/>
        <v/>
      </c>
      <c r="CX88" s="140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0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0"/>
      <c r="FS88" s="134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4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4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4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4"/>
      <c r="IB88" s="124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4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4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4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0"/>
      <c r="I89" s="134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4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4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4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0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0"/>
      <c r="BE89" s="134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4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4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4"/>
      <c r="CQ89" s="52" t="str">
        <f t="shared" si="175"/>
        <v/>
      </c>
      <c r="CX89" s="140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0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0"/>
      <c r="FS89" s="134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4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4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4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4"/>
      <c r="IB89" s="124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4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4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4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0"/>
      <c r="I90" s="134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4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4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4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0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0"/>
      <c r="BE90" s="134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4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4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4"/>
      <c r="CQ90" s="52" t="str">
        <f t="shared" si="175"/>
        <v/>
      </c>
      <c r="CX90" s="140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0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0"/>
      <c r="FS90" s="134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4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4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4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4"/>
      <c r="IB90" s="124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4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4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4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0"/>
      <c r="I91" s="134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4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4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4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0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0"/>
      <c r="BE91" s="134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4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4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4"/>
      <c r="CQ91" s="52" t="str">
        <f t="shared" si="175"/>
        <v/>
      </c>
      <c r="CX91" s="140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0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0"/>
      <c r="FS91" s="134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4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4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4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4"/>
      <c r="IB91" s="124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4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4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4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0"/>
      <c r="I92" s="134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4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4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4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0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0"/>
      <c r="BE92" s="134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4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4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4"/>
      <c r="CQ92" s="52" t="str">
        <f t="shared" si="175"/>
        <v/>
      </c>
      <c r="CX92" s="140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0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0"/>
      <c r="FS92" s="134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4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4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4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4"/>
      <c r="IB92" s="124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4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4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4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0"/>
      <c r="I93" s="134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4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4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4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0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0"/>
      <c r="BE93" s="134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4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4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4"/>
      <c r="CQ93" s="52" t="str">
        <f t="shared" si="175"/>
        <v/>
      </c>
      <c r="CX93" s="140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0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0"/>
      <c r="FS93" s="134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4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4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4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4"/>
      <c r="IB93" s="124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4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4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4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0"/>
      <c r="I94" s="134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4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4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4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0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0"/>
      <c r="BE94" s="134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4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4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4"/>
      <c r="CQ94" s="52" t="str">
        <f t="shared" si="175"/>
        <v/>
      </c>
      <c r="CX94" s="140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0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0"/>
      <c r="FS94" s="134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4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4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4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4"/>
      <c r="IB94" s="124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4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4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4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0"/>
      <c r="I95" s="134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4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4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4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0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0"/>
      <c r="BE95" s="134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4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4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4"/>
      <c r="CQ95" s="52" t="str">
        <f t="shared" si="175"/>
        <v/>
      </c>
      <c r="CX95" s="140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0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0"/>
      <c r="FS95" s="134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4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4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4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4"/>
      <c r="IB95" s="124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4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4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4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0"/>
      <c r="I96" s="134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4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4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4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0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0"/>
      <c r="BE96" s="134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4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4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4"/>
      <c r="CQ96" s="52" t="str">
        <f t="shared" si="175"/>
        <v/>
      </c>
      <c r="CX96" s="140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0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0"/>
      <c r="FS96" s="134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4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4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4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4"/>
      <c r="IB96" s="124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4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4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4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0"/>
      <c r="I97" s="134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4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4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4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0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0"/>
      <c r="BE97" s="134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4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4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4"/>
      <c r="CQ97" s="52" t="str">
        <f t="shared" si="175"/>
        <v/>
      </c>
      <c r="CX97" s="140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0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0"/>
      <c r="FS97" s="134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4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4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4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4"/>
      <c r="IB97" s="124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4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4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4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0"/>
      <c r="I98" s="134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4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4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4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0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0"/>
      <c r="BE98" s="134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4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4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4"/>
      <c r="CQ98" s="52" t="str">
        <f t="shared" ref="CQ98:CQ161" si="383">IF(AND(Sufficient_data="Yes",Include_study?="Yes"),c_/(c_+d_),"")</f>
        <v/>
      </c>
      <c r="CX98" s="140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0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0"/>
      <c r="FS98" s="134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4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4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4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4"/>
      <c r="IB98" s="124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4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4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4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0"/>
      <c r="I99" s="134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4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4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4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0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0"/>
      <c r="BE99" s="134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4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4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4"/>
      <c r="CQ99" s="52" t="str">
        <f t="shared" si="383"/>
        <v/>
      </c>
      <c r="CX99" s="140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0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0"/>
      <c r="FS99" s="134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4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4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4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4"/>
      <c r="IB99" s="124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4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4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4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0"/>
      <c r="I100" s="134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4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4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4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0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0"/>
      <c r="BE100" s="134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4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4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4"/>
      <c r="CQ100" s="52" t="str">
        <f t="shared" si="383"/>
        <v/>
      </c>
      <c r="CX100" s="140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0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0"/>
      <c r="FS100" s="134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4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4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4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4"/>
      <c r="IB100" s="124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4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4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4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0"/>
      <c r="I101" s="134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4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4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4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0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0"/>
      <c r="BE101" s="134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4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4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4"/>
      <c r="CQ101" s="52" t="str">
        <f t="shared" si="383"/>
        <v/>
      </c>
      <c r="CX101" s="140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0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0"/>
      <c r="FS101" s="134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4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4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4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4"/>
      <c r="IB101" s="124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4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4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4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0"/>
      <c r="I102" s="134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4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4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4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0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0"/>
      <c r="BE102" s="134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4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4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4"/>
      <c r="CQ102" s="52" t="str">
        <f t="shared" si="383"/>
        <v/>
      </c>
      <c r="CX102" s="140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0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0"/>
      <c r="FS102" s="134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4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4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4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4"/>
      <c r="IB102" s="124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4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4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4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0"/>
      <c r="I103" s="134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4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4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4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0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0"/>
      <c r="BE103" s="134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4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4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4"/>
      <c r="CQ103" s="52" t="str">
        <f t="shared" si="383"/>
        <v/>
      </c>
      <c r="CX103" s="140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0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0"/>
      <c r="FS103" s="134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4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4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4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4"/>
      <c r="IB103" s="124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4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4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4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0"/>
      <c r="I104" s="134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4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4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4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0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0"/>
      <c r="BE104" s="134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4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4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4"/>
      <c r="CQ104" s="52" t="str">
        <f t="shared" si="383"/>
        <v/>
      </c>
      <c r="CX104" s="140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0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0"/>
      <c r="FS104" s="134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4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4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4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4"/>
      <c r="IB104" s="124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4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4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4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0"/>
      <c r="I105" s="134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4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4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4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0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0"/>
      <c r="BE105" s="134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4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4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4"/>
      <c r="CQ105" s="52" t="str">
        <f t="shared" si="383"/>
        <v/>
      </c>
      <c r="CX105" s="140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0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0"/>
      <c r="FS105" s="134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4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4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4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4"/>
      <c r="IB105" s="124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4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4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4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0"/>
      <c r="I106" s="134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4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4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4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0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0"/>
      <c r="BE106" s="134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4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4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4"/>
      <c r="CQ106" s="52" t="str">
        <f t="shared" si="383"/>
        <v/>
      </c>
      <c r="CX106" s="140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0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0"/>
      <c r="FS106" s="134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4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4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4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4"/>
      <c r="IB106" s="124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4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4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4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0"/>
      <c r="I107" s="134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4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4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4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0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0"/>
      <c r="BE107" s="134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4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4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4"/>
      <c r="CQ107" s="52" t="str">
        <f t="shared" si="383"/>
        <v/>
      </c>
      <c r="CX107" s="140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0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0"/>
      <c r="FS107" s="134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4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4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4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4"/>
      <c r="IB107" s="124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4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4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4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0"/>
      <c r="I108" s="134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4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4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4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0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0"/>
      <c r="BE108" s="134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4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4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4"/>
      <c r="CQ108" s="52" t="str">
        <f t="shared" si="383"/>
        <v/>
      </c>
      <c r="CX108" s="140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0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0"/>
      <c r="FS108" s="134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4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4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4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4"/>
      <c r="IB108" s="124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4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4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4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0"/>
      <c r="I109" s="134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4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4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4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0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0"/>
      <c r="BE109" s="134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4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4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4"/>
      <c r="CQ109" s="52" t="str">
        <f t="shared" si="383"/>
        <v/>
      </c>
      <c r="CX109" s="140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0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0"/>
      <c r="FS109" s="134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4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4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4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4"/>
      <c r="IB109" s="124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4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4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4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0"/>
      <c r="I110" s="134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4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4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4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0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0"/>
      <c r="BE110" s="134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4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4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4"/>
      <c r="CQ110" s="52" t="str">
        <f t="shared" si="383"/>
        <v/>
      </c>
      <c r="CX110" s="140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0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0"/>
      <c r="FS110" s="134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4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4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4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4"/>
      <c r="IB110" s="124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4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4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4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0"/>
      <c r="I111" s="134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4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4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4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0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0"/>
      <c r="BE111" s="134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4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4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4"/>
      <c r="CQ111" s="52" t="str">
        <f t="shared" si="383"/>
        <v/>
      </c>
      <c r="CX111" s="140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0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0"/>
      <c r="FS111" s="134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4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4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4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4"/>
      <c r="IB111" s="124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4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4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4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0"/>
      <c r="I112" s="134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4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4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4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0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0"/>
      <c r="BE112" s="134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4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4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4"/>
      <c r="CQ112" s="52" t="str">
        <f t="shared" si="383"/>
        <v/>
      </c>
      <c r="CX112" s="140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0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0"/>
      <c r="FS112" s="134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4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4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4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4"/>
      <c r="IB112" s="124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4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4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4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0"/>
      <c r="I113" s="134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4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4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4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0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0"/>
      <c r="BE113" s="134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4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4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4"/>
      <c r="CQ113" s="52" t="str">
        <f t="shared" si="383"/>
        <v/>
      </c>
      <c r="CX113" s="140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0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0"/>
      <c r="FS113" s="134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4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4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4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4"/>
      <c r="IB113" s="124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4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4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4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0"/>
      <c r="I114" s="134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4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4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4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0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0"/>
      <c r="BE114" s="134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4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4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4"/>
      <c r="CQ114" s="52" t="str">
        <f t="shared" si="383"/>
        <v/>
      </c>
      <c r="CX114" s="140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0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0"/>
      <c r="FS114" s="134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4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4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4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4"/>
      <c r="IB114" s="124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4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4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4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0"/>
      <c r="I115" s="134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4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4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4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0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0"/>
      <c r="BE115" s="134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4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4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4"/>
      <c r="CQ115" s="52" t="str">
        <f t="shared" si="383"/>
        <v/>
      </c>
      <c r="CX115" s="140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0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0"/>
      <c r="FS115" s="134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4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4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4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4"/>
      <c r="IB115" s="124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4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4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4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0"/>
      <c r="I116" s="134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4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4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4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0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0"/>
      <c r="BE116" s="134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4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4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4"/>
      <c r="CQ116" s="52" t="str">
        <f t="shared" si="383"/>
        <v/>
      </c>
      <c r="CX116" s="140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0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0"/>
      <c r="FS116" s="134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4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4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4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4"/>
      <c r="IB116" s="124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4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4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4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0"/>
      <c r="I117" s="134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4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4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4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0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0"/>
      <c r="BE117" s="134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4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4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4"/>
      <c r="CQ117" s="52" t="str">
        <f t="shared" si="383"/>
        <v/>
      </c>
      <c r="CX117" s="140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0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0"/>
      <c r="FS117" s="134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4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4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4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4"/>
      <c r="IB117" s="124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4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4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4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0"/>
      <c r="I118" s="134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4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4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4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0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0"/>
      <c r="BE118" s="134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4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4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4"/>
      <c r="CQ118" s="52" t="str">
        <f t="shared" si="383"/>
        <v/>
      </c>
      <c r="CX118" s="140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0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0"/>
      <c r="FS118" s="134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4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4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4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4"/>
      <c r="IB118" s="124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4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4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4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0"/>
      <c r="I119" s="134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4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4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4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0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0"/>
      <c r="BE119" s="134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4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4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4"/>
      <c r="CQ119" s="52" t="str">
        <f t="shared" si="383"/>
        <v/>
      </c>
      <c r="CX119" s="140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0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0"/>
      <c r="FS119" s="134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4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4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4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4"/>
      <c r="IB119" s="124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4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4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4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0"/>
      <c r="I120" s="134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4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4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4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0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0"/>
      <c r="BE120" s="134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4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4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4"/>
      <c r="CQ120" s="52" t="str">
        <f t="shared" si="383"/>
        <v/>
      </c>
      <c r="CX120" s="140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0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0"/>
      <c r="FS120" s="134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4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4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4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4"/>
      <c r="IB120" s="124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4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4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4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0"/>
      <c r="I121" s="134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4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4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4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0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0"/>
      <c r="BE121" s="134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4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4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4"/>
      <c r="CQ121" s="52" t="str">
        <f t="shared" si="383"/>
        <v/>
      </c>
      <c r="CX121" s="140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0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0"/>
      <c r="FS121" s="134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4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4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4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4"/>
      <c r="IB121" s="124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4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4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4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0"/>
      <c r="I122" s="134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4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4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4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0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0"/>
      <c r="BE122" s="134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4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4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4"/>
      <c r="CQ122" s="52" t="str">
        <f t="shared" si="383"/>
        <v/>
      </c>
      <c r="CX122" s="140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0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0"/>
      <c r="FS122" s="134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4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4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4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4"/>
      <c r="IB122" s="124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4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4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4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0"/>
      <c r="I123" s="134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4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4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4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0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0"/>
      <c r="BE123" s="134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4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4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4"/>
      <c r="CQ123" s="52" t="str">
        <f t="shared" si="383"/>
        <v/>
      </c>
      <c r="CX123" s="140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0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0"/>
      <c r="FS123" s="134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4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4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4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4"/>
      <c r="IB123" s="124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4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4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4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0"/>
      <c r="I124" s="134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4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4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4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0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0"/>
      <c r="BE124" s="134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4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4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4"/>
      <c r="CQ124" s="52" t="str">
        <f t="shared" si="383"/>
        <v/>
      </c>
      <c r="CX124" s="140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0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0"/>
      <c r="FS124" s="134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4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4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4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4"/>
      <c r="IB124" s="124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4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4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4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0"/>
      <c r="I125" s="134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4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4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4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0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0"/>
      <c r="BE125" s="134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4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4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4"/>
      <c r="CQ125" s="52" t="str">
        <f t="shared" si="383"/>
        <v/>
      </c>
      <c r="CX125" s="140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0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0"/>
      <c r="FS125" s="134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4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4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4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4"/>
      <c r="IB125" s="124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4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4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4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0"/>
      <c r="I126" s="134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4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4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4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0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0"/>
      <c r="BE126" s="134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4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4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4"/>
      <c r="CQ126" s="52" t="str">
        <f t="shared" si="383"/>
        <v/>
      </c>
      <c r="CX126" s="140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0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0"/>
      <c r="FS126" s="134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4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4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4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4"/>
      <c r="IB126" s="124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4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4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4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0"/>
      <c r="I127" s="134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4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4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4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0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0"/>
      <c r="BE127" s="134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4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4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4"/>
      <c r="CQ127" s="52" t="str">
        <f t="shared" si="383"/>
        <v/>
      </c>
      <c r="CX127" s="140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0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0"/>
      <c r="FS127" s="134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4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4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4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4"/>
      <c r="IB127" s="124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4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4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4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0"/>
      <c r="I128" s="134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4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4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4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0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0"/>
      <c r="BE128" s="134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4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4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4"/>
      <c r="CQ128" s="52" t="str">
        <f t="shared" si="383"/>
        <v/>
      </c>
      <c r="CX128" s="140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0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0"/>
      <c r="FS128" s="134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4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4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4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4"/>
      <c r="IB128" s="124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4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4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4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0"/>
      <c r="I129" s="134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4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4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4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0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0"/>
      <c r="BE129" s="134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4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4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4"/>
      <c r="CQ129" s="52" t="str">
        <f t="shared" si="383"/>
        <v/>
      </c>
      <c r="CX129" s="140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0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0"/>
      <c r="FS129" s="134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4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4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4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4"/>
      <c r="IB129" s="124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4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4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4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0"/>
      <c r="I130" s="134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4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4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4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0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0"/>
      <c r="BE130" s="134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4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4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4"/>
      <c r="CQ130" s="52" t="str">
        <f t="shared" si="383"/>
        <v/>
      </c>
      <c r="CX130" s="140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0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0"/>
      <c r="FS130" s="134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4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4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4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4"/>
      <c r="IB130" s="124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4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4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4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0"/>
      <c r="I131" s="134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4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4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4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0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0"/>
      <c r="BE131" s="134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4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4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4"/>
      <c r="CQ131" s="52" t="str">
        <f t="shared" si="383"/>
        <v/>
      </c>
      <c r="CX131" s="140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0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0"/>
      <c r="FS131" s="134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4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4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4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4"/>
      <c r="IB131" s="124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4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4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4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0"/>
      <c r="I132" s="134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4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4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4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0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0"/>
      <c r="BE132" s="134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4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4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4"/>
      <c r="CQ132" s="52" t="str">
        <f t="shared" si="383"/>
        <v/>
      </c>
      <c r="CX132" s="140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0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0"/>
      <c r="FS132" s="134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4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4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4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4"/>
      <c r="IB132" s="124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4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4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4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0"/>
      <c r="I133" s="134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4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4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4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0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0"/>
      <c r="BE133" s="134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4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4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4"/>
      <c r="CQ133" s="52" t="str">
        <f t="shared" si="383"/>
        <v/>
      </c>
      <c r="CX133" s="140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0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0"/>
      <c r="FS133" s="134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4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4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4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4"/>
      <c r="IB133" s="124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4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4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4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0"/>
      <c r="I134" s="134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4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4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4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0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0"/>
      <c r="BE134" s="134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4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4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4"/>
      <c r="CQ134" s="52" t="str">
        <f t="shared" si="383"/>
        <v/>
      </c>
      <c r="CX134" s="140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0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0"/>
      <c r="FS134" s="134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4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4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4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4"/>
      <c r="IB134" s="124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4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4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4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0"/>
      <c r="I135" s="134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4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4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4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0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0"/>
      <c r="BE135" s="134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4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4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4"/>
      <c r="CQ135" s="52" t="str">
        <f t="shared" si="383"/>
        <v/>
      </c>
      <c r="CX135" s="140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0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0"/>
      <c r="FS135" s="134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4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4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4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4"/>
      <c r="IB135" s="124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4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4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4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0"/>
      <c r="I136" s="134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4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4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4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0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0"/>
      <c r="BE136" s="134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4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4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4"/>
      <c r="CQ136" s="52" t="str">
        <f t="shared" si="383"/>
        <v/>
      </c>
      <c r="CX136" s="140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0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0"/>
      <c r="FS136" s="134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4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4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4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4"/>
      <c r="IB136" s="124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4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4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4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0"/>
      <c r="I137" s="134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4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4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4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0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0"/>
      <c r="BE137" s="134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4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4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4"/>
      <c r="CQ137" s="52" t="str">
        <f t="shared" si="383"/>
        <v/>
      </c>
      <c r="CX137" s="140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0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0"/>
      <c r="FS137" s="134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4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4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4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4"/>
      <c r="IB137" s="124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4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4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4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0"/>
      <c r="I138" s="134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4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4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4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0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0"/>
      <c r="BE138" s="134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4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4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4"/>
      <c r="CQ138" s="52" t="str">
        <f t="shared" si="383"/>
        <v/>
      </c>
      <c r="CX138" s="140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0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0"/>
      <c r="FS138" s="134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4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4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4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4"/>
      <c r="IB138" s="124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4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4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4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0"/>
      <c r="I139" s="134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4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4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4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0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0"/>
      <c r="BE139" s="134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4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4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4"/>
      <c r="CQ139" s="52" t="str">
        <f t="shared" si="383"/>
        <v/>
      </c>
      <c r="CX139" s="140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0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0"/>
      <c r="FS139" s="134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4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4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4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4"/>
      <c r="IB139" s="124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4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4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4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0"/>
      <c r="I140" s="134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4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4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4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0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0"/>
      <c r="BE140" s="134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4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4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4"/>
      <c r="CQ140" s="52" t="str">
        <f t="shared" si="383"/>
        <v/>
      </c>
      <c r="CX140" s="140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0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0"/>
      <c r="FS140" s="134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4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4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4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4"/>
      <c r="IB140" s="124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4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4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4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0"/>
      <c r="I141" s="134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4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4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4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0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0"/>
      <c r="BE141" s="134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4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4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4"/>
      <c r="CQ141" s="52" t="str">
        <f t="shared" si="383"/>
        <v/>
      </c>
      <c r="CX141" s="140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0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0"/>
      <c r="FS141" s="134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4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4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4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4"/>
      <c r="IB141" s="124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4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4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4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0"/>
      <c r="I142" s="134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4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4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4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0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0"/>
      <c r="BE142" s="134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4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4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4"/>
      <c r="CQ142" s="52" t="str">
        <f t="shared" si="383"/>
        <v/>
      </c>
      <c r="CX142" s="140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0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0"/>
      <c r="FS142" s="134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4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4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4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4"/>
      <c r="IB142" s="124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4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4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4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0"/>
      <c r="I143" s="134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4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4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4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0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0"/>
      <c r="BE143" s="134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4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4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4"/>
      <c r="CQ143" s="52" t="str">
        <f t="shared" si="383"/>
        <v/>
      </c>
      <c r="CX143" s="140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0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0"/>
      <c r="FS143" s="134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4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4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4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4"/>
      <c r="IB143" s="124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4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4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4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0"/>
      <c r="I144" s="134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4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4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4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0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0"/>
      <c r="BE144" s="134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4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4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4"/>
      <c r="CQ144" s="52" t="str">
        <f t="shared" si="383"/>
        <v/>
      </c>
      <c r="CX144" s="140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0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0"/>
      <c r="FS144" s="134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4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4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4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4"/>
      <c r="IB144" s="124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4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4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4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0"/>
      <c r="I145" s="134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4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4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4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0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0"/>
      <c r="BE145" s="134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4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4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4"/>
      <c r="CQ145" s="52" t="str">
        <f t="shared" si="383"/>
        <v/>
      </c>
      <c r="CX145" s="140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0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0"/>
      <c r="FS145" s="134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4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4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4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4"/>
      <c r="IB145" s="124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4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4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4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0"/>
      <c r="I146" s="134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4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4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4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0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0"/>
      <c r="BE146" s="134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4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4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4"/>
      <c r="CQ146" s="52" t="str">
        <f t="shared" si="383"/>
        <v/>
      </c>
      <c r="CX146" s="140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0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0"/>
      <c r="FS146" s="134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4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4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4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4"/>
      <c r="IB146" s="124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4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4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4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0"/>
      <c r="I147" s="134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4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4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4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0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0"/>
      <c r="BE147" s="134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4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4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4"/>
      <c r="CQ147" s="52" t="str">
        <f t="shared" si="383"/>
        <v/>
      </c>
      <c r="CX147" s="140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0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0"/>
      <c r="FS147" s="134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4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4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4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4"/>
      <c r="IB147" s="124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4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4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4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0"/>
      <c r="I148" s="134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4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4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4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0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0"/>
      <c r="BE148" s="134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4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4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4"/>
      <c r="CQ148" s="52" t="str">
        <f t="shared" si="383"/>
        <v/>
      </c>
      <c r="CX148" s="140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0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0"/>
      <c r="FS148" s="134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4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4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4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4"/>
      <c r="IB148" s="124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4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4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4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0"/>
      <c r="I149" s="134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4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4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4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0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0"/>
      <c r="BE149" s="134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4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4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4"/>
      <c r="CQ149" s="52" t="str">
        <f t="shared" si="383"/>
        <v/>
      </c>
      <c r="CX149" s="140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0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0"/>
      <c r="FS149" s="134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4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4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4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4"/>
      <c r="IB149" s="124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4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4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4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0"/>
      <c r="I150" s="134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4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4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4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0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0"/>
      <c r="BE150" s="134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4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4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4"/>
      <c r="CQ150" s="52" t="str">
        <f t="shared" si="383"/>
        <v/>
      </c>
      <c r="CX150" s="140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0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0"/>
      <c r="FS150" s="134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4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4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4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4"/>
      <c r="IB150" s="124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4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4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4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0"/>
      <c r="I151" s="134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4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4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4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0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0"/>
      <c r="BE151" s="134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4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4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4"/>
      <c r="CQ151" s="52" t="str">
        <f t="shared" si="383"/>
        <v/>
      </c>
      <c r="CX151" s="140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0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0"/>
      <c r="FS151" s="134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4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4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4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4"/>
      <c r="IB151" s="124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4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4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4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0"/>
      <c r="I152" s="134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4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4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4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0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0"/>
      <c r="BE152" s="134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4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4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4"/>
      <c r="CQ152" s="52" t="str">
        <f t="shared" si="383"/>
        <v/>
      </c>
      <c r="CX152" s="140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0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0"/>
      <c r="FS152" s="134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4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4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4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4"/>
      <c r="IB152" s="124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4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4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4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0"/>
      <c r="I153" s="134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4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4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4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0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0"/>
      <c r="BE153" s="134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4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4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4"/>
      <c r="CQ153" s="52" t="str">
        <f t="shared" si="383"/>
        <v/>
      </c>
      <c r="CX153" s="140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0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0"/>
      <c r="FS153" s="134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4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4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4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4"/>
      <c r="IB153" s="124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4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4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4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0"/>
      <c r="I154" s="134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4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4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4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0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0"/>
      <c r="BE154" s="134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4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4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4"/>
      <c r="CQ154" s="52" t="str">
        <f t="shared" si="383"/>
        <v/>
      </c>
      <c r="CX154" s="140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0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0"/>
      <c r="FS154" s="134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4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4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4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4"/>
      <c r="IB154" s="124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4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4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4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0"/>
      <c r="I155" s="134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4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4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4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0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0"/>
      <c r="BE155" s="134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4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4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4"/>
      <c r="CQ155" s="52" t="str">
        <f t="shared" si="383"/>
        <v/>
      </c>
      <c r="CX155" s="140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0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0"/>
      <c r="FS155" s="134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4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4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4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4"/>
      <c r="IB155" s="124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4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4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4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0"/>
      <c r="I156" s="134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4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4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4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0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0"/>
      <c r="BE156" s="134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4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4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4"/>
      <c r="CQ156" s="52" t="str">
        <f t="shared" si="383"/>
        <v/>
      </c>
      <c r="CX156" s="140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0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0"/>
      <c r="FS156" s="134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4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4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4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4"/>
      <c r="IB156" s="124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4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4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4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0"/>
      <c r="I157" s="134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4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4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4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0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0"/>
      <c r="BE157" s="134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4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4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4"/>
      <c r="CQ157" s="52" t="str">
        <f t="shared" si="383"/>
        <v/>
      </c>
      <c r="CX157" s="140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0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0"/>
      <c r="FS157" s="134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4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4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4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4"/>
      <c r="IB157" s="124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4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4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4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0"/>
      <c r="I158" s="134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4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4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4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0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0"/>
      <c r="BE158" s="134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4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4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4"/>
      <c r="CQ158" s="52" t="str">
        <f t="shared" si="383"/>
        <v/>
      </c>
      <c r="CX158" s="140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0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0"/>
      <c r="FS158" s="134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4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4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4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4"/>
      <c r="IB158" s="124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4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4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4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0"/>
      <c r="I159" s="134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4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4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4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0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0"/>
      <c r="BE159" s="134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4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4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4"/>
      <c r="CQ159" s="52" t="str">
        <f t="shared" si="383"/>
        <v/>
      </c>
      <c r="CX159" s="140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0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0"/>
      <c r="FS159" s="134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4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4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4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4"/>
      <c r="IB159" s="124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4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4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4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0"/>
      <c r="I160" s="134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4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4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4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0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0"/>
      <c r="BE160" s="134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4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4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4"/>
      <c r="CQ160" s="52" t="str">
        <f t="shared" si="383"/>
        <v/>
      </c>
      <c r="CX160" s="140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0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0"/>
      <c r="FS160" s="134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4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4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4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4"/>
      <c r="IB160" s="124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4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4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4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0"/>
      <c r="I161" s="134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4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4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4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0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0"/>
      <c r="BE161" s="134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4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4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4"/>
      <c r="CQ161" s="52" t="str">
        <f t="shared" si="383"/>
        <v/>
      </c>
      <c r="CX161" s="140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0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0"/>
      <c r="FS161" s="134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4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4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4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4"/>
      <c r="IB161" s="124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4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4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4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0"/>
      <c r="I162" s="134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4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4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4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0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0"/>
      <c r="BE162" s="134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4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4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4"/>
      <c r="CQ162" s="52" t="str">
        <f t="shared" ref="CQ162:CQ201" si="582">IF(AND(Sufficient_data="Yes",Include_study?="Yes"),c_/(c_+d_),"")</f>
        <v/>
      </c>
      <c r="CX162" s="140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0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0"/>
      <c r="FS162" s="134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4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4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4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4"/>
      <c r="IB162" s="124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4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4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4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0"/>
      <c r="I163" s="134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4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4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4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0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0"/>
      <c r="BE163" s="134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4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4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4"/>
      <c r="CQ163" s="52" t="str">
        <f t="shared" si="582"/>
        <v/>
      </c>
      <c r="CX163" s="140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0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0"/>
      <c r="FS163" s="134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4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4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4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4"/>
      <c r="IB163" s="124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4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4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4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0"/>
      <c r="I164" s="134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4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4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4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0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0"/>
      <c r="BE164" s="134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4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4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4"/>
      <c r="CQ164" s="52" t="str">
        <f t="shared" si="582"/>
        <v/>
      </c>
      <c r="CX164" s="140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0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0"/>
      <c r="FS164" s="134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4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4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4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4"/>
      <c r="IB164" s="124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4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4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4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0"/>
      <c r="I165" s="134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4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4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4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0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0"/>
      <c r="BE165" s="134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4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4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4"/>
      <c r="CQ165" s="52" t="str">
        <f t="shared" si="582"/>
        <v/>
      </c>
      <c r="CX165" s="140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0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0"/>
      <c r="FS165" s="134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4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4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4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4"/>
      <c r="IB165" s="124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4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4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4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0"/>
      <c r="I166" s="134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4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4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4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0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0"/>
      <c r="BE166" s="134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4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4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4"/>
      <c r="CQ166" s="52" t="str">
        <f t="shared" si="582"/>
        <v/>
      </c>
      <c r="CX166" s="140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0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0"/>
      <c r="FS166" s="134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4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4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4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4"/>
      <c r="IB166" s="124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4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4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4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0"/>
      <c r="I167" s="134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4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4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4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0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0"/>
      <c r="BE167" s="134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4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4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4"/>
      <c r="CQ167" s="52" t="str">
        <f t="shared" si="582"/>
        <v/>
      </c>
      <c r="CX167" s="140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0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0"/>
      <c r="FS167" s="134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4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4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4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4"/>
      <c r="IB167" s="124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4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4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4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0"/>
      <c r="I168" s="134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4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4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4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0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0"/>
      <c r="BE168" s="134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4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4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4"/>
      <c r="CQ168" s="52" t="str">
        <f t="shared" si="582"/>
        <v/>
      </c>
      <c r="CX168" s="140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0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0"/>
      <c r="FS168" s="134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4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4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4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4"/>
      <c r="IB168" s="124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4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4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4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0"/>
      <c r="I169" s="134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4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4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4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0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0"/>
      <c r="BE169" s="134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4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4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4"/>
      <c r="CQ169" s="52" t="str">
        <f t="shared" si="582"/>
        <v/>
      </c>
      <c r="CX169" s="140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0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0"/>
      <c r="FS169" s="134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4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4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4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4"/>
      <c r="IB169" s="124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4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4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4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0"/>
      <c r="I170" s="134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4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4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4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0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0"/>
      <c r="BE170" s="134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4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4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4"/>
      <c r="CQ170" s="52" t="str">
        <f t="shared" si="582"/>
        <v/>
      </c>
      <c r="CX170" s="140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0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0"/>
      <c r="FS170" s="134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4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4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4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4"/>
      <c r="IB170" s="124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4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4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4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0"/>
      <c r="I171" s="134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4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4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4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0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0"/>
      <c r="BE171" s="134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4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4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4"/>
      <c r="CQ171" s="52" t="str">
        <f t="shared" si="582"/>
        <v/>
      </c>
      <c r="CX171" s="140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0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0"/>
      <c r="FS171" s="134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4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4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4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4"/>
      <c r="IB171" s="124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4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4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4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0"/>
      <c r="I172" s="134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4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4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4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0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0"/>
      <c r="BE172" s="134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4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4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4"/>
      <c r="CQ172" s="52" t="str">
        <f t="shared" si="582"/>
        <v/>
      </c>
      <c r="CX172" s="140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0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0"/>
      <c r="FS172" s="134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4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4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4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4"/>
      <c r="IB172" s="124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4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4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4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0"/>
      <c r="I173" s="134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4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4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4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0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0"/>
      <c r="BE173" s="134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4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4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4"/>
      <c r="CQ173" s="52" t="str">
        <f t="shared" si="582"/>
        <v/>
      </c>
      <c r="CX173" s="140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0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0"/>
      <c r="FS173" s="134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4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4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4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4"/>
      <c r="IB173" s="124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4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4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4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0"/>
      <c r="I174" s="134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4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4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4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0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0"/>
      <c r="BE174" s="134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4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4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4"/>
      <c r="CQ174" s="52" t="str">
        <f t="shared" si="582"/>
        <v/>
      </c>
      <c r="CX174" s="140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0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0"/>
      <c r="FS174" s="134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4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4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4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4"/>
      <c r="IB174" s="124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4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4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4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0"/>
      <c r="I175" s="134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4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4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4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0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0"/>
      <c r="BE175" s="134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4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4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4"/>
      <c r="CQ175" s="52" t="str">
        <f t="shared" si="582"/>
        <v/>
      </c>
      <c r="CX175" s="140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0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0"/>
      <c r="FS175" s="134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4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4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4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4"/>
      <c r="IB175" s="124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4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4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4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0"/>
      <c r="I176" s="134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4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4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4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0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0"/>
      <c r="BE176" s="134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4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4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4"/>
      <c r="CQ176" s="52" t="str">
        <f t="shared" si="582"/>
        <v/>
      </c>
      <c r="CX176" s="140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0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0"/>
      <c r="FS176" s="134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4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4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4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4"/>
      <c r="IB176" s="124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4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4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4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0"/>
      <c r="I177" s="134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4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4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4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0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0"/>
      <c r="BE177" s="134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4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4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4"/>
      <c r="CQ177" s="52" t="str">
        <f t="shared" si="582"/>
        <v/>
      </c>
      <c r="CX177" s="140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0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0"/>
      <c r="FS177" s="134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4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4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4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4"/>
      <c r="IB177" s="124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4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4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4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0"/>
      <c r="I178" s="134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4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4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4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0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0"/>
      <c r="BE178" s="134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4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4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4"/>
      <c r="CQ178" s="52" t="str">
        <f t="shared" si="582"/>
        <v/>
      </c>
      <c r="CX178" s="140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0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0"/>
      <c r="FS178" s="134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4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4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4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4"/>
      <c r="IB178" s="124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4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4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4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0"/>
      <c r="I179" s="134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4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4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4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0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0"/>
      <c r="BE179" s="134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4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4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4"/>
      <c r="CQ179" s="52" t="str">
        <f t="shared" si="582"/>
        <v/>
      </c>
      <c r="CX179" s="140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0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0"/>
      <c r="FS179" s="134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4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4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4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4"/>
      <c r="IB179" s="124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4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4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4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0"/>
      <c r="I180" s="134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4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4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4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0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0"/>
      <c r="BE180" s="134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4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4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4"/>
      <c r="CQ180" s="52" t="str">
        <f t="shared" si="582"/>
        <v/>
      </c>
      <c r="CX180" s="140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0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0"/>
      <c r="FS180" s="134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4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4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4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4"/>
      <c r="IB180" s="124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4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4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4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0"/>
      <c r="I181" s="134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4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4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4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0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0"/>
      <c r="BE181" s="134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4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4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4"/>
      <c r="CQ181" s="52" t="str">
        <f t="shared" si="582"/>
        <v/>
      </c>
      <c r="CX181" s="140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0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0"/>
      <c r="FS181" s="134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4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4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4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4"/>
      <c r="IB181" s="124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4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4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4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0"/>
      <c r="I182" s="134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4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4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4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0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0"/>
      <c r="BE182" s="134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4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4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4"/>
      <c r="CQ182" s="52" t="str">
        <f t="shared" si="582"/>
        <v/>
      </c>
      <c r="CX182" s="140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0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0"/>
      <c r="FS182" s="134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4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4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4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4"/>
      <c r="IB182" s="124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4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4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4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0"/>
      <c r="I183" s="134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4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4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4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0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0"/>
      <c r="BE183" s="134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4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4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4"/>
      <c r="CQ183" s="52" t="str">
        <f t="shared" si="582"/>
        <v/>
      </c>
      <c r="CX183" s="140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0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0"/>
      <c r="FS183" s="134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4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4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4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4"/>
      <c r="IB183" s="124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4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4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4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0"/>
      <c r="I184" s="134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4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4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4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0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0"/>
      <c r="BE184" s="134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4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4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4"/>
      <c r="CQ184" s="52" t="str">
        <f t="shared" si="582"/>
        <v/>
      </c>
      <c r="CX184" s="140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0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0"/>
      <c r="FS184" s="134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4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4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4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4"/>
      <c r="IB184" s="124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4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4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4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0"/>
      <c r="I185" s="134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4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4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4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0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0"/>
      <c r="BE185" s="134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4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4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4"/>
      <c r="CQ185" s="52" t="str">
        <f t="shared" si="582"/>
        <v/>
      </c>
      <c r="CX185" s="140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0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0"/>
      <c r="FS185" s="134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4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4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4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4"/>
      <c r="IB185" s="124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4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4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4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0"/>
      <c r="I186" s="134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4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4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4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0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0"/>
      <c r="BE186" s="134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4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4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4"/>
      <c r="CQ186" s="52" t="str">
        <f t="shared" si="582"/>
        <v/>
      </c>
      <c r="CX186" s="140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0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0"/>
      <c r="FS186" s="134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4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4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4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4"/>
      <c r="IB186" s="124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4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4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4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0"/>
      <c r="I187" s="134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4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4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4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0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0"/>
      <c r="BE187" s="134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4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4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4"/>
      <c r="CQ187" s="52" t="str">
        <f t="shared" si="582"/>
        <v/>
      </c>
      <c r="CX187" s="140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0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0"/>
      <c r="FS187" s="134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4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4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4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4"/>
      <c r="IB187" s="124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4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4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4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0"/>
      <c r="I188" s="134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4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4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4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0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0"/>
      <c r="BE188" s="134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4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4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4"/>
      <c r="CQ188" s="52" t="str">
        <f t="shared" si="582"/>
        <v/>
      </c>
      <c r="CX188" s="140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0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0"/>
      <c r="FS188" s="134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4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4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4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4"/>
      <c r="IB188" s="124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4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4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4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0"/>
      <c r="I189" s="134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4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4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4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0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0"/>
      <c r="BE189" s="134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4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4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4"/>
      <c r="CQ189" s="52" t="str">
        <f t="shared" si="582"/>
        <v/>
      </c>
      <c r="CX189" s="140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0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0"/>
      <c r="FS189" s="134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4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4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4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4"/>
      <c r="IB189" s="124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4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4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4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0"/>
      <c r="I190" s="134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4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4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4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0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0"/>
      <c r="BE190" s="134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4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4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4"/>
      <c r="CQ190" s="52" t="str">
        <f t="shared" si="582"/>
        <v/>
      </c>
      <c r="CX190" s="140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0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0"/>
      <c r="FS190" s="134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4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4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4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4"/>
      <c r="IB190" s="124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4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4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4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0"/>
      <c r="I191" s="134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4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4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4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0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0"/>
      <c r="BE191" s="134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4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4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4"/>
      <c r="CQ191" s="52" t="str">
        <f t="shared" si="582"/>
        <v/>
      </c>
      <c r="CX191" s="140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0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0"/>
      <c r="FS191" s="134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4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4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4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4"/>
      <c r="IB191" s="124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4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4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4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0"/>
      <c r="I192" s="134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4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4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4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0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0"/>
      <c r="BE192" s="134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4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4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4"/>
      <c r="CQ192" s="52" t="str">
        <f t="shared" si="582"/>
        <v/>
      </c>
      <c r="CX192" s="140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0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0"/>
      <c r="FS192" s="134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4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4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4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4"/>
      <c r="IB192" s="124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4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4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4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0"/>
      <c r="I193" s="134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4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4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4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0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0"/>
      <c r="BE193" s="134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4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4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4"/>
      <c r="CQ193" s="52" t="str">
        <f t="shared" si="582"/>
        <v/>
      </c>
      <c r="CX193" s="140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0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0"/>
      <c r="FS193" s="134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4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4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4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4"/>
      <c r="IB193" s="124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4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4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4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0"/>
      <c r="I194" s="134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4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4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4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0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0"/>
      <c r="BE194" s="134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4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4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4"/>
      <c r="CQ194" s="52" t="str">
        <f t="shared" si="582"/>
        <v/>
      </c>
      <c r="CX194" s="140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0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0"/>
      <c r="FS194" s="134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4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4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4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4"/>
      <c r="IB194" s="124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4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4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4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0"/>
      <c r="I195" s="134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4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4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4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0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0"/>
      <c r="BE195" s="134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4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4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4"/>
      <c r="CQ195" s="52" t="str">
        <f t="shared" si="582"/>
        <v/>
      </c>
      <c r="CX195" s="140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0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0"/>
      <c r="FS195" s="134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4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4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4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4"/>
      <c r="IB195" s="124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4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4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4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0"/>
      <c r="I196" s="134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4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4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4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0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0"/>
      <c r="BE196" s="134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4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4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4"/>
      <c r="CQ196" s="52" t="str">
        <f t="shared" si="582"/>
        <v/>
      </c>
      <c r="CX196" s="140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0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0"/>
      <c r="FS196" s="134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4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4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4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4"/>
      <c r="IB196" s="124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4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4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4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0"/>
      <c r="I197" s="134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4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4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4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0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0"/>
      <c r="BE197" s="134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4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4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4"/>
      <c r="CQ197" s="52" t="str">
        <f t="shared" si="582"/>
        <v/>
      </c>
      <c r="CX197" s="140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0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0"/>
      <c r="FS197" s="134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4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4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4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4"/>
      <c r="IB197" s="124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4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4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4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0"/>
      <c r="I198" s="134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4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4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4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0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0"/>
      <c r="BE198" s="134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4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4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4"/>
      <c r="CQ198" s="52" t="str">
        <f t="shared" si="582"/>
        <v/>
      </c>
      <c r="CX198" s="140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0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0"/>
      <c r="FS198" s="134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4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4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4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4"/>
      <c r="IB198" s="124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4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4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4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0"/>
      <c r="I199" s="134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4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4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4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0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0"/>
      <c r="BE199" s="134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4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4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4"/>
      <c r="CQ199" s="52" t="str">
        <f t="shared" si="582"/>
        <v/>
      </c>
      <c r="CX199" s="140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0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0"/>
      <c r="FS199" s="134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4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4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4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4"/>
      <c r="IB199" s="124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4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4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4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0"/>
      <c r="I200" s="134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4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4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4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0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0"/>
      <c r="BE200" s="134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4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4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4"/>
      <c r="CQ200" s="52" t="str">
        <f t="shared" si="582"/>
        <v/>
      </c>
      <c r="CX200" s="140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0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0"/>
      <c r="FS200" s="134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4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4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4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4"/>
      <c r="IB200" s="124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4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4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4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1"/>
      <c r="I201" s="135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5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5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5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1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1"/>
      <c r="BE201" s="135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5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5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5"/>
      <c r="CQ201" s="53" t="str">
        <f t="shared" si="582"/>
        <v/>
      </c>
      <c r="CX201" s="141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1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1"/>
      <c r="FS201" s="135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5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5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5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5"/>
      <c r="IB201" s="125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5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5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5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Sheet1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</cp:lastModifiedBy>
  <cp:revision/>
  <dcterms:created xsi:type="dcterms:W3CDTF">2013-09-05T11:10:04Z</dcterms:created>
  <dcterms:modified xsi:type="dcterms:W3CDTF">2023-06-29T10:47:18Z</dcterms:modified>
  <cp:category/>
  <cp:contentStatus/>
</cp:coreProperties>
</file>