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shiza_saleem_ku_ac_ae/Documents/Documents/RA_2023/Leontios/meta-analysis/Meta_essential/Emotional model metaanalysis/datasettype/"/>
    </mc:Choice>
  </mc:AlternateContent>
  <xr:revisionPtr revIDLastSave="14" documentId="8_{D4687EA3-623F-4B8B-9634-1D10EE0FC239}" xr6:coauthVersionLast="47" xr6:coauthVersionMax="47" xr10:uidLastSave="{58B0FE12-76CE-41C9-81F6-1FB218C9C7BC}"/>
  <bookViews>
    <workbookView xWindow="-110" yWindow="-110" windowWidth="19420" windowHeight="10300" tabRatio="819" activeTab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J8" i="1" l="1"/>
  <c r="J9" i="1"/>
  <c r="J5" i="1" l="1"/>
  <c r="B4" i="8"/>
  <c r="J2" i="1"/>
  <c r="A2" i="1" s="1"/>
  <c r="J3" i="1"/>
  <c r="A3" i="1" s="1"/>
  <c r="J4" i="1"/>
  <c r="J6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A4" i="1" l="1"/>
  <c r="A5" i="1" s="1"/>
  <c r="A6" i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A63" i="2" s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AL181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7" i="1" s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BI39" i="2"/>
  <c r="AM12" i="2"/>
  <c r="BE12" i="8" s="1"/>
  <c r="BJ56" i="2"/>
  <c r="DA12" i="2"/>
  <c r="E12" i="2"/>
  <c r="CQ12" i="2" s="1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51" i="2"/>
  <c r="E7" i="2"/>
  <c r="D7" i="2"/>
  <c r="C7" i="2"/>
  <c r="AT9" i="8"/>
  <c r="BE11" i="8"/>
  <c r="D12" i="10"/>
  <c r="CZ11" i="2"/>
  <c r="V10" i="8"/>
  <c r="IY186" i="2"/>
  <c r="A39" i="2"/>
  <c r="BY88" i="2"/>
  <c r="BY48" i="2"/>
  <c r="D6" i="2"/>
  <c r="AW107" i="2"/>
  <c r="DP34" i="2"/>
  <c r="AX180" i="2"/>
  <c r="AX155" i="2"/>
  <c r="AW100" i="2"/>
  <c r="AX123" i="2"/>
  <c r="A48" i="2"/>
  <c r="AX131" i="2"/>
  <c r="AW77" i="2"/>
  <c r="IV58" i="2"/>
  <c r="IW58" i="2" s="1"/>
  <c r="AY131" i="2"/>
  <c r="IV154" i="2"/>
  <c r="IW154" i="2" s="1"/>
  <c r="IY130" i="2"/>
  <c r="IV82" i="2"/>
  <c r="IW82" i="2" s="1"/>
  <c r="AX107" i="2"/>
  <c r="BJ135" i="2"/>
  <c r="BI95" i="2"/>
  <c r="AY100" i="2"/>
  <c r="AW139" i="2"/>
  <c r="AX139" i="2"/>
  <c r="IY43" i="2"/>
  <c r="AW59" i="2"/>
  <c r="BJ127" i="2"/>
  <c r="AY179" i="2"/>
  <c r="BJ79" i="2"/>
  <c r="DR34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67" i="2"/>
  <c r="IY151" i="2"/>
  <c r="IV135" i="2"/>
  <c r="IW135" i="2" s="1"/>
  <c r="AX60" i="2"/>
  <c r="AY117" i="2"/>
  <c r="AY149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AY167" i="2"/>
  <c r="CK143" i="2"/>
  <c r="AX143" i="2"/>
  <c r="DR120" i="2"/>
  <c r="AX167" i="2"/>
  <c r="BI45" i="2"/>
  <c r="AX151" i="2"/>
  <c r="BJ77" i="2"/>
  <c r="BY199" i="2"/>
  <c r="AX114" i="2"/>
  <c r="A80" i="2"/>
  <c r="BJ53" i="2"/>
  <c r="IY42" i="2"/>
  <c r="IV114" i="2"/>
  <c r="IW114" i="2" s="1"/>
  <c r="AY39" i="2"/>
  <c r="AY109" i="2"/>
  <c r="IY66" i="2"/>
  <c r="IY162" i="2"/>
  <c r="DP120" i="2"/>
  <c r="A88" i="2"/>
  <c r="AW101" i="2"/>
  <c r="AM4" i="2"/>
  <c r="V4" i="8" s="1"/>
  <c r="BY53" i="2"/>
  <c r="A47" i="2"/>
  <c r="AW156" i="2"/>
  <c r="IY178" i="2"/>
  <c r="IY122" i="2"/>
  <c r="AX156" i="2"/>
  <c r="BJ196" i="2"/>
  <c r="BJ69" i="2"/>
  <c r="BY85" i="2"/>
  <c r="BX69" i="2"/>
  <c r="AL34" i="2"/>
  <c r="DR48" i="2"/>
  <c r="IV146" i="2"/>
  <c r="IW146" i="2" s="1"/>
  <c r="IV98" i="2"/>
  <c r="IW98" i="2" s="1"/>
  <c r="AX77" i="2"/>
  <c r="AL104" i="2"/>
  <c r="AW117" i="2"/>
  <c r="BJ117" i="2"/>
  <c r="BX174" i="2"/>
  <c r="DP48" i="2"/>
  <c r="AW109" i="2"/>
  <c r="A56" i="2"/>
  <c r="IV74" i="2"/>
  <c r="IW74" i="2" s="1"/>
  <c r="IV59" i="2"/>
  <c r="IW59" i="2" s="1"/>
  <c r="IV170" i="2"/>
  <c r="IW170" i="2" s="1"/>
  <c r="E4" i="10"/>
  <c r="FB4" i="2" s="1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BJ109" i="2"/>
  <c r="BJ85" i="2"/>
  <c r="BX93" i="2"/>
  <c r="IY52" i="2"/>
  <c r="AY50" i="2"/>
  <c r="AW50" i="2"/>
  <c r="IV91" i="2"/>
  <c r="IW91" i="2" s="1"/>
  <c r="IY92" i="2"/>
  <c r="IV117" i="2"/>
  <c r="IW117" i="2" s="1"/>
  <c r="AL130" i="2"/>
  <c r="IV60" i="2"/>
  <c r="IW60" i="2" s="1"/>
  <c r="A58" i="2"/>
  <c r="BX130" i="2"/>
  <c r="IY187" i="2"/>
  <c r="AX178" i="2"/>
  <c r="AW34" i="2"/>
  <c r="DP31" i="2"/>
  <c r="AW114" i="2"/>
  <c r="AW151" i="2"/>
  <c r="CJ37" i="2"/>
  <c r="BI36" i="2"/>
  <c r="IY163" i="2"/>
  <c r="IY124" i="2"/>
  <c r="AY178" i="2"/>
  <c r="AW143" i="2"/>
  <c r="AL74" i="2"/>
  <c r="CJ35" i="2"/>
  <c r="BI52" i="2"/>
  <c r="IV148" i="2"/>
  <c r="IW148" i="2" s="1"/>
  <c r="IV40" i="2"/>
  <c r="IW40" i="2" s="1"/>
  <c r="IV108" i="2"/>
  <c r="IW108" i="2" s="1"/>
  <c r="AY186" i="2"/>
  <c r="AL186" i="2"/>
  <c r="CK61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A66" i="2"/>
  <c r="AL154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BY184" i="2"/>
  <c r="CK155" i="2"/>
  <c r="A82" i="2"/>
  <c r="BY200" i="2"/>
  <c r="BY112" i="2"/>
  <c r="BI34" i="2"/>
  <c r="CK93" i="2"/>
  <c r="CJ149" i="2"/>
  <c r="E4" i="2"/>
  <c r="D4" i="2"/>
  <c r="C4" i="2"/>
  <c r="AI4" i="8" s="1"/>
  <c r="BY125" i="2"/>
  <c r="BY178" i="2"/>
  <c r="BY42" i="2"/>
  <c r="CJ55" i="2"/>
  <c r="BX66" i="2"/>
  <c r="AX34" i="2"/>
  <c r="BY146" i="2"/>
  <c r="BX101" i="2"/>
  <c r="BY77" i="2"/>
  <c r="BY50" i="2"/>
  <c r="BY37" i="2"/>
  <c r="CK175" i="2"/>
  <c r="BX194" i="2"/>
  <c r="BY172" i="2"/>
  <c r="BY116" i="2"/>
  <c r="CJ135" i="2"/>
  <c r="BY170" i="2"/>
  <c r="BI64" i="2"/>
  <c r="A35" i="2"/>
  <c r="AY191" i="2"/>
  <c r="A91" i="2"/>
  <c r="BY175" i="2"/>
  <c r="BY151" i="2"/>
  <c r="BY71" i="2"/>
  <c r="BY47" i="2"/>
  <c r="A200" i="2"/>
  <c r="AL83" i="2"/>
  <c r="BJ104" i="2"/>
  <c r="BY103" i="2"/>
  <c r="BY79" i="2"/>
  <c r="BI112" i="2"/>
  <c r="IY36" i="2"/>
  <c r="BY159" i="2"/>
  <c r="BY31" i="2"/>
  <c r="CJ58" i="2"/>
  <c r="AY90" i="2"/>
  <c r="BY111" i="2"/>
  <c r="BY87" i="2"/>
  <c r="BY143" i="2"/>
  <c r="BY119" i="2"/>
  <c r="BY39" i="2"/>
  <c r="IY34" i="2"/>
  <c r="IV30" i="2"/>
  <c r="IW30" i="2" s="1"/>
  <c r="BX163" i="2"/>
  <c r="BY131" i="2"/>
  <c r="BX131" i="2"/>
  <c r="IY61" i="2"/>
  <c r="IV61" i="2"/>
  <c r="IW61" i="2" s="1"/>
  <c r="IY69" i="2"/>
  <c r="IV69" i="2"/>
  <c r="IW69" i="2" s="1"/>
  <c r="AY55" i="2"/>
  <c r="AX55" i="2"/>
  <c r="AX63" i="2"/>
  <c r="AY79" i="2"/>
  <c r="AX79" i="2"/>
  <c r="AW103" i="2"/>
  <c r="AW79" i="2"/>
  <c r="AW58" i="2"/>
  <c r="AY58" i="2"/>
  <c r="AY154" i="2"/>
  <c r="AW154" i="2"/>
  <c r="AY195" i="2"/>
  <c r="AX195" i="2"/>
  <c r="AL67" i="2"/>
  <c r="A67" i="2"/>
  <c r="A59" i="2"/>
  <c r="AW191" i="2"/>
  <c r="AW195" i="2"/>
  <c r="CK123" i="2"/>
  <c r="CJ123" i="2"/>
  <c r="CJ107" i="2"/>
  <c r="CK107" i="2"/>
  <c r="CJ83" i="2"/>
  <c r="CK83" i="2"/>
  <c r="BX58" i="2"/>
  <c r="E3" i="2"/>
  <c r="BJ138" i="2"/>
  <c r="BY186" i="2"/>
  <c r="BY122" i="2"/>
  <c r="D3" i="2"/>
  <c r="BJ82" i="2"/>
  <c r="C3" i="2"/>
  <c r="BJ154" i="2"/>
  <c r="BY34" i="2"/>
  <c r="CK82" i="2"/>
  <c r="D13" i="8"/>
  <c r="BE13" i="8"/>
  <c r="CZ7" i="2"/>
  <c r="AT13" i="8"/>
  <c r="D13" i="10"/>
  <c r="AG13" i="8"/>
  <c r="D7" i="8"/>
  <c r="V13" i="8"/>
  <c r="AX108" i="2"/>
  <c r="AX84" i="2"/>
  <c r="IV72" i="2"/>
  <c r="IW72" i="2" s="1"/>
  <c r="A69" i="2"/>
  <c r="AW60" i="2"/>
  <c r="AW124" i="2"/>
  <c r="AY44" i="2"/>
  <c r="AY92" i="2"/>
  <c r="IV87" i="2"/>
  <c r="IW87" i="2" s="1"/>
  <c r="AY172" i="2"/>
  <c r="AX162" i="2"/>
  <c r="AW82" i="2"/>
  <c r="AW84" i="2"/>
  <c r="AW164" i="2"/>
  <c r="AW98" i="2"/>
  <c r="CJ119" i="2"/>
  <c r="AX44" i="2"/>
  <c r="AX36" i="2"/>
  <c r="IV191" i="2"/>
  <c r="IW191" i="2" s="1"/>
  <c r="A181" i="2"/>
  <c r="AX98" i="2"/>
  <c r="CJ184" i="2"/>
  <c r="CJ87" i="2"/>
  <c r="CJ63" i="2"/>
  <c r="AX43" i="2"/>
  <c r="AY116" i="2"/>
  <c r="IV127" i="2"/>
  <c r="IW127" i="2" s="1"/>
  <c r="AY164" i="2"/>
  <c r="AW92" i="2"/>
  <c r="AW116" i="2"/>
  <c r="AY82" i="2"/>
  <c r="CK151" i="2"/>
  <c r="AY43" i="2"/>
  <c r="AY36" i="2"/>
  <c r="AW108" i="2"/>
  <c r="AX124" i="2"/>
  <c r="AX76" i="2"/>
  <c r="AY162" i="2"/>
  <c r="AW172" i="2"/>
  <c r="IV79" i="2"/>
  <c r="IW79" i="2" s="1"/>
  <c r="CJ192" i="2"/>
  <c r="CJ56" i="2"/>
  <c r="IY35" i="2"/>
  <c r="AX149" i="2"/>
  <c r="AX125" i="2"/>
  <c r="AL95" i="2"/>
  <c r="IV51" i="2"/>
  <c r="IW51" i="2" s="1"/>
  <c r="A127" i="2"/>
  <c r="A167" i="2"/>
  <c r="A103" i="2"/>
  <c r="CJ172" i="2"/>
  <c r="CK172" i="2"/>
  <c r="A143" i="2"/>
  <c r="AL143" i="2"/>
  <c r="AY35" i="2"/>
  <c r="AW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25" i="2"/>
  <c r="BX195" i="2"/>
  <c r="CK194" i="2"/>
  <c r="CK162" i="2"/>
  <c r="CK98" i="2"/>
  <c r="CK34" i="2"/>
  <c r="CJ53" i="2"/>
  <c r="CJ197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31" i="2"/>
  <c r="E2" i="2"/>
  <c r="D2" i="2"/>
  <c r="C2" i="2"/>
  <c r="IV39" i="2" l="1"/>
  <c r="IW39" i="2" s="1"/>
  <c r="AY47" i="2"/>
  <c r="AY119" i="2"/>
  <c r="IY55" i="2"/>
  <c r="AL52" i="2"/>
  <c r="A157" i="2"/>
  <c r="CJ100" i="2"/>
  <c r="CK45" i="2"/>
  <c r="CK114" i="2"/>
  <c r="DP180" i="2"/>
  <c r="DR180" i="2"/>
  <c r="AX135" i="2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A8" i="1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9" i="1" l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F12" i="2" l="1"/>
  <c r="A10" i="1"/>
  <c r="A11" i="1" s="1"/>
  <c r="A12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DT142" i="2"/>
  <c r="AV13" i="8"/>
  <c r="IL13" i="2" s="1"/>
  <c r="DT49" i="2"/>
  <c r="DT21" i="2"/>
  <c r="EQ21" i="2" s="1"/>
  <c r="DT43" i="2"/>
  <c r="DU43" i="2" s="1"/>
  <c r="DT94" i="2"/>
  <c r="EM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EO147" i="2" s="1"/>
  <c r="DT154" i="2"/>
  <c r="DT137" i="2"/>
  <c r="EA137" i="2" s="1"/>
  <c r="ET137" i="2" s="1"/>
  <c r="DT168" i="2"/>
  <c r="DT198" i="2"/>
  <c r="DT108" i="2"/>
  <c r="EI108" i="2" s="1"/>
  <c r="DT132" i="2"/>
  <c r="DT72" i="2"/>
  <c r="ED72" i="2" s="1"/>
  <c r="DT85" i="2"/>
  <c r="EB85" i="2" s="1"/>
  <c r="DT30" i="2"/>
  <c r="DT175" i="2"/>
  <c r="EF175" i="2" s="1"/>
  <c r="DT97" i="2"/>
  <c r="DT199" i="2"/>
  <c r="DT26" i="2"/>
  <c r="DT162" i="2"/>
  <c r="EV162" i="2" s="1"/>
  <c r="DT135" i="2"/>
  <c r="EO135" i="2" s="1"/>
  <c r="DT67" i="2"/>
  <c r="EG67" i="2" s="1"/>
  <c r="DT165" i="2"/>
  <c r="EH165" i="2" s="1"/>
  <c r="DT192" i="2"/>
  <c r="EK192" i="2" s="1"/>
  <c r="DT127" i="2"/>
  <c r="DT25" i="2"/>
  <c r="EC25" i="2" s="1"/>
  <c r="DT129" i="2"/>
  <c r="DT59" i="2"/>
  <c r="DT47" i="2"/>
  <c r="EQ47" i="2" s="1"/>
  <c r="DT184" i="2"/>
  <c r="ER184" i="2" s="1"/>
  <c r="DT73" i="2"/>
  <c r="DT106" i="2"/>
  <c r="EV106" i="2" s="1"/>
  <c r="DT150" i="2"/>
  <c r="DT131" i="2"/>
  <c r="DT86" i="2"/>
  <c r="EQ86" i="2" s="1"/>
  <c r="DT75" i="2"/>
  <c r="DT155" i="2"/>
  <c r="DU155" i="2" s="1"/>
  <c r="DT158" i="2"/>
  <c r="EH158" i="2" s="1"/>
  <c r="DT197" i="2"/>
  <c r="DT80" i="2"/>
  <c r="EP80" i="2" s="1"/>
  <c r="DT124" i="2"/>
  <c r="DT23" i="2"/>
  <c r="DT22" i="2"/>
  <c r="DT93" i="2"/>
  <c r="ES93" i="2" s="1"/>
  <c r="EU93" i="2" s="1"/>
  <c r="DT62" i="2"/>
  <c r="EJ62" i="2" s="1"/>
  <c r="DT50" i="2"/>
  <c r="DU50" i="2" s="1"/>
  <c r="DT174" i="2"/>
  <c r="EJ174" i="2" s="1"/>
  <c r="DT183" i="2"/>
  <c r="EV183" i="2" s="1"/>
  <c r="DT152" i="2"/>
  <c r="DT74" i="2"/>
  <c r="EP74" i="2" s="1"/>
  <c r="DT88" i="2"/>
  <c r="DT45" i="2"/>
  <c r="DT53" i="2"/>
  <c r="DT91" i="2"/>
  <c r="DW91" i="2" s="1"/>
  <c r="DT29" i="2"/>
  <c r="DT35" i="2"/>
  <c r="DT136" i="2"/>
  <c r="DT78" i="2"/>
  <c r="DT95" i="2"/>
  <c r="EQ95" i="2" s="1"/>
  <c r="DT143" i="2"/>
  <c r="DT109" i="2"/>
  <c r="EB109" i="2" s="1"/>
  <c r="DT116" i="2"/>
  <c r="EB116" i="2" s="1"/>
  <c r="DT98" i="2"/>
  <c r="DT194" i="2"/>
  <c r="EL194" i="2" s="1"/>
  <c r="DT105" i="2"/>
  <c r="EJ105" i="2" s="1"/>
  <c r="DT42" i="2"/>
  <c r="DT122" i="2"/>
  <c r="DT40" i="2"/>
  <c r="DX40" i="2" s="1"/>
  <c r="DY40" i="2" s="1"/>
  <c r="DT182" i="2"/>
  <c r="EG182" i="2" s="1"/>
  <c r="DT193" i="2"/>
  <c r="EN193" i="2" s="1"/>
  <c r="DT69" i="2"/>
  <c r="DT99" i="2"/>
  <c r="DU99" i="2" s="1"/>
  <c r="DT139" i="2"/>
  <c r="JH7" i="2"/>
  <c r="JI7" i="2" s="1"/>
  <c r="JJ7" i="2" s="1"/>
  <c r="BG7" i="8"/>
  <c r="IY7" i="2" s="1"/>
  <c r="AV7" i="8"/>
  <c r="IL7" i="2" s="1"/>
  <c r="DT58" i="2"/>
  <c r="DT201" i="2"/>
  <c r="DV201" i="2" s="1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EH66" i="2" s="1"/>
  <c r="DT87" i="2"/>
  <c r="DV87" i="2" s="1"/>
  <c r="DT55" i="2"/>
  <c r="DT70" i="2"/>
  <c r="EN70" i="2" s="1"/>
  <c r="DT164" i="2"/>
  <c r="DW164" i="2" s="1"/>
  <c r="DT9" i="2"/>
  <c r="DT186" i="2"/>
  <c r="DT161" i="2"/>
  <c r="EJ161" i="2" s="1"/>
  <c r="DT60" i="2"/>
  <c r="EC60" i="2" s="1"/>
  <c r="DT79" i="2"/>
  <c r="DV79" i="2" s="1"/>
  <c r="DT189" i="2"/>
  <c r="DT44" i="2"/>
  <c r="EI44" i="2" s="1"/>
  <c r="DT125" i="2"/>
  <c r="DT71" i="2"/>
  <c r="EK71" i="2" s="1"/>
  <c r="DT28" i="2"/>
  <c r="DT121" i="2"/>
  <c r="DT111" i="2"/>
  <c r="DT64" i="2"/>
  <c r="ED64" i="2" s="1"/>
  <c r="DT179" i="2"/>
  <c r="DT82" i="2"/>
  <c r="DU82" i="2" s="1"/>
  <c r="DT100" i="2"/>
  <c r="DT18" i="2"/>
  <c r="DT166" i="2"/>
  <c r="DT68" i="2"/>
  <c r="DT123" i="2"/>
  <c r="EG123" i="2" s="1"/>
  <c r="DT190" i="2"/>
  <c r="EH190" i="2" s="1"/>
  <c r="DT117" i="2"/>
  <c r="DT167" i="2"/>
  <c r="DV167" i="2" s="1"/>
  <c r="DT20" i="2"/>
  <c r="DT84" i="2"/>
  <c r="DT77" i="2"/>
  <c r="DT89" i="2"/>
  <c r="DT163" i="2"/>
  <c r="DU163" i="2" s="1"/>
  <c r="DT112" i="2"/>
  <c r="DV112" i="2" s="1"/>
  <c r="DT76" i="2"/>
  <c r="EO76" i="2" s="1"/>
  <c r="DT38" i="2"/>
  <c r="DX38" i="2" s="1"/>
  <c r="DY38" i="2" s="1"/>
  <c r="DT180" i="2"/>
  <c r="DT115" i="2"/>
  <c r="EV115" i="2" s="1"/>
  <c r="DT39" i="2"/>
  <c r="DT34" i="2"/>
  <c r="DT149" i="2"/>
  <c r="DT90" i="2"/>
  <c r="EC90" i="2" s="1"/>
  <c r="DT83" i="2"/>
  <c r="DT15" i="2"/>
  <c r="EF15" i="2" s="1"/>
  <c r="DT144" i="2"/>
  <c r="DT81" i="2"/>
  <c r="DT31" i="2"/>
  <c r="DW31" i="2" s="1"/>
  <c r="DT126" i="2"/>
  <c r="DT110" i="2"/>
  <c r="EF110" i="2" s="1"/>
  <c r="DT133" i="2"/>
  <c r="EC133" i="2" s="1"/>
  <c r="DT101" i="2"/>
  <c r="DT177" i="2"/>
  <c r="DX177" i="2" s="1"/>
  <c r="DY177" i="2" s="1"/>
  <c r="DT54" i="2"/>
  <c r="EG54" i="2" s="1"/>
  <c r="DT41" i="2"/>
  <c r="DT65" i="2"/>
  <c r="DT196" i="2"/>
  <c r="EB196" i="2" s="1"/>
  <c r="DT17" i="2"/>
  <c r="EV17" i="2" s="1"/>
  <c r="DT128" i="2"/>
  <c r="EH128" i="2" s="1"/>
  <c r="DT134" i="2"/>
  <c r="EP134" i="2" s="1"/>
  <c r="DT172" i="2"/>
  <c r="EO172" i="2" s="1"/>
  <c r="DT37" i="2"/>
  <c r="DT200" i="2"/>
  <c r="DU200" i="2" s="1"/>
  <c r="DT188" i="2"/>
  <c r="DT16" i="2"/>
  <c r="DT36" i="2"/>
  <c r="EN36" i="2" s="1"/>
  <c r="DT120" i="2"/>
  <c r="EF120" i="2" s="1"/>
  <c r="DT195" i="2"/>
  <c r="DT151" i="2"/>
  <c r="EL151" i="2" s="1"/>
  <c r="DT63" i="2"/>
  <c r="DT153" i="2"/>
  <c r="DT146" i="2"/>
  <c r="EC146" i="2" s="1"/>
  <c r="DT19" i="2"/>
  <c r="DT13" i="2"/>
  <c r="EE13" i="2" s="1"/>
  <c r="DT32" i="2"/>
  <c r="DV32" i="2" s="1"/>
  <c r="DT156" i="2"/>
  <c r="DT140" i="2"/>
  <c r="EL140" i="2" s="1"/>
  <c r="DT118" i="2"/>
  <c r="EG118" i="2" s="1"/>
  <c r="DT102" i="2"/>
  <c r="DT176" i="2"/>
  <c r="DT104" i="2"/>
  <c r="DW104" i="2" s="1"/>
  <c r="DT14" i="2"/>
  <c r="ER14" i="2" s="1"/>
  <c r="DT52" i="2"/>
  <c r="DU52" i="2" s="1"/>
  <c r="DT27" i="2"/>
  <c r="EF27" i="2" s="1"/>
  <c r="DT46" i="2"/>
  <c r="ER46" i="2" s="1"/>
  <c r="DT185" i="2"/>
  <c r="DT57" i="2"/>
  <c r="DX57" i="2" s="1"/>
  <c r="DY57" i="2" s="1"/>
  <c r="DT113" i="2"/>
  <c r="DT187" i="2"/>
  <c r="DT33" i="2"/>
  <c r="EF33" i="2" s="1"/>
  <c r="DT114" i="2"/>
  <c r="EO114" i="2" s="1"/>
  <c r="DT170" i="2"/>
  <c r="DT56" i="2"/>
  <c r="DV56" i="2" s="1"/>
  <c r="DT169" i="2"/>
  <c r="DW169" i="2" s="1"/>
  <c r="DT51" i="2"/>
  <c r="DT138" i="2"/>
  <c r="DT61" i="2"/>
  <c r="EO61" i="2" s="1"/>
  <c r="DT160" i="2"/>
  <c r="EQ160" i="2" s="1"/>
  <c r="DT92" i="2"/>
  <c r="DT148" i="2"/>
  <c r="DT96" i="2"/>
  <c r="ER96" i="2" s="1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K94" i="2"/>
  <c r="DU94" i="2"/>
  <c r="DX94" i="2"/>
  <c r="DY94" i="2" s="1"/>
  <c r="EL94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DZ183" i="2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DW35" i="2"/>
  <c r="EQ182" i="2"/>
  <c r="ED136" i="2"/>
  <c r="EL193" i="2"/>
  <c r="EG78" i="2"/>
  <c r="DW69" i="2"/>
  <c r="ED42" i="2"/>
  <c r="EB129" i="2"/>
  <c r="EV169" i="2"/>
  <c r="EC51" i="2"/>
  <c r="EV51" i="2"/>
  <c r="EV61" i="2"/>
  <c r="DV61" i="2"/>
  <c r="H173" i="9"/>
  <c r="DU197" i="2"/>
  <c r="EN197" i="2"/>
  <c r="EV197" i="2"/>
  <c r="EF22" i="2"/>
  <c r="EM62" i="2"/>
  <c r="EH174" i="2"/>
  <c r="EO127" i="2"/>
  <c r="ES127" i="2"/>
  <c r="EU127" i="2" s="1"/>
  <c r="EI127" i="2"/>
  <c r="EA127" i="2"/>
  <c r="ET127" i="2" s="1"/>
  <c r="EK127" i="2"/>
  <c r="EN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EM73" i="2"/>
  <c r="ED73" i="2"/>
  <c r="DZ73" i="2"/>
  <c r="EP73" i="2"/>
  <c r="EJ25" i="2"/>
  <c r="ER141" i="2"/>
  <c r="DX141" i="2"/>
  <c r="DY141" i="2" s="1"/>
  <c r="DV141" i="2"/>
  <c r="EG141" i="2"/>
  <c r="EM141" i="2"/>
  <c r="EH141" i="2"/>
  <c r="EP141" i="2"/>
  <c r="EA141" i="2"/>
  <c r="ET141" i="2" s="1"/>
  <c r="EP150" i="2"/>
  <c r="EF150" i="2"/>
  <c r="DU150" i="2"/>
  <c r="EI150" i="2"/>
  <c r="EH150" i="2"/>
  <c r="ER150" i="2"/>
  <c r="DV150" i="2"/>
  <c r="EQ150" i="2"/>
  <c r="EJ150" i="2"/>
  <c r="EC150" i="2"/>
  <c r="EM150" i="2"/>
  <c r="EN150" i="2"/>
  <c r="EB150" i="2"/>
  <c r="EO150" i="2"/>
  <c r="ER175" i="2"/>
  <c r="EN175" i="2"/>
  <c r="ED175" i="2"/>
  <c r="DW175" i="2"/>
  <c r="EK175" i="2"/>
  <c r="ES175" i="2"/>
  <c r="EU175" i="2" s="1"/>
  <c r="DX175" i="2"/>
  <c r="DY175" i="2" s="1"/>
  <c r="EM175" i="2"/>
  <c r="EJ175" i="2"/>
  <c r="DV175" i="2"/>
  <c r="DZ175" i="2"/>
  <c r="EP131" i="2"/>
  <c r="EO131" i="2"/>
  <c r="DX131" i="2"/>
  <c r="DY131" i="2" s="1"/>
  <c r="ED131" i="2"/>
  <c r="EJ160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DW122" i="2"/>
  <c r="EE122" i="2"/>
  <c r="DX122" i="2"/>
  <c r="DY122" i="2" s="1"/>
  <c r="DW147" i="2"/>
  <c r="DX147" i="2"/>
  <c r="DY147" i="2" s="1"/>
  <c r="EV147" i="2"/>
  <c r="ES147" i="2"/>
  <c r="EU147" i="2" s="1"/>
  <c r="EI147" i="2"/>
  <c r="EE147" i="2"/>
  <c r="EI70" i="2"/>
  <c r="EV70" i="2"/>
  <c r="EQ70" i="2"/>
  <c r="DZ70" i="2"/>
  <c r="EP70" i="2"/>
  <c r="EH9" i="2"/>
  <c r="ED9" i="2"/>
  <c r="DX9" i="2"/>
  <c r="DY9" i="2" s="1"/>
  <c r="EJ9" i="2"/>
  <c r="EQ9" i="2"/>
  <c r="EC9" i="2"/>
  <c r="EK9" i="2"/>
  <c r="EL9" i="2"/>
  <c r="EF9" i="2"/>
  <c r="EA9" i="2"/>
  <c r="ET9" i="2" s="1"/>
  <c r="EB9" i="2"/>
  <c r="EV9" i="2"/>
  <c r="EM9" i="2"/>
  <c r="EE9" i="2"/>
  <c r="EP9" i="2"/>
  <c r="EC186" i="2"/>
  <c r="EK186" i="2"/>
  <c r="EG186" i="2"/>
  <c r="DV186" i="2"/>
  <c r="EN186" i="2"/>
  <c r="DU60" i="2"/>
  <c r="EH60" i="2"/>
  <c r="DX60" i="2"/>
  <c r="DY60" i="2" s="1"/>
  <c r="DW60" i="2"/>
  <c r="EN60" i="2"/>
  <c r="ES60" i="2"/>
  <c r="EU60" i="2" s="1"/>
  <c r="EH79" i="2"/>
  <c r="EQ79" i="2"/>
  <c r="EM79" i="2"/>
  <c r="ER44" i="2"/>
  <c r="EN44" i="2"/>
  <c r="EP44" i="2"/>
  <c r="EF44" i="2"/>
  <c r="EA44" i="2"/>
  <c r="ET44" i="2" s="1"/>
  <c r="EL44" i="2"/>
  <c r="DW44" i="2"/>
  <c r="EC44" i="2"/>
  <c r="EK44" i="2"/>
  <c r="EQ44" i="2"/>
  <c r="EM44" i="2"/>
  <c r="DV44" i="2"/>
  <c r="ES44" i="2"/>
  <c r="EU44" i="2" s="1"/>
  <c r="EH44" i="2"/>
  <c r="DX44" i="2"/>
  <c r="DY44" i="2" s="1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B64" i="2"/>
  <c r="EH64" i="2"/>
  <c r="DV64" i="2"/>
  <c r="DX64" i="2"/>
  <c r="DY64" i="2" s="1"/>
  <c r="EO64" i="2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C18" i="2"/>
  <c r="DW18" i="2"/>
  <c r="DU18" i="2"/>
  <c r="EQ18" i="2"/>
  <c r="EE18" i="2"/>
  <c r="EL18" i="2"/>
  <c r="EO18" i="2"/>
  <c r="DV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96" i="2"/>
  <c r="EI96" i="2"/>
  <c r="EV96" i="2"/>
  <c r="EJ96" i="2"/>
  <c r="ED96" i="2"/>
  <c r="EA96" i="2"/>
  <c r="ET96" i="2" s="1"/>
  <c r="EM119" i="2"/>
  <c r="EA119" i="2"/>
  <c r="ET119" i="2" s="1"/>
  <c r="DU119" i="2"/>
  <c r="EJ119" i="2"/>
  <c r="EE119" i="2"/>
  <c r="EK119" i="2"/>
  <c r="DX119" i="2"/>
  <c r="DY119" i="2" s="1"/>
  <c r="DW119" i="2"/>
  <c r="EO119" i="2"/>
  <c r="ES119" i="2"/>
  <c r="EU119" i="2" s="1"/>
  <c r="EB119" i="2"/>
  <c r="EC119" i="2"/>
  <c r="DV119" i="2"/>
  <c r="EF119" i="2"/>
  <c r="DZ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S199" i="2"/>
  <c r="EU199" i="2" s="1"/>
  <c r="EG199" i="2"/>
  <c r="EM199" i="2"/>
  <c r="EF199" i="2"/>
  <c r="DU199" i="2"/>
  <c r="EJ199" i="2"/>
  <c r="EL199" i="2"/>
  <c r="EH199" i="2"/>
  <c r="DX199" i="2"/>
  <c r="DY199" i="2" s="1"/>
  <c r="EP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DU67" i="2"/>
  <c r="ER67" i="2"/>
  <c r="EE67" i="2"/>
  <c r="ES67" i="2"/>
  <c r="EU67" i="2" s="1"/>
  <c r="EP67" i="2"/>
  <c r="EO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EV201" i="2"/>
  <c r="EJ201" i="2"/>
  <c r="EA201" i="2"/>
  <c r="ET201" i="2" s="1"/>
  <c r="ED201" i="2"/>
  <c r="ER201" i="2"/>
  <c r="DW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K91" i="2"/>
  <c r="EM91" i="2"/>
  <c r="EB91" i="2"/>
  <c r="EH91" i="2"/>
  <c r="EL91" i="2"/>
  <c r="EC91" i="2"/>
  <c r="DZ91" i="2"/>
  <c r="EJ99" i="2"/>
  <c r="ES99" i="2"/>
  <c r="EU99" i="2" s="1"/>
  <c r="EQ99" i="2"/>
  <c r="ER99" i="2"/>
  <c r="DW99" i="2"/>
  <c r="EC99" i="2"/>
  <c r="EO99" i="2"/>
  <c r="EB99" i="2"/>
  <c r="EE99" i="2"/>
  <c r="EG99" i="2"/>
  <c r="EH99" i="2"/>
  <c r="EF99" i="2"/>
  <c r="EI99" i="2"/>
  <c r="ED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P123" i="2"/>
  <c r="DW123" i="2"/>
  <c r="DZ123" i="2"/>
  <c r="DU123" i="2"/>
  <c r="EE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DU167" i="2"/>
  <c r="EF167" i="2"/>
  <c r="EB167" i="2"/>
  <c r="EI167" i="2"/>
  <c r="EA167" i="2"/>
  <c r="ET167" i="2" s="1"/>
  <c r="EO167" i="2"/>
  <c r="EN167" i="2"/>
  <c r="EK167" i="2"/>
  <c r="EG167" i="2"/>
  <c r="EQ167" i="2"/>
  <c r="EM167" i="2"/>
  <c r="DX167" i="2"/>
  <c r="DY167" i="2" s="1"/>
  <c r="EL167" i="2"/>
  <c r="EP167" i="2"/>
  <c r="DZ167" i="2"/>
  <c r="EP84" i="2"/>
  <c r="ED84" i="2"/>
  <c r="EG84" i="2"/>
  <c r="EB84" i="2"/>
  <c r="EV84" i="2"/>
  <c r="EM84" i="2"/>
  <c r="EI84" i="2"/>
  <c r="DV84" i="2"/>
  <c r="EA84" i="2"/>
  <c r="ET84" i="2" s="1"/>
  <c r="ER84" i="2"/>
  <c r="ES84" i="2"/>
  <c r="EU84" i="2" s="1"/>
  <c r="EF84" i="2"/>
  <c r="DZ84" i="2"/>
  <c r="EH84" i="2"/>
  <c r="DX84" i="2"/>
  <c r="DY84" i="2" s="1"/>
  <c r="EN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EJ163" i="2"/>
  <c r="DX163" i="2"/>
  <c r="DY163" i="2" s="1"/>
  <c r="ED163" i="2"/>
  <c r="EF163" i="2"/>
  <c r="EL163" i="2"/>
  <c r="EE112" i="2"/>
  <c r="ES112" i="2"/>
  <c r="EU112" i="2" s="1"/>
  <c r="EA112" i="2"/>
  <c r="ET112" i="2" s="1"/>
  <c r="DU112" i="2"/>
  <c r="EL112" i="2"/>
  <c r="EN112" i="2"/>
  <c r="EA38" i="2"/>
  <c r="ET38" i="2" s="1"/>
  <c r="EO38" i="2"/>
  <c r="EQ38" i="2"/>
  <c r="ER38" i="2"/>
  <c r="EF38" i="2"/>
  <c r="EN38" i="2"/>
  <c r="DU38" i="2"/>
  <c r="EH38" i="2"/>
  <c r="EK38" i="2"/>
  <c r="EI38" i="2"/>
  <c r="DW38" i="2"/>
  <c r="EB38" i="2"/>
  <c r="DV38" i="2"/>
  <c r="ES38" i="2"/>
  <c r="EU38" i="2" s="1"/>
  <c r="EP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F90" i="2"/>
  <c r="ER90" i="2"/>
  <c r="ED90" i="2"/>
  <c r="EE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R81" i="2"/>
  <c r="EL81" i="2"/>
  <c r="EM81" i="2"/>
  <c r="EK81" i="2"/>
  <c r="EF81" i="2"/>
  <c r="EQ81" i="2"/>
  <c r="DV81" i="2"/>
  <c r="EA81" i="2"/>
  <c r="ET81" i="2" s="1"/>
  <c r="EB81" i="2"/>
  <c r="ED81" i="2"/>
  <c r="DX81" i="2"/>
  <c r="DY81" i="2" s="1"/>
  <c r="EN81" i="2"/>
  <c r="EI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B191" i="2"/>
  <c r="EF191" i="2"/>
  <c r="ER191" i="2"/>
  <c r="EJ191" i="2"/>
  <c r="EL191" i="2"/>
  <c r="EN191" i="2"/>
  <c r="EI191" i="2"/>
  <c r="DW191" i="2"/>
  <c r="DX191" i="2"/>
  <c r="DY191" i="2" s="1"/>
  <c r="EC191" i="2"/>
  <c r="ED191" i="2"/>
  <c r="EO191" i="2"/>
  <c r="EE191" i="2"/>
  <c r="DZ191" i="2"/>
  <c r="EL109" i="2"/>
  <c r="EG109" i="2"/>
  <c r="EH109" i="2"/>
  <c r="EM109" i="2"/>
  <c r="EC109" i="2"/>
  <c r="DZ109" i="2"/>
  <c r="EC43" i="2"/>
  <c r="EE43" i="2"/>
  <c r="ED43" i="2"/>
  <c r="EQ43" i="2"/>
  <c r="EO43" i="2"/>
  <c r="EA135" i="2"/>
  <c r="ET135" i="2" s="1"/>
  <c r="EI135" i="2"/>
  <c r="DW135" i="2"/>
  <c r="EE135" i="2"/>
  <c r="DZ135" i="2"/>
  <c r="EN135" i="2"/>
  <c r="ES72" i="2"/>
  <c r="EU72" i="2" s="1"/>
  <c r="DW72" i="2"/>
  <c r="EF72" i="2"/>
  <c r="EL72" i="2"/>
  <c r="EK72" i="2"/>
  <c r="EG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B194" i="2"/>
  <c r="EJ194" i="2"/>
  <c r="EG194" i="2"/>
  <c r="EF194" i="2"/>
  <c r="ES194" i="2"/>
  <c r="EU194" i="2" s="1"/>
  <c r="EE194" i="2"/>
  <c r="DW194" i="2"/>
  <c r="DU194" i="2"/>
  <c r="EC194" i="2"/>
  <c r="ER194" i="2"/>
  <c r="EH194" i="2"/>
  <c r="EN194" i="2"/>
  <c r="EO194" i="2"/>
  <c r="EQ66" i="2"/>
  <c r="EC66" i="2"/>
  <c r="EJ66" i="2"/>
  <c r="DX66" i="2"/>
  <c r="DY66" i="2" s="1"/>
  <c r="ER66" i="2"/>
  <c r="EP66" i="2"/>
  <c r="EV41" i="2"/>
  <c r="EE41" i="2"/>
  <c r="EG41" i="2"/>
  <c r="ED41" i="2"/>
  <c r="EM41" i="2"/>
  <c r="EO41" i="2"/>
  <c r="EJ41" i="2"/>
  <c r="EQ41" i="2"/>
  <c r="EB41" i="2"/>
  <c r="ES41" i="2"/>
  <c r="EU41" i="2" s="1"/>
  <c r="DU41" i="2"/>
  <c r="EN41" i="2"/>
  <c r="EC41" i="2"/>
  <c r="EP41" i="2"/>
  <c r="EA41" i="2"/>
  <c r="ET41" i="2" s="1"/>
  <c r="DZ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EQ110" i="2"/>
  <c r="EN110" i="2"/>
  <c r="EC110" i="2"/>
  <c r="EA110" i="2"/>
  <c r="ET110" i="2" s="1"/>
  <c r="EP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V177" i="2"/>
  <c r="DU177" i="2"/>
  <c r="EP177" i="2"/>
  <c r="EF177" i="2"/>
  <c r="DW177" i="2"/>
  <c r="EL177" i="2"/>
  <c r="EJ177" i="2"/>
  <c r="EI177" i="2"/>
  <c r="ED177" i="2"/>
  <c r="EE177" i="2"/>
  <c r="EG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H80" i="2"/>
  <c r="EE80" i="2"/>
  <c r="EG80" i="2"/>
  <c r="EJ80" i="2"/>
  <c r="DU80" i="2"/>
  <c r="EO80" i="2"/>
  <c r="ER80" i="2"/>
  <c r="EM80" i="2"/>
  <c r="EB80" i="2"/>
  <c r="EN80" i="2"/>
  <c r="DV80" i="2"/>
  <c r="EC80" i="2"/>
  <c r="EA80" i="2"/>
  <c r="ET80" i="2" s="1"/>
  <c r="EI80" i="2"/>
  <c r="ES80" i="2"/>
  <c r="EU80" i="2" s="1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A50" i="2"/>
  <c r="ET50" i="2" s="1"/>
  <c r="EI50" i="2"/>
  <c r="EH50" i="2"/>
  <c r="EC50" i="2"/>
  <c r="DX50" i="2"/>
  <c r="DY50" i="2" s="1"/>
  <c r="EB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M120" i="2"/>
  <c r="EC120" i="2"/>
  <c r="EQ120" i="2"/>
  <c r="DV120" i="2"/>
  <c r="EP120" i="2"/>
  <c r="ES120" i="2"/>
  <c r="EU120" i="2" s="1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M13" i="2"/>
  <c r="EB13" i="2"/>
  <c r="EH13" i="2"/>
  <c r="EL13" i="2"/>
  <c r="EJ13" i="2"/>
  <c r="EI13" i="2"/>
  <c r="EN13" i="2"/>
  <c r="ER13" i="2"/>
  <c r="DV13" i="2"/>
  <c r="EK17" i="2"/>
  <c r="EG17" i="2"/>
  <c r="EN17" i="2"/>
  <c r="EC17" i="2"/>
  <c r="EM17" i="2"/>
  <c r="ED17" i="2"/>
  <c r="EO17" i="2"/>
  <c r="EF17" i="2"/>
  <c r="EJ17" i="2"/>
  <c r="DZ17" i="2"/>
  <c r="EM128" i="2"/>
  <c r="EV128" i="2"/>
  <c r="DW128" i="2"/>
  <c r="EK128" i="2"/>
  <c r="DU128" i="2"/>
  <c r="EF128" i="2"/>
  <c r="EV172" i="2"/>
  <c r="EQ172" i="2"/>
  <c r="EE172" i="2"/>
  <c r="EJ172" i="2"/>
  <c r="DU172" i="2"/>
  <c r="DV172" i="2"/>
  <c r="ES172" i="2"/>
  <c r="EU172" i="2" s="1"/>
  <c r="EL172" i="2"/>
  <c r="EK172" i="2"/>
  <c r="ER172" i="2"/>
  <c r="EN172" i="2"/>
  <c r="DX172" i="2"/>
  <c r="DY172" i="2" s="1"/>
  <c r="DW172" i="2"/>
  <c r="EA172" i="2"/>
  <c r="ET172" i="2" s="1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S107" i="2"/>
  <c r="EU107" i="2" s="1"/>
  <c r="DV107" i="2"/>
  <c r="EV107" i="2"/>
  <c r="EQ107" i="2"/>
  <c r="EK107" i="2"/>
  <c r="EJ107" i="2"/>
  <c r="EO107" i="2"/>
  <c r="EA107" i="2"/>
  <c r="ET107" i="2" s="1"/>
  <c r="DU107" i="2"/>
  <c r="ED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DU192" i="2"/>
  <c r="EV192" i="2"/>
  <c r="EI192" i="2"/>
  <c r="EM192" i="2"/>
  <c r="EB192" i="2"/>
  <c r="DV192" i="2"/>
  <c r="EL192" i="2"/>
  <c r="EC192" i="2"/>
  <c r="EN192" i="2"/>
  <c r="EG192" i="2"/>
  <c r="EA192" i="2"/>
  <c r="ET192" i="2" s="1"/>
  <c r="DZ192" i="2"/>
  <c r="DX192" i="2"/>
  <c r="DY192" i="2" s="1"/>
  <c r="EH192" i="2"/>
  <c r="EJ192" i="2"/>
  <c r="EA14" i="2"/>
  <c r="ET14" i="2" s="1"/>
  <c r="EC14" i="2"/>
  <c r="EI14" i="2"/>
  <c r="EK14" i="2"/>
  <c r="DU14" i="2"/>
  <c r="EN14" i="2"/>
  <c r="ED14" i="2"/>
  <c r="EJ14" i="2"/>
  <c r="EM14" i="2"/>
  <c r="ES14" i="2"/>
  <c r="EU14" i="2" s="1"/>
  <c r="DV52" i="2"/>
  <c r="ES52" i="2"/>
  <c r="EU52" i="2" s="1"/>
  <c r="EF52" i="2"/>
  <c r="EQ52" i="2"/>
  <c r="EN52" i="2"/>
  <c r="ED52" i="2"/>
  <c r="EB52" i="2"/>
  <c r="EV46" i="2"/>
  <c r="EO46" i="2"/>
  <c r="EH46" i="2"/>
  <c r="DZ46" i="2"/>
  <c r="DX46" i="2"/>
  <c r="DY46" i="2" s="1"/>
  <c r="DW46" i="2"/>
  <c r="EE46" i="2"/>
  <c r="EC46" i="2"/>
  <c r="EF46" i="2"/>
  <c r="EB46" i="2"/>
  <c r="EG46" i="2"/>
  <c r="ES46" i="2"/>
  <c r="EU46" i="2" s="1"/>
  <c r="EL46" i="2"/>
  <c r="EA46" i="2"/>
  <c r="ET46" i="2" s="1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DW114" i="2"/>
  <c r="DX114" i="2"/>
  <c r="DY114" i="2" s="1"/>
  <c r="EH114" i="2"/>
  <c r="EM114" i="2"/>
  <c r="EB114" i="2"/>
  <c r="EL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EA140" i="2"/>
  <c r="ET140" i="2" s="1"/>
  <c r="EF140" i="2"/>
  <c r="EV140" i="2"/>
  <c r="EN140" i="2"/>
  <c r="ES140" i="2"/>
  <c r="EU140" i="2" s="1"/>
  <c r="EQ140" i="2"/>
  <c r="EJ140" i="2"/>
  <c r="EG140" i="2"/>
  <c r="EK140" i="2"/>
  <c r="DU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U114" i="2" l="1"/>
  <c r="ES114" i="2"/>
  <c r="EU114" i="2" s="1"/>
  <c r="EI114" i="2"/>
  <c r="EM52" i="2"/>
  <c r="EK52" i="2"/>
  <c r="EC52" i="2"/>
  <c r="DX128" i="2"/>
  <c r="DY128" i="2" s="1"/>
  <c r="EB128" i="2"/>
  <c r="DV128" i="2"/>
  <c r="EI120" i="2"/>
  <c r="DX120" i="2"/>
  <c r="DY120" i="2" s="1"/>
  <c r="EG120" i="2"/>
  <c r="DW50" i="2"/>
  <c r="EG50" i="2"/>
  <c r="EO50" i="2"/>
  <c r="DZ90" i="2"/>
  <c r="EG90" i="2"/>
  <c r="DX90" i="2"/>
  <c r="DY90" i="2" s="1"/>
  <c r="EM112" i="2"/>
  <c r="EO112" i="2"/>
  <c r="DX112" i="2"/>
  <c r="DY112" i="2" s="1"/>
  <c r="EP91" i="2"/>
  <c r="EJ91" i="2"/>
  <c r="EN91" i="2"/>
  <c r="EE201" i="2"/>
  <c r="EF201" i="2"/>
  <c r="EG201" i="2"/>
  <c r="DV67" i="2"/>
  <c r="EN67" i="2"/>
  <c r="EH67" i="2"/>
  <c r="EM64" i="2"/>
  <c r="EJ64" i="2"/>
  <c r="EL64" i="2"/>
  <c r="EC79" i="2"/>
  <c r="EF147" i="2"/>
  <c r="EB147" i="2"/>
  <c r="DU147" i="2"/>
  <c r="EC94" i="2"/>
  <c r="EG94" i="2"/>
  <c r="EV114" i="2"/>
  <c r="DV114" i="2"/>
  <c r="EJ114" i="2"/>
  <c r="ER52" i="2"/>
  <c r="EJ52" i="2"/>
  <c r="EH52" i="2"/>
  <c r="ED128" i="2"/>
  <c r="EE128" i="2"/>
  <c r="EA128" i="2"/>
  <c r="ET128" i="2" s="1"/>
  <c r="EK120" i="2"/>
  <c r="DW120" i="2"/>
  <c r="EA120" i="2"/>
  <c r="ET120" i="2" s="1"/>
  <c r="EE50" i="2"/>
  <c r="EM50" i="2"/>
  <c r="EK50" i="2"/>
  <c r="ER50" i="2"/>
  <c r="DV90" i="2"/>
  <c r="EI90" i="2"/>
  <c r="EH90" i="2"/>
  <c r="DZ112" i="2"/>
  <c r="EV112" i="2"/>
  <c r="EJ112" i="2"/>
  <c r="EC112" i="2"/>
  <c r="DU91" i="2"/>
  <c r="EI91" i="2"/>
  <c r="DV91" i="2"/>
  <c r="EI201" i="2"/>
  <c r="EB201" i="2"/>
  <c r="DU201" i="2"/>
  <c r="EF67" i="2"/>
  <c r="EJ67" i="2"/>
  <c r="EB67" i="2"/>
  <c r="EQ64" i="2"/>
  <c r="EN64" i="2"/>
  <c r="EF64" i="2"/>
  <c r="EO79" i="2"/>
  <c r="EA147" i="2"/>
  <c r="ET147" i="2" s="1"/>
  <c r="DV147" i="2"/>
  <c r="EO94" i="2"/>
  <c r="DV94" i="2"/>
  <c r="ER94" i="2"/>
  <c r="EG114" i="2"/>
  <c r="EE114" i="2"/>
  <c r="EQ114" i="2"/>
  <c r="DZ52" i="2"/>
  <c r="DX52" i="2"/>
  <c r="DY52" i="2" s="1"/>
  <c r="DW52" i="2"/>
  <c r="EI128" i="2"/>
  <c r="ES128" i="2"/>
  <c r="EU128" i="2" s="1"/>
  <c r="EN128" i="2"/>
  <c r="EE120" i="2"/>
  <c r="EB120" i="2"/>
  <c r="EO120" i="2"/>
  <c r="EJ50" i="2"/>
  <c r="DV50" i="2"/>
  <c r="DZ50" i="2"/>
  <c r="EL90" i="2"/>
  <c r="EJ90" i="2"/>
  <c r="ES90" i="2"/>
  <c r="EU90" i="2" s="1"/>
  <c r="EP112" i="2"/>
  <c r="DW112" i="2"/>
  <c r="EH112" i="2"/>
  <c r="EA91" i="2"/>
  <c r="ET91" i="2" s="1"/>
  <c r="DX91" i="2"/>
  <c r="DY91" i="2" s="1"/>
  <c r="ED91" i="2"/>
  <c r="EO201" i="2"/>
  <c r="EM201" i="2"/>
  <c r="EH201" i="2"/>
  <c r="DZ201" i="2"/>
  <c r="DX67" i="2"/>
  <c r="DY67" i="2" s="1"/>
  <c r="EC67" i="2"/>
  <c r="EI67" i="2"/>
  <c r="EV64" i="2"/>
  <c r="EC64" i="2"/>
  <c r="ER64" i="2"/>
  <c r="EN79" i="2"/>
  <c r="EG147" i="2"/>
  <c r="EH147" i="2"/>
  <c r="DX184" i="2"/>
  <c r="DY184" i="2" s="1"/>
  <c r="DZ94" i="2"/>
  <c r="ED94" i="2"/>
  <c r="DZ114" i="2"/>
  <c r="ER114" i="2"/>
  <c r="EC114" i="2"/>
  <c r="EA114" i="2"/>
  <c r="ET114" i="2" s="1"/>
  <c r="EA52" i="2"/>
  <c r="ET52" i="2" s="1"/>
  <c r="EP52" i="2"/>
  <c r="EL52" i="2"/>
  <c r="EC128" i="2"/>
  <c r="EQ128" i="2"/>
  <c r="EG128" i="2"/>
  <c r="EN120" i="2"/>
  <c r="DU120" i="2"/>
  <c r="ER120" i="2"/>
  <c r="ED50" i="2"/>
  <c r="EF50" i="2"/>
  <c r="EQ50" i="2"/>
  <c r="EB90" i="2"/>
  <c r="EQ90" i="2"/>
  <c r="EO90" i="2"/>
  <c r="ED112" i="2"/>
  <c r="ER112" i="2"/>
  <c r="EB112" i="2"/>
  <c r="EG91" i="2"/>
  <c r="EE91" i="2"/>
  <c r="EO91" i="2"/>
  <c r="EC201" i="2"/>
  <c r="EP201" i="2"/>
  <c r="EN201" i="2"/>
  <c r="DZ67" i="2"/>
  <c r="EL67" i="2"/>
  <c r="ED67" i="2"/>
  <c r="EA64" i="2"/>
  <c r="ET64" i="2" s="1"/>
  <c r="EI64" i="2"/>
  <c r="EE64" i="2"/>
  <c r="EE79" i="2"/>
  <c r="EC147" i="2"/>
  <c r="EL147" i="2"/>
  <c r="EJ184" i="2"/>
  <c r="EP94" i="2"/>
  <c r="EB94" i="2"/>
  <c r="EF114" i="2"/>
  <c r="EN114" i="2"/>
  <c r="EP114" i="2"/>
  <c r="EI52" i="2"/>
  <c r="EG52" i="2"/>
  <c r="EV52" i="2"/>
  <c r="DZ128" i="2"/>
  <c r="EL128" i="2"/>
  <c r="ER128" i="2"/>
  <c r="EJ128" i="2"/>
  <c r="EH120" i="2"/>
  <c r="ED120" i="2"/>
  <c r="EV120" i="2"/>
  <c r="EJ120" i="2"/>
  <c r="ES50" i="2"/>
  <c r="EU50" i="2" s="1"/>
  <c r="EP50" i="2"/>
  <c r="EL50" i="2"/>
  <c r="EK90" i="2"/>
  <c r="EV90" i="2"/>
  <c r="DU90" i="2"/>
  <c r="EK112" i="2"/>
  <c r="EQ112" i="2"/>
  <c r="EF112" i="2"/>
  <c r="EV91" i="2"/>
  <c r="EQ91" i="2"/>
  <c r="ER91" i="2"/>
  <c r="EK201" i="2"/>
  <c r="EQ201" i="2"/>
  <c r="EL201" i="2"/>
  <c r="EQ67" i="2"/>
  <c r="EV67" i="2"/>
  <c r="DW67" i="2"/>
  <c r="EK67" i="2"/>
  <c r="ES64" i="2"/>
  <c r="EU64" i="2" s="1"/>
  <c r="DW64" i="2"/>
  <c r="DU64" i="2"/>
  <c r="EP79" i="2"/>
  <c r="EV79" i="2"/>
  <c r="EQ147" i="2"/>
  <c r="ER147" i="2"/>
  <c r="EG184" i="2"/>
  <c r="DV193" i="2"/>
  <c r="EV94" i="2"/>
  <c r="EE94" i="2"/>
  <c r="ED114" i="2"/>
  <c r="EK114" i="2"/>
  <c r="EO52" i="2"/>
  <c r="EE52" i="2"/>
  <c r="EP128" i="2"/>
  <c r="EO128" i="2"/>
  <c r="DZ120" i="2"/>
  <c r="EL120" i="2"/>
  <c r="EN50" i="2"/>
  <c r="EV50" i="2"/>
  <c r="EM90" i="2"/>
  <c r="EN90" i="2"/>
  <c r="EG112" i="2"/>
  <c r="EI112" i="2"/>
  <c r="EF91" i="2"/>
  <c r="ES91" i="2"/>
  <c r="EU91" i="2" s="1"/>
  <c r="ES201" i="2"/>
  <c r="EU201" i="2" s="1"/>
  <c r="DX201" i="2"/>
  <c r="DY201" i="2" s="1"/>
  <c r="EA67" i="2"/>
  <c r="ET67" i="2" s="1"/>
  <c r="EM67" i="2"/>
  <c r="EG64" i="2"/>
  <c r="EK64" i="2"/>
  <c r="DZ79" i="2"/>
  <c r="EJ147" i="2"/>
  <c r="DX193" i="2"/>
  <c r="DY193" i="2" s="1"/>
  <c r="EF94" i="2"/>
  <c r="ES94" i="2"/>
  <c r="EU94" i="2" s="1"/>
  <c r="EG14" i="2"/>
  <c r="EF14" i="2"/>
  <c r="EB14" i="2"/>
  <c r="DX17" i="2"/>
  <c r="DY17" i="2" s="1"/>
  <c r="DV17" i="2"/>
  <c r="EI17" i="2"/>
  <c r="EA13" i="2"/>
  <c r="ET13" i="2" s="1"/>
  <c r="EO13" i="2"/>
  <c r="EF13" i="2"/>
  <c r="EG110" i="2"/>
  <c r="EJ110" i="2"/>
  <c r="EV66" i="2"/>
  <c r="EE66" i="2"/>
  <c r="EJ72" i="2"/>
  <c r="EN72" i="2"/>
  <c r="ES135" i="2"/>
  <c r="EU135" i="2" s="1"/>
  <c r="DU135" i="2"/>
  <c r="EP43" i="2"/>
  <c r="EK43" i="2"/>
  <c r="EQ109" i="2"/>
  <c r="EA109" i="2"/>
  <c r="ET109" i="2" s="1"/>
  <c r="EV163" i="2"/>
  <c r="EB163" i="2"/>
  <c r="EC123" i="2"/>
  <c r="EM123" i="2"/>
  <c r="ER60" i="2"/>
  <c r="EB60" i="2"/>
  <c r="DU160" i="2"/>
  <c r="EP14" i="2"/>
  <c r="EQ14" i="2"/>
  <c r="DX14" i="2"/>
  <c r="DY14" i="2" s="1"/>
  <c r="EP17" i="2"/>
  <c r="EH17" i="2"/>
  <c r="EE17" i="2"/>
  <c r="EG13" i="2"/>
  <c r="EQ13" i="2"/>
  <c r="DZ13" i="2"/>
  <c r="ES13" i="2"/>
  <c r="EU13" i="2" s="1"/>
  <c r="EH110" i="2"/>
  <c r="EK110" i="2"/>
  <c r="EA66" i="2"/>
  <c r="ET66" i="2" s="1"/>
  <c r="EI66" i="2"/>
  <c r="EV72" i="2"/>
  <c r="EH72" i="2"/>
  <c r="EC135" i="2"/>
  <c r="ED135" i="2"/>
  <c r="EA43" i="2"/>
  <c r="ET43" i="2" s="1"/>
  <c r="EJ43" i="2"/>
  <c r="ED109" i="2"/>
  <c r="EV109" i="2"/>
  <c r="DZ163" i="2"/>
  <c r="EE163" i="2"/>
  <c r="EF123" i="2"/>
  <c r="ES123" i="2"/>
  <c r="EU123" i="2" s="1"/>
  <c r="DZ60" i="2"/>
  <c r="EG60" i="2"/>
  <c r="EB160" i="2"/>
  <c r="EL14" i="2"/>
  <c r="EO14" i="2"/>
  <c r="DZ14" i="2"/>
  <c r="ER17" i="2"/>
  <c r="EB17" i="2"/>
  <c r="ES17" i="2"/>
  <c r="EU17" i="2" s="1"/>
  <c r="DW13" i="2"/>
  <c r="EC13" i="2"/>
  <c r="EV13" i="2"/>
  <c r="EM110" i="2"/>
  <c r="DZ110" i="2"/>
  <c r="DU66" i="2"/>
  <c r="EL66" i="2"/>
  <c r="DV72" i="2"/>
  <c r="DU72" i="2"/>
  <c r="ER135" i="2"/>
  <c r="EJ135" i="2"/>
  <c r="DX43" i="2"/>
  <c r="DY43" i="2" s="1"/>
  <c r="DW43" i="2"/>
  <c r="DU109" i="2"/>
  <c r="EN109" i="2"/>
  <c r="EQ163" i="2"/>
  <c r="EI163" i="2"/>
  <c r="EB123" i="2"/>
  <c r="EH123" i="2"/>
  <c r="EV60" i="2"/>
  <c r="EL60" i="2"/>
  <c r="EH160" i="2"/>
  <c r="DW14" i="2"/>
  <c r="EV14" i="2"/>
  <c r="EH14" i="2"/>
  <c r="EA17" i="2"/>
  <c r="ET17" i="2" s="1"/>
  <c r="DW17" i="2"/>
  <c r="EQ17" i="2"/>
  <c r="EK13" i="2"/>
  <c r="EP13" i="2"/>
  <c r="ED13" i="2"/>
  <c r="DX110" i="2"/>
  <c r="DY110" i="2" s="1"/>
  <c r="DU110" i="2"/>
  <c r="ED66" i="2"/>
  <c r="DX72" i="2"/>
  <c r="DY72" i="2" s="1"/>
  <c r="EI72" i="2"/>
  <c r="EK135" i="2"/>
  <c r="EQ135" i="2"/>
  <c r="EN43" i="2"/>
  <c r="EH43" i="2"/>
  <c r="EF109" i="2"/>
  <c r="EK109" i="2"/>
  <c r="EA163" i="2"/>
  <c r="ET163" i="2" s="1"/>
  <c r="EK163" i="2"/>
  <c r="EI123" i="2"/>
  <c r="ER123" i="2"/>
  <c r="DV60" i="2"/>
  <c r="EQ60" i="2"/>
  <c r="DV14" i="2"/>
  <c r="EE14" i="2"/>
  <c r="DU17" i="2"/>
  <c r="EL17" i="2"/>
  <c r="DX13" i="2"/>
  <c r="DY13" i="2" s="1"/>
  <c r="DU13" i="2"/>
  <c r="EV110" i="2"/>
  <c r="EB66" i="2"/>
  <c r="EA72" i="2"/>
  <c r="ET72" i="2" s="1"/>
  <c r="EH135" i="2"/>
  <c r="ER43" i="2"/>
  <c r="DV43" i="2"/>
  <c r="EO109" i="2"/>
  <c r="ER163" i="2"/>
  <c r="EJ123" i="2"/>
  <c r="EO60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CT3" i="2"/>
  <c r="B16" i="5" s="1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I4" i="2" l="1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30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<sst xmlns="http://schemas.openxmlformats.org/spreadsheetml/2006/main" count="856" uniqueCount="340">
  <si>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</si>
  <si>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</si>
  <si>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</si>
  <si>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</si>
  <si>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</si>
  <si>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</si>
  <si>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</si>
  <si>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</si>
  <si>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</si>
  <si>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</si>
  <si>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</si>
  <si>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</si>
  <si>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Mustaqeem et al. (A)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</si>
  <si>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</si>
  <si>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</si>
  <si>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</si>
  <si>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</si>
  <si>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</si>
  <si>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</si>
  <si>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</si>
  <si>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</si>
  <si>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Mustaqeem et al. (B)</t>
  </si>
  <si>
    <t>Hsu et al.</t>
  </si>
  <si>
    <t>No</t>
  </si>
  <si>
    <t>Xie et al.</t>
  </si>
  <si>
    <t>Van et al.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</si>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</sst>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2" fontId="13" fillId="8" borderId="0" xfId="12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0.2371698967149076</c:v>
                </c:pt>
                <c:pt idx="1">
                  <c:v>0.26016089082347649</c:v>
                </c:pt>
                <c:pt idx="2">
                  <c:v>0.19670612731083356</c:v>
                </c:pt>
                <c:pt idx="3">
                  <c:v>6.9193115016761869E-2</c:v>
                </c:pt>
                <c:pt idx="4">
                  <c:v>0.23676997013402054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0.2412226087705579</c:v>
                  </c:pt>
                  <c:pt idx="1">
                    <c:v>0.2375618841900482</c:v>
                  </c:pt>
                  <c:pt idx="2">
                    <c:v>0.27720580902012659</c:v>
                  </c:pt>
                  <c:pt idx="3">
                    <c:v>0.65137811475158269</c:v>
                  </c:pt>
                  <c:pt idx="4">
                    <c:v>0.24186245568812581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0.17432405586039312</c:v>
                  </c:pt>
                  <c:pt idx="1">
                    <c:v>0.17421804779174793</c:v>
                  </c:pt>
                  <c:pt idx="2">
                    <c:v>0.194049886386368</c:v>
                  </c:pt>
                  <c:pt idx="3">
                    <c:v>0.35703325499827349</c:v>
                  </c:pt>
                  <c:pt idx="4">
                    <c:v>0.17473644215213674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0.62857717688717207</c:v>
                </c:pt>
                <c:pt idx="1">
                  <c:v>0.65337955587467555</c:v>
                </c:pt>
                <c:pt idx="2">
                  <c:v>0.64687822637613435</c:v>
                </c:pt>
                <c:pt idx="3">
                  <c:v>0.79010602984305001</c:v>
                </c:pt>
                <c:pt idx="4">
                  <c:v>0.62959473936975874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0.2371698967149076</c:v>
                </c:pt>
                <c:pt idx="1">
                  <c:v>0.26016089082347649</c:v>
                </c:pt>
                <c:pt idx="2">
                  <c:v>0.19670612731083356</c:v>
                </c:pt>
                <c:pt idx="3">
                  <c:v>6.9193115016761869E-2</c:v>
                </c:pt>
                <c:pt idx="4">
                  <c:v>0.23676997013402054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5.2607975506111071E-2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4.8663132280282406E-2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0.64896593463836627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0.26016089082347649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5.2607975506111071E-2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4.8663132280282406E-2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0.64896593463836627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0.26016089082347649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0.2412226087705579</c:v>
                  </c:pt>
                  <c:pt idx="1">
                    <c:v>0.2375618841900482</c:v>
                  </c:pt>
                  <c:pt idx="2">
                    <c:v>0.27720580902012659</c:v>
                  </c:pt>
                  <c:pt idx="3">
                    <c:v>0.65137811475158269</c:v>
                  </c:pt>
                  <c:pt idx="4">
                    <c:v>0.24186245568812581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0.17432405586039312</c:v>
                  </c:pt>
                  <c:pt idx="1">
                    <c:v>0.17421804779174793</c:v>
                  </c:pt>
                  <c:pt idx="2">
                    <c:v>0.194049886386368</c:v>
                  </c:pt>
                  <c:pt idx="3">
                    <c:v>0.35703325499827349</c:v>
                  </c:pt>
                  <c:pt idx="4">
                    <c:v>0.17473644215213674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0.62857717688717207</c:v>
                </c:pt>
                <c:pt idx="1">
                  <c:v>0.65337955587467555</c:v>
                </c:pt>
                <c:pt idx="2">
                  <c:v>0.64687822637613435</c:v>
                </c:pt>
                <c:pt idx="3">
                  <c:v>0.79010602984305001</c:v>
                </c:pt>
                <c:pt idx="4">
                  <c:v>0.62959473936975874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0.2371698967149076</c:v>
                </c:pt>
                <c:pt idx="1">
                  <c:v>0.26016089082347649</c:v>
                </c:pt>
                <c:pt idx="2">
                  <c:v>0.19670612731083356</c:v>
                </c:pt>
                <c:pt idx="3">
                  <c:v>6.9193115016761869E-2</c:v>
                </c:pt>
                <c:pt idx="4">
                  <c:v>0.23676997013402054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5.2607975506111071E-2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4.8663132280282406E-2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0.64896593463836627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0.26016089082347649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5.2607975506111071E-2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4.8663132280282406E-2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0.64896593463836627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6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0.26016089082347649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3.4750800182898951E-2</c:v>
                </c:pt>
                <c:pt idx="1">
                  <c:v>3.7494284407864654E-2</c:v>
                </c:pt>
                <c:pt idx="2">
                  <c:v>2.6097271648873072E-2</c:v>
                </c:pt>
                <c:pt idx="3">
                  <c:v>4.5072115384615381E-3</c:v>
                </c:pt>
                <c:pt idx="4">
                  <c:v>4.0210627094303494E-2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2.2129186602870814E-2</c:v>
                </c:pt>
                <c:pt idx="1">
                  <c:v>2.4820574162679427E-2</c:v>
                </c:pt>
                <c:pt idx="2">
                  <c:v>1.7038777908343124E-2</c:v>
                </c:pt>
                <c:pt idx="3">
                  <c:v>3.5645472061657034E-3</c:v>
                </c:pt>
                <c:pt idx="4">
                  <c:v>2.5699168556311415E-2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36.428641233256712</c:v>
                </c:pt>
                <c:pt idx="1">
                  <c:v>39.959994442824183</c:v>
                </c:pt>
                <c:pt idx="2">
                  <c:v>30.21351798623634</c:v>
                </c:pt>
                <c:pt idx="3">
                  <c:v>10.627871402191531</c:v>
                </c:pt>
                <c:pt idx="4">
                  <c:v>36.367213614758022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2.6391456675678545E-2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-2.733212117645142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-2.776445105197793</c:v>
                </c:pt>
                <c:pt idx="1">
                  <c:v>-5.509657222842935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2.776445105197793</c:v>
                </c:pt>
                <c:pt idx="1">
                  <c:v>4.3232987552650926E-2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6.0356144039572897</c:v>
                </c:pt>
                <c:pt idx="1">
                  <c:v>6.3213918121584731</c:v>
                </c:pt>
                <c:pt idx="2">
                  <c:v>5.4966824527378639</c:v>
                </c:pt>
                <c:pt idx="3">
                  <c:v>3.2600416258372427</c:v>
                </c:pt>
                <c:pt idx="4">
                  <c:v>6.0305234942547088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-2.8023144205445183</c:v>
                </c:pt>
                <c:pt idx="1">
                  <c:v>-2.6903658281433533</c:v>
                </c:pt>
                <c:pt idx="2">
                  <c:v>-2.3943395676365999</c:v>
                </c:pt>
                <c:pt idx="3">
                  <c:v>-0.76802710232006577</c:v>
                </c:pt>
                <c:pt idx="4">
                  <c:v>-2.7901962024423077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-0.46429646312513978</c:v>
                </c:pt>
                <c:pt idx="1">
                  <c:v>-0.42559706914049256</c:v>
                </c:pt>
                <c:pt idx="2">
                  <c:v>-0.43559721490623754</c:v>
                </c:pt>
                <c:pt idx="3">
                  <c:v>-0.23558812753589345</c:v>
                </c:pt>
                <c:pt idx="4">
                  <c:v>-0.46267893742567012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0.16568321517430662</c:v>
                </c:pt>
                <c:pt idx="1">
                  <c:v>0.15819301029191302</c:v>
                </c:pt>
                <c:pt idx="2">
                  <c:v>0.18192791899446659</c:v>
                </c:pt>
                <c:pt idx="3">
                  <c:v>0.30674454954027786</c:v>
                </c:pt>
                <c:pt idx="4">
                  <c:v>0.16582308334470497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-1.4543663363972672</c:v>
                </c:pt>
                <c:pt idx="1">
                  <c:v>-0.43237505265661935</c:v>
                </c:pt>
                <c:pt idx="2">
                  <c:v>0.58961623108402839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0.36809345944833344</c:v>
                </c:pt>
                <c:pt idx="1">
                  <c:v>0</c:v>
                </c:pt>
                <c:pt idx="2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-0.43237505265661935</c:v>
                </c:pt>
                <c:pt idx="1">
                  <c:v>-0.43237505265661935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-0.43237505265661935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-0.43237505265661935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-0.43237505265661935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0.22402546482785812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-0.43237505265661935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-1.1503493803760083</c:v>
                </c:pt>
                <c:pt idx="1">
                  <c:v>0</c:v>
                </c:pt>
                <c:pt idx="2">
                  <c:v>0.48877641111466941</c:v>
                </c:pt>
                <c:pt idx="3">
                  <c:v>1.150349380376009</c:v>
                </c:pt>
                <c:pt idx="4">
                  <c:v>-0.4887764111146693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-2.8023144205445183</c:v>
                </c:pt>
                <c:pt idx="1">
                  <c:v>-2.6903658281433533</c:v>
                </c:pt>
                <c:pt idx="2">
                  <c:v>-2.3943395676365999</c:v>
                </c:pt>
                <c:pt idx="3">
                  <c:v>-0.76802710232006577</c:v>
                </c:pt>
                <c:pt idx="4">
                  <c:v>-2.7901962024423077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-3.221881931171505</c:v>
                </c:pt>
                <c:pt idx="1">
                  <c:v>-1.3562153172632327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-2.2890486242173691</c:v>
                </c:pt>
                <c:pt idx="1">
                  <c:v>-2.2890486242173691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zoomScaleNormal="100" workbookViewId="0">
      <pane ySplit="1" topLeftCell="A2" activePane="bottomLeft" state="frozen"/>
      <selection pane="bottomLeft" activeCell="H10" sqref="H10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>
        <f>IF(AND(Sufficient_data="Yes",Include_study?="Yes"),1,"")</f>
        <v>1</v>
      </c>
      <c r="B2" s="134" t="s">
        <v>12</v>
      </c>
      <c r="C2" s="5" t="s">
        <v>13</v>
      </c>
      <c r="D2" s="27">
        <v>74</v>
      </c>
      <c r="E2" s="27"/>
      <c r="F2" s="27">
        <v>76</v>
      </c>
      <c r="G2" s="27"/>
      <c r="H2" s="27">
        <v>3344</v>
      </c>
      <c r="I2" s="27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14</v>
      </c>
      <c r="P2" s="1" t="s">
        <v>15</v>
      </c>
      <c r="Q2" s="1" t="s">
        <v>16</v>
      </c>
      <c r="S2" s="92"/>
      <c r="T2" s="92"/>
    </row>
    <row r="3" spans="1:20" ht="13" x14ac:dyDescent="0.35">
      <c r="A3" s="109">
        <f>IF(AND(Sufficient_data="Yes",Include_study?="Yes"),COUNT(A$2:A2)+1,"")</f>
        <v>2</v>
      </c>
      <c r="B3" s="134" t="s">
        <v>21</v>
      </c>
      <c r="C3" s="5" t="s">
        <v>13</v>
      </c>
      <c r="D3" s="27">
        <v>83</v>
      </c>
      <c r="E3" s="27"/>
      <c r="F3" s="27">
        <v>82</v>
      </c>
      <c r="G3" s="27"/>
      <c r="H3" s="27">
        <v>3344</v>
      </c>
      <c r="I3" s="27">
        <v>2187</v>
      </c>
      <c r="J3" s="3" t="str">
        <f t="shared" si="0"/>
        <v>Yes</v>
      </c>
      <c r="K3" s="5"/>
      <c r="L3" s="27"/>
      <c r="N3" s="2" t="s">
        <v>17</v>
      </c>
      <c r="O3" s="3" t="s">
        <v>3</v>
      </c>
      <c r="P3" s="3" t="s">
        <v>4</v>
      </c>
      <c r="Q3" s="3" t="s">
        <v>18</v>
      </c>
      <c r="S3" s="92"/>
      <c r="T3" s="92"/>
    </row>
    <row r="4" spans="1:20" ht="13" x14ac:dyDescent="0.35">
      <c r="A4" s="109">
        <f>IF(AND(Sufficient_data="Yes",Include_study?="Yes"),COUNT(A$2:A3)+1,"")</f>
        <v>3</v>
      </c>
      <c r="B4" s="134" t="s">
        <v>22</v>
      </c>
      <c r="C4" s="5" t="s">
        <v>13</v>
      </c>
      <c r="D4" s="27">
        <v>58</v>
      </c>
      <c r="E4" s="27"/>
      <c r="F4" s="27">
        <v>66</v>
      </c>
      <c r="G4" s="27"/>
      <c r="H4" s="27">
        <v>3404</v>
      </c>
      <c r="I4" s="93">
        <v>2529</v>
      </c>
      <c r="J4" s="3" t="str">
        <f t="shared" si="0"/>
        <v>Yes</v>
      </c>
      <c r="K4" s="5"/>
      <c r="L4" s="27"/>
      <c r="N4" s="2" t="s">
        <v>19</v>
      </c>
      <c r="O4" s="3" t="s">
        <v>5</v>
      </c>
      <c r="P4" s="3" t="s">
        <v>6</v>
      </c>
      <c r="Q4" s="3" t="s">
        <v>20</v>
      </c>
      <c r="S4" s="92"/>
      <c r="T4" s="92"/>
    </row>
    <row r="5" spans="1:20" x14ac:dyDescent="0.3">
      <c r="A5" s="109">
        <f>IF(AND(Sufficient_data="Yes",Include_study?="Yes"),COUNT(A$2:A4)+1,"")</f>
        <v>4</v>
      </c>
      <c r="B5" s="94" t="s">
        <v>24</v>
      </c>
      <c r="C5" s="5" t="s">
        <v>13</v>
      </c>
      <c r="D5" s="27">
        <v>37</v>
      </c>
      <c r="E5" s="27"/>
      <c r="F5" s="27">
        <v>15</v>
      </c>
      <c r="G5" s="27"/>
      <c r="H5" s="27">
        <v>10380</v>
      </c>
      <c r="I5" s="27">
        <v>3328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109">
        <f>IF(AND(Sufficient_data="Yes",Include_study?="Yes"),COUNT(A$2:A5)+1,"")</f>
        <v>5</v>
      </c>
      <c r="B6" s="94" t="s">
        <v>25</v>
      </c>
      <c r="C6" s="5" t="s">
        <v>13</v>
      </c>
      <c r="D6" s="27">
        <v>68</v>
      </c>
      <c r="E6" s="27"/>
      <c r="F6" s="27">
        <v>84</v>
      </c>
      <c r="G6" s="27"/>
      <c r="H6" s="27">
        <v>2646</v>
      </c>
      <c r="I6" s="27">
        <v>2089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109" t="str">
        <f>IF(AND(Sufficient_data="Yes",Include_study?="Yes"),COUNT(A$2:A6)+1,"")</f>
        <v/>
      </c>
      <c r="B7" s="134"/>
      <c r="C7" s="5" t="s">
        <v>23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109" t="str">
        <f>IF(AND(Sufficient_data="Yes",Include_study?="Yes"),COUNT(A$2:A7)+1,"")</f>
        <v/>
      </c>
      <c r="B8" s="12"/>
      <c r="C8" s="5" t="s">
        <v>23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s="98" customFormat="1" x14ac:dyDescent="0.3">
      <c r="A9" s="109" t="str">
        <f>IF(AND(Sufficient_data="Yes",Include_study?="Yes"),COUNT(A$2:A8)+1,"")</f>
        <v/>
      </c>
      <c r="B9" s="12"/>
      <c r="C9" s="99" t="s">
        <v>23</v>
      </c>
      <c r="D9" s="27"/>
      <c r="E9" s="27"/>
      <c r="F9" s="27"/>
      <c r="G9" s="27"/>
      <c r="H9" s="27"/>
      <c r="I9" s="27"/>
      <c r="J9" s="100" t="str">
        <f t="shared" si="0"/>
        <v>No</v>
      </c>
      <c r="K9" s="99"/>
      <c r="L9" s="97"/>
    </row>
    <row r="10" spans="1:20" s="98" customFormat="1" x14ac:dyDescent="0.3">
      <c r="A10" s="109" t="str">
        <f>IF(AND(Sufficient_data="Yes",Include_study?="Yes"),COUNT(A$2:A9)+1,"")</f>
        <v/>
      </c>
      <c r="B10" s="94"/>
      <c r="C10" s="99" t="s">
        <v>23</v>
      </c>
      <c r="D10" s="101"/>
      <c r="E10" s="101"/>
      <c r="F10" s="101"/>
      <c r="G10" s="101"/>
      <c r="H10" s="101"/>
      <c r="I10" s="101"/>
      <c r="J10" s="100" t="s">
        <v>13</v>
      </c>
      <c r="K10" s="99"/>
      <c r="L10" s="97"/>
    </row>
    <row r="11" spans="1:20" s="98" customFormat="1" x14ac:dyDescent="0.3">
      <c r="A11" s="109" t="str">
        <f>IF(AND(Sufficient_data="Yes",Include_study?="Yes"),COUNT(A$2:A10)+1,"")</f>
        <v/>
      </c>
      <c r="B11" s="94"/>
      <c r="C11" s="99" t="s">
        <v>23</v>
      </c>
      <c r="D11" s="101"/>
      <c r="E11" s="101"/>
      <c r="F11" s="101"/>
      <c r="G11" s="101"/>
      <c r="H11" s="101"/>
      <c r="I11" s="101"/>
      <c r="J11" s="100" t="s">
        <v>13</v>
      </c>
      <c r="K11" s="99"/>
      <c r="L11" s="97"/>
    </row>
    <row r="12" spans="1:20" s="94" customFormat="1" x14ac:dyDescent="0.3">
      <c r="A12" s="109" t="str">
        <f>IF(AND(Sufficient_data="Yes",Include_study?="Yes"),COUNT(A$2:A11)+1,"")</f>
        <v/>
      </c>
      <c r="B12" s="107"/>
      <c r="C12" s="99" t="s">
        <v>23</v>
      </c>
      <c r="D12" s="101"/>
      <c r="E12" s="101"/>
      <c r="F12" s="101"/>
      <c r="G12" s="101"/>
      <c r="H12" s="101"/>
      <c r="I12" s="101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23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23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23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23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23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23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23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23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23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23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23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23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23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23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23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23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23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23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23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23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23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23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23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23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23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23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23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23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23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23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23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23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23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23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23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23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23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23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23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23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23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23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23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23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23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23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23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23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23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23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23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23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23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23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23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23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23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23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23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23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23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23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23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23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23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23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23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23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23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13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13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13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13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C1" zoomScaleNormal="100" workbookViewId="0">
      <pane ySplit="1" topLeftCell="A2" activePane="bottomLeft" state="frozen"/>
      <selection pane="bottomLeft" activeCell="E2" sqref="E2:I6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2" t="s">
        <v>26</v>
      </c>
      <c r="B1" s="112"/>
      <c r="D1" s="1" t="s">
        <v>27</v>
      </c>
      <c r="E1" s="1" t="s">
        <v>1</v>
      </c>
      <c r="F1" s="1" t="str">
        <f>IF(Present_Effect_size_measure&lt;&gt;"",Present_Effect_size_measure,"")</f>
        <v>Odds Ratio</v>
      </c>
      <c r="G1" s="1" t="s">
        <v>28</v>
      </c>
      <c r="H1" s="1" t="s">
        <v>29</v>
      </c>
      <c r="I1" s="1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31</v>
      </c>
      <c r="B2" s="5" t="s">
        <v>32</v>
      </c>
      <c r="D2" s="47">
        <v>1</v>
      </c>
      <c r="E2" s="16" t="str">
        <f>IF(Number&lt;=COUNT(Entry_number),INDEX(Lookup_table,MATCH(Number,Calculations!AK:AK,0),3),"")</f>
        <v>Mustaqeem et al. (A)</v>
      </c>
      <c r="F2" s="4">
        <f>IF(Ranked_number&lt;=COUNT(Entry_number),INDEX(Lookup_table,MATCH(Number,Calculations!AK:AK,0),5),"")</f>
        <v>0.62857717688717207</v>
      </c>
      <c r="G2" s="4">
        <f>IF(Ranked_number&lt;=COUNT(Entry_number),INDEX(Lookup_table,MATCH(Number,Calculations!AK:AK,0),9),"")</f>
        <v>0.45425312102677895</v>
      </c>
      <c r="H2" s="4">
        <f>IF(Ranked_number&lt;=COUNT(Entry_number),INDEX(Lookup_table,MATCH(Number,Calculations!AK:AK,0),10),"")</f>
        <v>0.86979978565772997</v>
      </c>
      <c r="I2" s="8">
        <f>IF(D2&lt;=COUNT(Entry_number),INDEX(Lookup_table,MATCH(Number,Calculations!AK:AK,0),11),"")</f>
        <v>0.2371698967149076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13" t="s">
        <v>34</v>
      </c>
      <c r="O2" s="114" t="s">
        <v>35</v>
      </c>
    </row>
    <row r="3" spans="1:15" x14ac:dyDescent="0.3">
      <c r="A3" s="3" t="s">
        <v>36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(B)</v>
      </c>
      <c r="F3" s="4">
        <f>IF(Ranked_number&lt;=COUNT(Entry_number),INDEX(Lookup_table,MATCH(Number,Calculations!AK:AK,0),5),"")</f>
        <v>0.65337955587467555</v>
      </c>
      <c r="G3" s="4">
        <f>IF(Ranked_number&lt;=COUNT(Entry_number),INDEX(Lookup_table,MATCH(Number,Calculations!AK:AK,0),9),"")</f>
        <v>0.47916150808292762</v>
      </c>
      <c r="H3" s="4">
        <f>IF(Ranked_number&lt;=COUNT(Entry_number),INDEX(Lookup_table,MATCH(Number,Calculations!AK:AK,0),10),"")</f>
        <v>0.89094144006472376</v>
      </c>
      <c r="I3" s="8">
        <f>IF(D3&lt;=COUNT(Entry_number),INDEX(Lookup_table,MATCH(Number,Calculations!AK:AK,0),11),"")</f>
        <v>0.26016089082347649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3"/>
      <c r="O3" s="114"/>
    </row>
    <row r="4" spans="1:15" x14ac:dyDescent="0.3">
      <c r="D4" s="48">
        <v>3</v>
      </c>
      <c r="E4" s="16" t="str">
        <f>IF(Number&lt;=COUNT(Entry_number),INDEX(Lookup_table,MATCH(Number,Calculations!AK:AK,0),3),"")</f>
        <v>Hsu et al.</v>
      </c>
      <c r="F4" s="4">
        <f>IF(Ranked_number&lt;=COUNT(Entry_number),INDEX(Lookup_table,MATCH(Number,Calculations!AK:AK,0),5),"")</f>
        <v>0.64687822637613435</v>
      </c>
      <c r="G4" s="4">
        <f>IF(Ranked_number&lt;=COUNT(Entry_number),INDEX(Lookup_table,MATCH(Number,Calculations!AK:AK,0),9),"")</f>
        <v>0.45282833998976635</v>
      </c>
      <c r="H4" s="4">
        <f>IF(Ranked_number&lt;=COUNT(Entry_number),INDEX(Lookup_table,MATCH(Number,Calculations!AK:AK,0),10),"")</f>
        <v>0.92408403539626094</v>
      </c>
      <c r="I4" s="8">
        <f>IF(D4&lt;=COUNT(Entry_number),INDEX(Lookup_table,MATCH(Number,Calculations!AK:AK,0),11),"")</f>
        <v>0.19670612731083356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13"/>
      <c r="O4" s="114"/>
    </row>
    <row r="5" spans="1:15" x14ac:dyDescent="0.3">
      <c r="A5" s="112" t="s">
        <v>38</v>
      </c>
      <c r="B5" s="112"/>
      <c r="D5" s="48">
        <v>4</v>
      </c>
      <c r="E5" s="16" t="str">
        <f>IF(Number&lt;=COUNT(Entry_number),INDEX(Lookup_table,MATCH(Number,Calculations!AK:AK,0),3),"")</f>
        <v>Xie et al.</v>
      </c>
      <c r="F5" s="4">
        <f>IF(Ranked_number&lt;=COUNT(Entry_number),INDEX(Lookup_table,MATCH(Number,Calculations!AK:AK,0),5),"")</f>
        <v>0.79010602984305001</v>
      </c>
      <c r="G5" s="4">
        <f>IF(Ranked_number&lt;=COUNT(Entry_number),INDEX(Lookup_table,MATCH(Number,Calculations!AK:AK,0),9),"")</f>
        <v>0.43307277484477652</v>
      </c>
      <c r="H5" s="4">
        <f>IF(Ranked_number&lt;=COUNT(Entry_number),INDEX(Lookup_table,MATCH(Number,Calculations!AK:AK,0),10),"")</f>
        <v>1.4414841445946327</v>
      </c>
      <c r="I5" s="8">
        <f>IF(D5&lt;=COUNT(Entry_number),INDEX(Lookup_table,MATCH(Number,Calculations!AK:AK,0),11),"")</f>
        <v>6.9193115016761869E-2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3"/>
      <c r="O5" s="114"/>
    </row>
    <row r="6" spans="1:15" x14ac:dyDescent="0.3">
      <c r="A6" s="3" t="s">
        <v>39</v>
      </c>
      <c r="B6" s="5" t="s">
        <v>40</v>
      </c>
      <c r="D6" s="48">
        <v>5</v>
      </c>
      <c r="E6" s="16" t="str">
        <f>IF(Number&lt;=COUNT(Entry_number),INDEX(Lookup_table,MATCH(Number,Calculations!AK:AK,0),3),"")</f>
        <v>Van et al.</v>
      </c>
      <c r="F6" s="4">
        <f>IF(Ranked_number&lt;=COUNT(Entry_number),INDEX(Lookup_table,MATCH(Number,Calculations!AK:AK,0),5),"")</f>
        <v>0.62959473936975874</v>
      </c>
      <c r="G6" s="4">
        <f>IF(Ranked_number&lt;=COUNT(Entry_number),INDEX(Lookup_table,MATCH(Number,Calculations!AK:AK,0),9),"")</f>
        <v>0.454858297217622</v>
      </c>
      <c r="H6" s="4">
        <f>IF(Ranked_number&lt;=COUNT(Entry_number),INDEX(Lookup_table,MATCH(Number,Calculations!AK:AK,0),10),"")</f>
        <v>0.87145719505788455</v>
      </c>
      <c r="I6" s="8">
        <f>IF(D6&lt;=COUNT(Entry_number),INDEX(Lookup_table,MATCH(Number,Calculations!AK:AK,0),11),"")</f>
        <v>0.23676997013402054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13"/>
      <c r="O6" s="114"/>
    </row>
    <row r="7" spans="1:15" x14ac:dyDescent="0.3">
      <c r="A7" s="3" t="s">
        <v>42</v>
      </c>
      <c r="B7" s="5" t="s">
        <v>43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13"/>
      <c r="O7" s="114"/>
    </row>
    <row r="8" spans="1:15" x14ac:dyDescent="0.3">
      <c r="A8" s="3" t="s">
        <v>45</v>
      </c>
      <c r="B8" s="5" t="s">
        <v>43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3"/>
      <c r="O8" s="114"/>
    </row>
    <row r="9" spans="1:15" x14ac:dyDescent="0.3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3"/>
      <c r="O9" s="11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3"/>
      <c r="O10" s="114"/>
    </row>
    <row r="11" spans="1:15" x14ac:dyDescent="0.3">
      <c r="A11" s="112" t="s">
        <v>47</v>
      </c>
      <c r="B11" s="11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3"/>
      <c r="O11" s="114"/>
    </row>
    <row r="12" spans="1:15" x14ac:dyDescent="0.3">
      <c r="A12" s="3" t="s">
        <v>48</v>
      </c>
      <c r="B12" s="5" t="s">
        <v>33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3"/>
      <c r="O12" s="114"/>
    </row>
    <row r="13" spans="1:15" x14ac:dyDescent="0.3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3"/>
      <c r="O13" s="11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3"/>
      <c r="O14" s="114"/>
    </row>
    <row r="15" spans="1:15" x14ac:dyDescent="0.3">
      <c r="A15" s="112" t="s">
        <v>51</v>
      </c>
      <c r="B15" s="11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3"/>
      <c r="O15" s="11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0.64896593463836627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3"/>
      <c r="O16" s="114"/>
    </row>
    <row r="17" spans="1:15" x14ac:dyDescent="0.3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0.60030280235808386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3"/>
      <c r="O17" s="114"/>
    </row>
    <row r="18" spans="1:15" x14ac:dyDescent="0.3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0.70157391014447734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3"/>
      <c r="O18" s="114"/>
    </row>
    <row r="19" spans="1:15" x14ac:dyDescent="0.3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0.60030280235808386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3"/>
      <c r="O19" s="114"/>
    </row>
    <row r="20" spans="1:15" x14ac:dyDescent="0.3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0.70157391014447734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3"/>
      <c r="O20" s="11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3"/>
      <c r="O21" s="114"/>
    </row>
    <row r="22" spans="1:15" x14ac:dyDescent="0.3">
      <c r="A22" s="3" t="s">
        <v>54</v>
      </c>
      <c r="B22" s="4">
        <f>IF(B16&lt;&gt;"",IF(Weighting_method="Inverse variance",Z_value,IF(Weighting_method="Mantel-Haenszel",Z_value_MH,IF(Weighting_method="Peto",Z_value_Peto,""))),"")</f>
        <v>-15.401241502554024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3"/>
      <c r="O22" s="114"/>
    </row>
    <row r="23" spans="1:15" x14ac:dyDescent="0.3">
      <c r="A23" s="3" t="s">
        <v>55</v>
      </c>
      <c r="B23" s="26">
        <f>IF(Valid_options="Yes",IF(B22&lt;&gt;"",1-NORMSDIST(ABS(B22)),""),"")</f>
        <v>0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3"/>
      <c r="O23" s="114"/>
    </row>
    <row r="24" spans="1:15" x14ac:dyDescent="0.3">
      <c r="A24" s="3" t="s">
        <v>56</v>
      </c>
      <c r="B24" s="26">
        <f>IF(Valid_options="Yes",IF(B22&lt;&gt;"",2*(1-NORMSDIST(ABS(B22))),""),"")</f>
        <v>0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3"/>
      <c r="O24" s="11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3"/>
      <c r="O25" s="114"/>
    </row>
    <row r="26" spans="1:15" ht="12" customHeight="1" x14ac:dyDescent="0.3">
      <c r="A26" s="3" t="s">
        <v>57</v>
      </c>
      <c r="B26" s="7">
        <f>SUMIF(Sufficient_data,"Yes",Number_of_subjects)</f>
        <v>35438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3"/>
      <c r="O26" s="114"/>
    </row>
    <row r="27" spans="1:15" x14ac:dyDescent="0.3">
      <c r="A27" s="3" t="s">
        <v>58</v>
      </c>
      <c r="B27" s="7">
        <f>COUNT(Weightf)</f>
        <v>5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3"/>
      <c r="O27" s="11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3"/>
      <c r="O28" s="114"/>
    </row>
    <row r="29" spans="1:15" x14ac:dyDescent="0.3">
      <c r="A29" s="112" t="s">
        <v>59</v>
      </c>
      <c r="B29" s="11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3"/>
      <c r="O29" s="114"/>
    </row>
    <row r="30" spans="1:15" x14ac:dyDescent="0.3">
      <c r="A30" s="3" t="s">
        <v>60</v>
      </c>
      <c r="B30" s="4">
        <f>IF(Valid_options="Yes",IF(Weighting_method="Inverse variance",Q_,IF(Weighting_method="Mantel-Haenszel",Q_MH,IF(Weighting_method="Peto",Q_Peto,""))),NA())</f>
        <v>0.4842316737600747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3"/>
      <c r="O30" s="114"/>
    </row>
    <row r="31" spans="1:15" ht="13" x14ac:dyDescent="0.35">
      <c r="A31" s="3" t="s">
        <v>61</v>
      </c>
      <c r="B31" s="26">
        <f>IF(Valid_options="Yes",IF(B30&lt;&gt;"",CHIDIST(B30,k_-1),""),"")</f>
        <v>0.97501776142043406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3"/>
      <c r="O31" s="114"/>
    </row>
    <row r="32" spans="1:15" ht="13.5" x14ac:dyDescent="0.3">
      <c r="A32" s="3" t="s">
        <v>62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3"/>
      <c r="O32" s="11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3"/>
      <c r="O33" s="11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3"/>
      <c r="O34" s="11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3"/>
      <c r="O35" s="114"/>
    </row>
    <row r="36" spans="1:15" x14ac:dyDescent="0.3">
      <c r="A36" s="112" t="s">
        <v>63</v>
      </c>
      <c r="B36" s="116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3"/>
      <c r="O36" s="114"/>
    </row>
    <row r="37" spans="1:15" x14ac:dyDescent="0.3">
      <c r="A37" s="117" t="s">
        <v>40</v>
      </c>
      <c r="B37" s="117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3"/>
      <c r="O37" s="114"/>
    </row>
    <row r="38" spans="1:15" x14ac:dyDescent="0.3">
      <c r="A38" s="111" t="s">
        <v>64</v>
      </c>
      <c r="B38" s="11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3"/>
      <c r="O38" s="114"/>
    </row>
    <row r="39" spans="1:15" x14ac:dyDescent="0.3">
      <c r="A39" s="111" t="s">
        <v>65</v>
      </c>
      <c r="B39" s="11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3"/>
      <c r="O39" s="11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3"/>
      <c r="O40" s="114"/>
    </row>
    <row r="41" spans="1:15" x14ac:dyDescent="0.3">
      <c r="A41" s="112" t="s">
        <v>66</v>
      </c>
      <c r="B41" s="116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3"/>
      <c r="O41" s="114"/>
    </row>
    <row r="42" spans="1:15" x14ac:dyDescent="0.3">
      <c r="A42" s="117" t="str">
        <f>IF(Weighting_method="Peto","Peto Odds Ratio","Odds Ratio")</f>
        <v>Odds Ratio</v>
      </c>
      <c r="B42" s="117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3"/>
      <c r="O42" s="114"/>
    </row>
    <row r="43" spans="1:15" x14ac:dyDescent="0.3">
      <c r="A43" s="111" t="str">
        <f>IF(Weighting_method="Inverse variance","Risk Ratio","")</f>
        <v>Risk Ratio</v>
      </c>
      <c r="B43" s="11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3"/>
      <c r="O43" s="114"/>
    </row>
    <row r="44" spans="1:15" x14ac:dyDescent="0.3">
      <c r="A44" s="111" t="str">
        <f>IF(Weighting_method="Inverse variance","Risk Difference","")</f>
        <v>Risk Difference</v>
      </c>
      <c r="B44" s="11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3"/>
      <c r="O44" s="11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3"/>
      <c r="O45" s="114"/>
    </row>
    <row r="46" spans="1:15" x14ac:dyDescent="0.3">
      <c r="A46" s="112" t="s">
        <v>67</v>
      </c>
      <c r="B46" s="116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3"/>
      <c r="O46" s="114"/>
    </row>
    <row r="47" spans="1:15" x14ac:dyDescent="0.3">
      <c r="A47" s="117" t="str">
        <f>IF(Model_effect_size_measure&lt;&gt;"",Model_effect_size_measure,"")</f>
        <v>Odds Ratio</v>
      </c>
      <c r="B47" s="117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3"/>
      <c r="O47" s="114"/>
    </row>
    <row r="48" spans="1:15" x14ac:dyDescent="0.3">
      <c r="A48" s="111" t="str">
        <f>IF(OR(Model_effect_size_measure="Odds Ratio",Model_effect_size_measure="Peto Odds Ratio"),"Risk Ratio",IF(Model_effect_size_measure="Risk Ratio","Risk Difference",""))</f>
        <v>Risk Ratio</v>
      </c>
      <c r="B48" s="11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3"/>
      <c r="O48" s="114"/>
    </row>
    <row r="49" spans="1:15" x14ac:dyDescent="0.3">
      <c r="A49" s="111" t="str">
        <f>IF(OR(Model_effect_size_measure="Odds Ratio",Model_effect_size_measure="Peto Odds Ratio"),"Risk Difference","")</f>
        <v>Risk Difference</v>
      </c>
      <c r="B49" s="11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3"/>
      <c r="O49" s="11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3"/>
      <c r="O50" s="11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3"/>
      <c r="O51" s="11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3"/>
      <c r="O52" s="11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3"/>
      <c r="O53" s="11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3"/>
      <c r="O54" s="11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3"/>
      <c r="O55" s="11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3"/>
      <c r="O56" s="11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3"/>
      <c r="O57" s="11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3"/>
      <c r="O58" s="11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3"/>
      <c r="O59" s="11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3"/>
      <c r="O60" s="11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3"/>
      <c r="O61" s="11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3"/>
      <c r="O62" s="11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3"/>
      <c r="O63" s="11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3"/>
      <c r="O64" s="11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3"/>
      <c r="O65" s="11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3"/>
      <c r="O66" s="11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3"/>
      <c r="O67" s="11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3"/>
      <c r="O68" s="11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3"/>
      <c r="O69" s="11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3"/>
      <c r="O70" s="11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3"/>
      <c r="O71" s="11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3"/>
      <c r="O72" s="11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3"/>
      <c r="O73" s="11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3"/>
      <c r="O74" s="11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3"/>
      <c r="O75" s="11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3"/>
      <c r="O76" s="11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3"/>
      <c r="O77" s="11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3"/>
      <c r="O78" s="11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3"/>
      <c r="O79" s="11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3"/>
      <c r="O80" s="11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3"/>
      <c r="O81" s="11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3"/>
      <c r="O82" s="11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3"/>
      <c r="O83" s="11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3"/>
      <c r="O84" s="11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3"/>
      <c r="O85" s="11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3"/>
      <c r="O86" s="11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3"/>
      <c r="O87" s="11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3"/>
      <c r="O88" s="11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3"/>
      <c r="O89" s="11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3"/>
      <c r="O90" s="11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3"/>
      <c r="O91" s="11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3"/>
      <c r="O92" s="11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3"/>
      <c r="O93" s="11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3"/>
      <c r="O94" s="11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3"/>
      <c r="O95" s="11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3"/>
      <c r="O96" s="11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3"/>
      <c r="O97" s="11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3"/>
      <c r="O98" s="11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3"/>
      <c r="O99" s="11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3"/>
      <c r="O100" s="11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3"/>
      <c r="O101" s="11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3"/>
      <c r="O102" s="11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3"/>
      <c r="O103" s="11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3"/>
      <c r="O104" s="11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3"/>
      <c r="O105" s="11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3"/>
      <c r="O106" s="11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3"/>
      <c r="O107" s="11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3"/>
      <c r="O108" s="11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3"/>
      <c r="O109" s="11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3"/>
      <c r="O110" s="11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3"/>
      <c r="O111" s="11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3"/>
      <c r="O112" s="11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3"/>
      <c r="O113" s="11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3"/>
      <c r="O114" s="11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3"/>
      <c r="O115" s="11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3"/>
      <c r="O116" s="11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3"/>
      <c r="O117" s="11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3"/>
      <c r="O118" s="11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3"/>
      <c r="O119" s="11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3"/>
      <c r="O120" s="11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3"/>
      <c r="O121" s="11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3"/>
      <c r="O122" s="11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3"/>
      <c r="O123" s="11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3"/>
      <c r="O124" s="11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3"/>
      <c r="O125" s="11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3"/>
      <c r="O126" s="11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3"/>
      <c r="O127" s="11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3"/>
      <c r="O128" s="11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3"/>
      <c r="O129" s="11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3"/>
      <c r="O130" s="11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3"/>
      <c r="O131" s="11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3"/>
      <c r="O132" s="11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3"/>
      <c r="O133" s="11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3"/>
      <c r="O134" s="11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3"/>
      <c r="O135" s="11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3"/>
      <c r="O136" s="11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3"/>
      <c r="O137" s="11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3"/>
      <c r="O138" s="11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3"/>
      <c r="O139" s="11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3"/>
      <c r="O140" s="11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3"/>
      <c r="O141" s="11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3"/>
      <c r="O142" s="11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3"/>
      <c r="O143" s="11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3"/>
      <c r="O144" s="11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3"/>
      <c r="O145" s="11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3"/>
      <c r="O146" s="11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3"/>
      <c r="O147" s="11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3"/>
      <c r="O148" s="11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3"/>
      <c r="O149" s="11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3"/>
      <c r="O150" s="11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3"/>
      <c r="O151" s="11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3"/>
      <c r="O152" s="11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3"/>
      <c r="O153" s="11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3"/>
      <c r="O154" s="11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3"/>
      <c r="O155" s="11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3"/>
      <c r="O156" s="11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3"/>
      <c r="O157" s="11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3"/>
      <c r="O158" s="11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3"/>
      <c r="O159" s="11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3"/>
      <c r="O160" s="11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3"/>
      <c r="O161" s="11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3"/>
      <c r="O162" s="11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3"/>
      <c r="O163" s="11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3"/>
      <c r="O164" s="11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3"/>
      <c r="O165" s="11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3"/>
      <c r="O166" s="11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3"/>
      <c r="O167" s="11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3"/>
      <c r="O168" s="11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3"/>
      <c r="O169" s="11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3"/>
      <c r="O170" s="11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3"/>
      <c r="O171" s="11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3"/>
      <c r="O172" s="11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3"/>
      <c r="O173" s="11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3"/>
      <c r="O174" s="11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3"/>
      <c r="O175" s="11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3"/>
      <c r="O176" s="11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3"/>
      <c r="O177" s="11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3"/>
      <c r="O178" s="11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3"/>
      <c r="O179" s="11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3"/>
      <c r="O180" s="11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3"/>
      <c r="O181" s="11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3"/>
      <c r="O182" s="11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3"/>
      <c r="O183" s="11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3"/>
      <c r="O184" s="11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3"/>
      <c r="O185" s="11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3"/>
      <c r="O186" s="11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3"/>
      <c r="O187" s="11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3"/>
      <c r="O188" s="11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3"/>
      <c r="O189" s="11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3"/>
      <c r="O190" s="11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3"/>
      <c r="O191" s="11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3"/>
      <c r="O192" s="11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3"/>
      <c r="O193" s="11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3"/>
      <c r="O194" s="11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3"/>
      <c r="O195" s="11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3"/>
      <c r="O196" s="11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3"/>
      <c r="O197" s="11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3"/>
      <c r="O198" s="11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3"/>
      <c r="O199" s="11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3"/>
      <c r="O200" s="11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3"/>
      <c r="O201" s="115"/>
    </row>
  </sheetData>
  <mergeCells count="19">
    <mergeCell ref="A44:B44"/>
    <mergeCell ref="A47:B47"/>
    <mergeCell ref="A48:B48"/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2" t="s">
        <v>26</v>
      </c>
      <c r="B1" s="112"/>
      <c r="C1" s="112"/>
      <c r="D1" s="112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 x14ac:dyDescent="0.3">
      <c r="A2" s="3" t="s">
        <v>73</v>
      </c>
      <c r="B2" s="119" t="s">
        <v>74</v>
      </c>
      <c r="C2" s="119"/>
      <c r="D2" s="119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25" t="s">
        <v>75</v>
      </c>
      <c r="U2" s="114" t="s">
        <v>76</v>
      </c>
      <c r="W2" s="114" t="s">
        <v>77</v>
      </c>
      <c r="Y2" s="114" t="s">
        <v>78</v>
      </c>
      <c r="AA2" s="114" t="s">
        <v>79</v>
      </c>
    </row>
    <row r="3" spans="1:27" x14ac:dyDescent="0.3">
      <c r="A3" s="3" t="s">
        <v>80</v>
      </c>
      <c r="B3" s="120" t="s">
        <v>43</v>
      </c>
      <c r="C3" s="120"/>
      <c r="D3" s="120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5"/>
      <c r="U3" s="114"/>
      <c r="W3" s="114"/>
      <c r="Y3" s="114"/>
      <c r="AA3" s="114"/>
    </row>
    <row r="4" spans="1:27" ht="11.25" customHeight="1" x14ac:dyDescent="0.3">
      <c r="A4" s="3" t="s">
        <v>46</v>
      </c>
      <c r="B4" s="121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1"/>
      <c r="D4" s="121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5"/>
      <c r="U4" s="114"/>
      <c r="W4" s="114"/>
      <c r="Y4" s="114"/>
      <c r="AA4" s="11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5"/>
      <c r="U5" s="114"/>
      <c r="W5" s="114"/>
      <c r="Y5" s="114"/>
      <c r="AA5" s="114"/>
    </row>
    <row r="6" spans="1:27" x14ac:dyDescent="0.3">
      <c r="A6" s="3" t="s">
        <v>81</v>
      </c>
      <c r="B6" s="120" t="s">
        <v>82</v>
      </c>
      <c r="C6" s="120"/>
      <c r="D6" s="120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5"/>
      <c r="U6" s="114"/>
      <c r="W6" s="114"/>
      <c r="Y6" s="114"/>
      <c r="AA6" s="114"/>
    </row>
    <row r="7" spans="1:27" x14ac:dyDescent="0.3">
      <c r="A7" s="3" t="s">
        <v>83</v>
      </c>
      <c r="B7" s="120" t="s">
        <v>84</v>
      </c>
      <c r="C7" s="120"/>
      <c r="D7" s="120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5"/>
      <c r="U7" s="114"/>
      <c r="W7" s="114"/>
      <c r="Y7" s="114"/>
      <c r="AA7" s="114"/>
    </row>
    <row r="8" spans="1:27" x14ac:dyDescent="0.3">
      <c r="A8" s="3" t="s">
        <v>36</v>
      </c>
      <c r="B8" s="122">
        <v>0.95</v>
      </c>
      <c r="C8" s="122"/>
      <c r="D8" s="122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5"/>
      <c r="U8" s="114"/>
      <c r="W8" s="114"/>
      <c r="Y8" s="114"/>
      <c r="AA8" s="11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5"/>
      <c r="U9" s="114"/>
      <c r="W9" s="114"/>
      <c r="Y9" s="114"/>
      <c r="AA9" s="114"/>
    </row>
    <row r="10" spans="1:27" x14ac:dyDescent="0.3">
      <c r="A10" s="112" t="s">
        <v>51</v>
      </c>
      <c r="B10" s="112"/>
      <c r="C10" s="112"/>
      <c r="D10" s="11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5"/>
      <c r="U10" s="114"/>
      <c r="W10" s="114"/>
      <c r="Y10" s="114"/>
      <c r="AA10" s="114"/>
    </row>
    <row r="11" spans="1:27" x14ac:dyDescent="0.3">
      <c r="A11" s="3" t="str">
        <f>Subgroup_effect_size_measure</f>
        <v>Odds Ratio</v>
      </c>
      <c r="B11" s="123" t="e">
        <f>Calculations!EY9</f>
        <v>#DIV/0!</v>
      </c>
      <c r="C11" s="123"/>
      <c r="D11" s="123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5"/>
      <c r="U11" s="114"/>
      <c r="W11" s="114"/>
      <c r="Y11" s="114"/>
      <c r="AA11" s="114"/>
    </row>
    <row r="12" spans="1:27" x14ac:dyDescent="0.3">
      <c r="A12" s="3" t="s">
        <v>28</v>
      </c>
      <c r="B12" s="124" t="e">
        <f>Calculations!EY11</f>
        <v>#DIV/0!</v>
      </c>
      <c r="C12" s="124"/>
      <c r="D12" s="124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5"/>
      <c r="U12" s="114"/>
      <c r="W12" s="114"/>
      <c r="Y12" s="114"/>
      <c r="AA12" s="114"/>
    </row>
    <row r="13" spans="1:27" x14ac:dyDescent="0.3">
      <c r="A13" s="3" t="s">
        <v>29</v>
      </c>
      <c r="B13" s="124" t="e">
        <f>Calculations!EY12</f>
        <v>#DIV/0!</v>
      </c>
      <c r="C13" s="124"/>
      <c r="D13" s="124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5"/>
      <c r="U13" s="114"/>
      <c r="W13" s="114"/>
      <c r="Y13" s="114"/>
      <c r="AA13" s="114"/>
    </row>
    <row r="14" spans="1:27" x14ac:dyDescent="0.3">
      <c r="A14" s="3" t="s">
        <v>52</v>
      </c>
      <c r="B14" s="124" t="e">
        <f>Calculations!EY13</f>
        <v>#DIV/0!</v>
      </c>
      <c r="C14" s="124"/>
      <c r="D14" s="124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5"/>
      <c r="U14" s="114"/>
      <c r="W14" s="114"/>
      <c r="Y14" s="114"/>
      <c r="AA14" s="114"/>
    </row>
    <row r="15" spans="1:27" x14ac:dyDescent="0.3">
      <c r="A15" s="3" t="s">
        <v>53</v>
      </c>
      <c r="B15" s="124" t="e">
        <f>Calculations!EY14</f>
        <v>#DIV/0!</v>
      </c>
      <c r="C15" s="124"/>
      <c r="D15" s="124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5"/>
      <c r="U15" s="114"/>
      <c r="W15" s="114"/>
      <c r="Y15" s="114"/>
      <c r="AA15" s="11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5"/>
      <c r="U16" s="114"/>
      <c r="W16" s="114"/>
      <c r="Y16" s="114"/>
      <c r="AA16" s="114"/>
    </row>
    <row r="17" spans="1:27" x14ac:dyDescent="0.3">
      <c r="A17" s="3" t="s">
        <v>57</v>
      </c>
      <c r="B17" s="118">
        <f>SUMIF(Sufficient_data,"Yes",Number_of_subjects)</f>
        <v>35438</v>
      </c>
      <c r="C17" s="118"/>
      <c r="D17" s="11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5"/>
      <c r="U17" s="114"/>
      <c r="W17" s="114"/>
      <c r="Y17" s="114"/>
      <c r="AA17" s="114"/>
    </row>
    <row r="18" spans="1:27" x14ac:dyDescent="0.3">
      <c r="A18" s="3" t="s">
        <v>58</v>
      </c>
      <c r="B18" s="118">
        <f>COUNT(Subgroup_weightf)</f>
        <v>0</v>
      </c>
      <c r="C18" s="118"/>
      <c r="D18" s="11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5"/>
      <c r="U18" s="114"/>
      <c r="W18" s="114"/>
      <c r="Y18" s="114"/>
      <c r="AA18" s="114"/>
    </row>
    <row r="19" spans="1:27" x14ac:dyDescent="0.3">
      <c r="A19" s="3" t="s">
        <v>85</v>
      </c>
      <c r="B19" s="118">
        <f>COUNT(Calculations!DZ:DZ)</f>
        <v>0</v>
      </c>
      <c r="C19" s="118"/>
      <c r="D19" s="11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5"/>
      <c r="U19" s="114"/>
      <c r="W19" s="114"/>
      <c r="Y19" s="114"/>
      <c r="AA19" s="11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5"/>
      <c r="U20" s="114"/>
      <c r="W20" s="114"/>
      <c r="Y20" s="114"/>
      <c r="AA20" s="114"/>
    </row>
    <row r="21" spans="1:27" x14ac:dyDescent="0.3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5"/>
      <c r="U21" s="114"/>
      <c r="W21" s="114"/>
      <c r="Y21" s="114"/>
      <c r="AA21" s="114"/>
    </row>
    <row r="22" spans="1:27" x14ac:dyDescent="0.3">
      <c r="A22" s="3" t="s">
        <v>89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5"/>
      <c r="U22" s="114"/>
      <c r="W22" s="114"/>
      <c r="Y22" s="114"/>
      <c r="AA22" s="114"/>
    </row>
    <row r="23" spans="1:27" x14ac:dyDescent="0.3">
      <c r="A23" s="3" t="s">
        <v>90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5"/>
      <c r="U23" s="114"/>
      <c r="W23" s="114"/>
      <c r="Y23" s="114"/>
      <c r="AA23" s="114"/>
    </row>
    <row r="24" spans="1:27" x14ac:dyDescent="0.3">
      <c r="A24" s="3" t="s">
        <v>16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5"/>
      <c r="U24" s="114"/>
      <c r="W24" s="114"/>
      <c r="Y24" s="114"/>
      <c r="AA24" s="11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5"/>
      <c r="U25" s="114"/>
      <c r="W25" s="114"/>
      <c r="Y25" s="114"/>
      <c r="AA25" s="114"/>
    </row>
    <row r="26" spans="1:27" ht="13.5" x14ac:dyDescent="0.3">
      <c r="A26" s="3" t="s">
        <v>91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5"/>
      <c r="U26" s="114"/>
      <c r="W26" s="114"/>
      <c r="Y26" s="114"/>
      <c r="AA26" s="11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5"/>
      <c r="U27" s="114"/>
      <c r="W27" s="114"/>
      <c r="Y27" s="114"/>
      <c r="AA27" s="114"/>
    </row>
    <row r="28" spans="1:27" x14ac:dyDescent="0.3">
      <c r="A28" s="112" t="s">
        <v>63</v>
      </c>
      <c r="B28" s="112"/>
      <c r="C28" s="112"/>
      <c r="D28" s="11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5"/>
      <c r="U28" s="114"/>
      <c r="W28" s="114"/>
      <c r="Y28" s="114"/>
      <c r="AA28" s="114"/>
    </row>
    <row r="29" spans="1:27" x14ac:dyDescent="0.3">
      <c r="A29" s="117" t="s">
        <v>74</v>
      </c>
      <c r="B29" s="117"/>
      <c r="C29" s="117"/>
      <c r="D29" s="117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5"/>
      <c r="U29" s="114"/>
      <c r="W29" s="114"/>
      <c r="Y29" s="114"/>
      <c r="AA29" s="114"/>
    </row>
    <row r="30" spans="1:27" x14ac:dyDescent="0.3">
      <c r="A30" s="111" t="s">
        <v>64</v>
      </c>
      <c r="B30" s="111"/>
      <c r="C30" s="111"/>
      <c r="D30" s="11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5"/>
      <c r="U30" s="114"/>
      <c r="W30" s="114"/>
      <c r="Y30" s="114"/>
      <c r="AA30" s="114"/>
    </row>
    <row r="31" spans="1:27" x14ac:dyDescent="0.3">
      <c r="A31" s="111" t="s">
        <v>65</v>
      </c>
      <c r="B31" s="111"/>
      <c r="C31" s="111"/>
      <c r="D31" s="11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5"/>
      <c r="U31" s="114"/>
      <c r="W31" s="114"/>
      <c r="Y31" s="114"/>
      <c r="AA31" s="11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5"/>
      <c r="U32" s="114"/>
      <c r="W32" s="114"/>
      <c r="Y32" s="114"/>
      <c r="AA32" s="114"/>
    </row>
    <row r="33" spans="1:27" x14ac:dyDescent="0.3">
      <c r="A33" s="112" t="s">
        <v>92</v>
      </c>
      <c r="B33" s="112"/>
      <c r="C33" s="112"/>
      <c r="D33" s="11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5"/>
      <c r="U33" s="114"/>
      <c r="W33" s="114"/>
      <c r="Y33" s="114"/>
      <c r="AA33" s="114"/>
    </row>
    <row r="34" spans="1:27" x14ac:dyDescent="0.3">
      <c r="A34" s="117" t="str">
        <f>IF(Subgroup_weighting_method="Peto","Peto Odds Ratio","Odds Ratio")</f>
        <v>Odds Ratio</v>
      </c>
      <c r="B34" s="117"/>
      <c r="C34" s="117"/>
      <c r="D34" s="117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5"/>
      <c r="U34" s="114"/>
      <c r="W34" s="114"/>
      <c r="Y34" s="114"/>
      <c r="AA34" s="114"/>
    </row>
    <row r="35" spans="1:27" x14ac:dyDescent="0.3">
      <c r="A35" s="111" t="str">
        <f>IF(Subgroup_weighting_method="Inverse variance","Risk Ratio","")</f>
        <v>Risk Ratio</v>
      </c>
      <c r="B35" s="111"/>
      <c r="C35" s="111"/>
      <c r="D35" s="11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5"/>
      <c r="U35" s="114"/>
      <c r="W35" s="114"/>
      <c r="Y35" s="114"/>
      <c r="AA35" s="114"/>
    </row>
    <row r="36" spans="1:27" x14ac:dyDescent="0.3">
      <c r="A36" s="111" t="str">
        <f>IF(Subgroup_weighting_method="Inverse Variance","Risk Difference","")</f>
        <v>Risk Difference</v>
      </c>
      <c r="B36" s="111"/>
      <c r="C36" s="111"/>
      <c r="D36" s="11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5"/>
      <c r="U36" s="114"/>
      <c r="W36" s="114"/>
      <c r="Y36" s="114"/>
      <c r="AA36" s="11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5"/>
      <c r="U37" s="114"/>
      <c r="W37" s="114"/>
      <c r="Y37" s="114"/>
      <c r="AA37" s="11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5"/>
      <c r="U38" s="114"/>
      <c r="W38" s="114"/>
      <c r="Y38" s="114"/>
      <c r="AA38" s="11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5"/>
      <c r="U39" s="114"/>
      <c r="W39" s="114"/>
      <c r="Y39" s="114"/>
      <c r="AA39" s="11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5"/>
      <c r="U40" s="114"/>
      <c r="W40" s="114"/>
      <c r="Y40" s="114"/>
      <c r="AA40" s="11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5"/>
      <c r="U41" s="114"/>
      <c r="W41" s="114"/>
      <c r="Y41" s="114"/>
      <c r="AA41" s="11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5"/>
      <c r="U42" s="114"/>
      <c r="W42" s="114"/>
      <c r="Y42" s="114"/>
      <c r="AA42" s="11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5"/>
      <c r="U43" s="114"/>
      <c r="W43" s="114"/>
      <c r="Y43" s="114"/>
      <c r="AA43" s="11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5"/>
      <c r="U44" s="114"/>
      <c r="W44" s="114"/>
      <c r="Y44" s="114"/>
      <c r="AA44" s="11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5"/>
      <c r="U45" s="114"/>
      <c r="W45" s="114"/>
      <c r="Y45" s="114"/>
      <c r="AA45" s="11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5"/>
      <c r="U46" s="114"/>
      <c r="W46" s="114"/>
      <c r="Y46" s="114"/>
      <c r="AA46" s="11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5"/>
      <c r="U47" s="114"/>
      <c r="W47" s="114"/>
      <c r="Y47" s="114"/>
      <c r="AA47" s="11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5"/>
      <c r="U48" s="114"/>
      <c r="W48" s="114"/>
      <c r="Y48" s="114"/>
      <c r="AA48" s="11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5"/>
      <c r="U49" s="114"/>
      <c r="W49" s="114"/>
      <c r="Y49" s="114"/>
      <c r="AA49" s="11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5"/>
      <c r="U50" s="114"/>
      <c r="W50" s="114"/>
      <c r="Y50" s="114"/>
      <c r="AA50" s="11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5"/>
      <c r="U51" s="114"/>
      <c r="W51" s="114"/>
      <c r="Y51" s="114"/>
      <c r="AA51" s="11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5"/>
      <c r="U52" s="114"/>
      <c r="W52" s="114"/>
      <c r="Y52" s="114"/>
      <c r="AA52" s="11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5"/>
      <c r="U53" s="114"/>
      <c r="W53" s="114"/>
      <c r="Y53" s="114"/>
      <c r="AA53" s="11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5"/>
      <c r="U54" s="114"/>
      <c r="W54" s="114"/>
      <c r="Y54" s="114"/>
      <c r="AA54" s="11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5"/>
      <c r="U55" s="114"/>
      <c r="W55" s="114"/>
      <c r="Y55" s="114"/>
      <c r="AA55" s="11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5"/>
      <c r="U56" s="114"/>
      <c r="W56" s="114"/>
      <c r="Y56" s="114"/>
      <c r="AA56" s="11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5"/>
      <c r="U57" s="114"/>
      <c r="W57" s="114"/>
      <c r="Y57" s="114"/>
      <c r="AA57" s="11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5"/>
      <c r="U58" s="114"/>
      <c r="W58" s="114"/>
      <c r="Y58" s="114"/>
      <c r="AA58" s="11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5"/>
      <c r="U59" s="114"/>
      <c r="W59" s="114"/>
      <c r="Y59" s="114"/>
      <c r="AA59" s="11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5"/>
      <c r="U60" s="114"/>
      <c r="W60" s="114"/>
      <c r="Y60" s="114"/>
      <c r="AA60" s="11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5"/>
      <c r="U61" s="114"/>
      <c r="W61" s="114"/>
      <c r="Y61" s="114"/>
      <c r="AA61" s="11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5"/>
      <c r="U62" s="114"/>
      <c r="W62" s="114"/>
      <c r="Y62" s="114"/>
      <c r="AA62" s="11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5"/>
      <c r="U63" s="114"/>
      <c r="W63" s="114"/>
      <c r="Y63" s="114"/>
      <c r="AA63" s="11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5"/>
      <c r="U64" s="114"/>
      <c r="W64" s="114"/>
      <c r="Y64" s="114"/>
      <c r="AA64" s="11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5"/>
      <c r="U65" s="114"/>
      <c r="W65" s="114"/>
      <c r="Y65" s="114"/>
      <c r="AA65" s="11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5"/>
      <c r="U66" s="114"/>
      <c r="W66" s="114"/>
      <c r="Y66" s="114"/>
      <c r="AA66" s="11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5"/>
      <c r="U67" s="114"/>
      <c r="W67" s="114"/>
      <c r="Y67" s="114"/>
      <c r="AA67" s="11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5"/>
      <c r="U68" s="114"/>
      <c r="W68" s="114"/>
      <c r="Y68" s="114"/>
      <c r="AA68" s="11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5"/>
      <c r="U69" s="114"/>
      <c r="W69" s="114"/>
      <c r="Y69" s="114"/>
      <c r="AA69" s="11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5"/>
      <c r="U70" s="114"/>
      <c r="W70" s="114"/>
      <c r="Y70" s="114"/>
      <c r="AA70" s="11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5"/>
      <c r="U71" s="114"/>
      <c r="W71" s="114"/>
      <c r="Y71" s="114"/>
      <c r="AA71" s="11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5"/>
      <c r="U72" s="114"/>
      <c r="W72" s="114"/>
      <c r="Y72" s="114"/>
      <c r="AA72" s="11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5"/>
      <c r="U73" s="114"/>
      <c r="W73" s="114"/>
      <c r="Y73" s="114"/>
      <c r="AA73" s="11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5"/>
      <c r="U74" s="114"/>
      <c r="W74" s="114"/>
      <c r="Y74" s="114"/>
      <c r="AA74" s="11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5"/>
      <c r="U75" s="114"/>
      <c r="W75" s="114"/>
      <c r="Y75" s="114"/>
      <c r="AA75" s="11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5"/>
      <c r="U76" s="114"/>
      <c r="W76" s="114"/>
      <c r="Y76" s="114"/>
      <c r="AA76" s="11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5"/>
      <c r="U77" s="114"/>
      <c r="W77" s="114"/>
      <c r="Y77" s="114"/>
      <c r="AA77" s="11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5"/>
      <c r="U78" s="114"/>
      <c r="W78" s="114"/>
      <c r="Y78" s="114"/>
      <c r="AA78" s="11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5"/>
      <c r="U79" s="114"/>
      <c r="W79" s="114"/>
      <c r="Y79" s="114"/>
      <c r="AA79" s="11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5"/>
      <c r="U80" s="114"/>
      <c r="W80" s="114"/>
      <c r="Y80" s="114"/>
      <c r="AA80" s="11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5"/>
      <c r="U81" s="114"/>
      <c r="W81" s="114"/>
      <c r="Y81" s="114"/>
      <c r="AA81" s="11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5"/>
      <c r="U82" s="114"/>
      <c r="W82" s="114"/>
      <c r="Y82" s="114"/>
      <c r="AA82" s="11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5"/>
      <c r="U83" s="114"/>
      <c r="W83" s="114"/>
      <c r="Y83" s="114"/>
      <c r="AA83" s="11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5"/>
      <c r="U84" s="114"/>
      <c r="W84" s="114"/>
      <c r="Y84" s="114"/>
      <c r="AA84" s="11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5"/>
      <c r="U85" s="114"/>
      <c r="W85" s="114"/>
      <c r="Y85" s="114"/>
      <c r="AA85" s="11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5"/>
      <c r="U86" s="114"/>
      <c r="W86" s="114"/>
      <c r="Y86" s="114"/>
      <c r="AA86" s="11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5"/>
      <c r="U87" s="114"/>
      <c r="W87" s="114"/>
      <c r="Y87" s="114"/>
      <c r="AA87" s="11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5"/>
      <c r="U88" s="114"/>
      <c r="W88" s="114"/>
      <c r="Y88" s="114"/>
      <c r="AA88" s="11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5"/>
      <c r="U89" s="114"/>
      <c r="W89" s="114"/>
      <c r="Y89" s="114"/>
      <c r="AA89" s="11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5"/>
      <c r="U90" s="114"/>
      <c r="W90" s="114"/>
      <c r="Y90" s="114"/>
      <c r="AA90" s="11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5"/>
      <c r="U91" s="114"/>
      <c r="W91" s="114"/>
      <c r="Y91" s="114"/>
      <c r="AA91" s="11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5"/>
      <c r="U92" s="114"/>
      <c r="W92" s="114"/>
      <c r="Y92" s="114"/>
      <c r="AA92" s="11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5"/>
      <c r="U93" s="114"/>
      <c r="W93" s="114"/>
      <c r="Y93" s="114"/>
      <c r="AA93" s="11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5"/>
      <c r="U94" s="114"/>
      <c r="W94" s="114"/>
      <c r="Y94" s="114"/>
      <c r="AA94" s="11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5"/>
      <c r="U95" s="114"/>
      <c r="W95" s="114"/>
      <c r="Y95" s="114"/>
      <c r="AA95" s="11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5"/>
      <c r="U96" s="114"/>
      <c r="W96" s="114"/>
      <c r="Y96" s="114"/>
      <c r="AA96" s="11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5"/>
      <c r="U97" s="114"/>
      <c r="W97" s="114"/>
      <c r="Y97" s="114"/>
      <c r="AA97" s="11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5"/>
      <c r="U98" s="114"/>
      <c r="W98" s="114"/>
      <c r="Y98" s="114"/>
      <c r="AA98" s="11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5"/>
      <c r="U99" s="114"/>
      <c r="W99" s="114"/>
      <c r="Y99" s="114"/>
      <c r="AA99" s="11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5"/>
      <c r="U100" s="114"/>
      <c r="W100" s="114"/>
      <c r="Y100" s="114"/>
      <c r="AA100" s="11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5"/>
      <c r="U101" s="114"/>
      <c r="W101" s="114"/>
      <c r="Y101" s="114"/>
      <c r="AA101" s="11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5"/>
      <c r="U102" s="114"/>
      <c r="W102" s="114"/>
      <c r="Y102" s="114"/>
      <c r="AA102" s="11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5"/>
      <c r="U103" s="114"/>
      <c r="W103" s="114"/>
      <c r="Y103" s="114"/>
      <c r="AA103" s="11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5"/>
      <c r="U104" s="114"/>
      <c r="W104" s="114"/>
      <c r="Y104" s="114"/>
      <c r="AA104" s="11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5"/>
      <c r="U105" s="114"/>
      <c r="W105" s="114"/>
      <c r="Y105" s="114"/>
      <c r="AA105" s="11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5"/>
      <c r="U106" s="114"/>
      <c r="W106" s="114"/>
      <c r="Y106" s="114"/>
      <c r="AA106" s="11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5"/>
      <c r="U107" s="114"/>
      <c r="W107" s="114"/>
      <c r="Y107" s="114"/>
      <c r="AA107" s="11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5"/>
      <c r="U108" s="114"/>
      <c r="W108" s="114"/>
      <c r="Y108" s="114"/>
      <c r="AA108" s="11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5"/>
      <c r="U109" s="114"/>
      <c r="W109" s="114"/>
      <c r="Y109" s="114"/>
      <c r="AA109" s="11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5"/>
      <c r="U110" s="114"/>
      <c r="W110" s="114"/>
      <c r="Y110" s="114"/>
      <c r="AA110" s="11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5"/>
      <c r="U111" s="114"/>
      <c r="W111" s="114"/>
      <c r="Y111" s="114"/>
      <c r="AA111" s="11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5"/>
      <c r="U112" s="114"/>
      <c r="W112" s="114"/>
      <c r="Y112" s="114"/>
      <c r="AA112" s="11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5"/>
      <c r="U113" s="114"/>
      <c r="W113" s="114"/>
      <c r="Y113" s="114"/>
      <c r="AA113" s="11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5"/>
      <c r="U114" s="114"/>
      <c r="W114" s="114"/>
      <c r="Y114" s="114"/>
      <c r="AA114" s="11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5"/>
      <c r="U115" s="114"/>
      <c r="W115" s="114"/>
      <c r="Y115" s="114"/>
      <c r="AA115" s="11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5"/>
      <c r="U116" s="114"/>
      <c r="W116" s="114"/>
      <c r="Y116" s="114"/>
      <c r="AA116" s="11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5"/>
      <c r="U117" s="114"/>
      <c r="W117" s="114"/>
      <c r="Y117" s="114"/>
      <c r="AA117" s="11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5"/>
      <c r="U118" s="114"/>
      <c r="W118" s="114"/>
      <c r="Y118" s="114"/>
      <c r="AA118" s="11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5"/>
      <c r="U119" s="114"/>
      <c r="W119" s="114"/>
      <c r="Y119" s="114"/>
      <c r="AA119" s="11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5"/>
      <c r="U120" s="114"/>
      <c r="W120" s="114"/>
      <c r="Y120" s="114"/>
      <c r="AA120" s="11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5"/>
      <c r="U121" s="114"/>
      <c r="W121" s="114"/>
      <c r="Y121" s="114"/>
      <c r="AA121" s="11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5"/>
      <c r="U122" s="114"/>
      <c r="W122" s="114"/>
      <c r="Y122" s="114"/>
      <c r="AA122" s="11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5"/>
      <c r="U123" s="114"/>
      <c r="W123" s="114"/>
      <c r="Y123" s="114"/>
      <c r="AA123" s="11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5"/>
      <c r="U124" s="114"/>
      <c r="W124" s="114"/>
      <c r="Y124" s="114"/>
      <c r="AA124" s="11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5"/>
      <c r="U125" s="114"/>
      <c r="W125" s="114"/>
      <c r="Y125" s="114"/>
      <c r="AA125" s="11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5"/>
      <c r="U126" s="114"/>
      <c r="W126" s="114"/>
      <c r="Y126" s="114"/>
      <c r="AA126" s="11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5"/>
      <c r="U127" s="114"/>
      <c r="W127" s="114"/>
      <c r="Y127" s="114"/>
      <c r="AA127" s="11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5"/>
      <c r="U128" s="114"/>
      <c r="W128" s="114"/>
      <c r="Y128" s="114"/>
      <c r="AA128" s="11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5"/>
      <c r="U129" s="114"/>
      <c r="W129" s="114"/>
      <c r="Y129" s="114"/>
      <c r="AA129" s="11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5"/>
      <c r="U130" s="114"/>
      <c r="W130" s="114"/>
      <c r="Y130" s="114"/>
      <c r="AA130" s="11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5"/>
      <c r="U131" s="114"/>
      <c r="W131" s="114"/>
      <c r="Y131" s="114"/>
      <c r="AA131" s="11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5"/>
      <c r="U132" s="114"/>
      <c r="W132" s="114"/>
      <c r="Y132" s="114"/>
      <c r="AA132" s="11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5"/>
      <c r="U133" s="114"/>
      <c r="W133" s="114"/>
      <c r="Y133" s="114"/>
      <c r="AA133" s="11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5"/>
      <c r="U134" s="114"/>
      <c r="W134" s="114"/>
      <c r="Y134" s="114"/>
      <c r="AA134" s="11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5"/>
      <c r="U135" s="114"/>
      <c r="W135" s="114"/>
      <c r="Y135" s="114"/>
      <c r="AA135" s="11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5"/>
      <c r="U136" s="114"/>
      <c r="W136" s="114"/>
      <c r="Y136" s="114"/>
      <c r="AA136" s="11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5"/>
      <c r="U137" s="114"/>
      <c r="W137" s="114"/>
      <c r="Y137" s="114"/>
      <c r="AA137" s="11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5"/>
      <c r="U138" s="114"/>
      <c r="W138" s="114"/>
      <c r="Y138" s="114"/>
      <c r="AA138" s="11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5"/>
      <c r="U139" s="114"/>
      <c r="W139" s="114"/>
      <c r="Y139" s="114"/>
      <c r="AA139" s="11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5"/>
      <c r="U140" s="114"/>
      <c r="W140" s="114"/>
      <c r="Y140" s="114"/>
      <c r="AA140" s="11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5"/>
      <c r="U141" s="114"/>
      <c r="W141" s="114"/>
      <c r="Y141" s="114"/>
      <c r="AA141" s="11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5"/>
      <c r="U142" s="114"/>
      <c r="W142" s="114"/>
      <c r="Y142" s="114"/>
      <c r="AA142" s="11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5"/>
      <c r="U143" s="114"/>
      <c r="W143" s="114"/>
      <c r="Y143" s="114"/>
      <c r="AA143" s="11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5"/>
      <c r="U144" s="114"/>
      <c r="W144" s="114"/>
      <c r="Y144" s="114"/>
      <c r="AA144" s="11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5"/>
      <c r="U145" s="114"/>
      <c r="W145" s="114"/>
      <c r="Y145" s="114"/>
      <c r="AA145" s="11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5"/>
      <c r="U146" s="114"/>
      <c r="W146" s="114"/>
      <c r="Y146" s="114"/>
      <c r="AA146" s="11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5"/>
      <c r="U147" s="114"/>
      <c r="W147" s="114"/>
      <c r="Y147" s="114"/>
      <c r="AA147" s="11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5"/>
      <c r="U148" s="114"/>
      <c r="W148" s="114"/>
      <c r="Y148" s="114"/>
      <c r="AA148" s="11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5"/>
      <c r="U149" s="114"/>
      <c r="W149" s="114"/>
      <c r="Y149" s="114"/>
      <c r="AA149" s="11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5"/>
      <c r="U150" s="114"/>
      <c r="W150" s="114"/>
      <c r="Y150" s="114"/>
      <c r="AA150" s="11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5"/>
      <c r="U151" s="114"/>
      <c r="W151" s="114"/>
      <c r="Y151" s="114"/>
      <c r="AA151" s="11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5"/>
      <c r="U152" s="114"/>
      <c r="W152" s="114"/>
      <c r="Y152" s="114"/>
      <c r="AA152" s="11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5"/>
      <c r="U153" s="114"/>
      <c r="W153" s="114"/>
      <c r="Y153" s="114"/>
      <c r="AA153" s="11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5"/>
      <c r="U154" s="114"/>
      <c r="W154" s="114"/>
      <c r="Y154" s="114"/>
      <c r="AA154" s="11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5"/>
      <c r="U155" s="114"/>
      <c r="W155" s="114"/>
      <c r="Y155" s="114"/>
      <c r="AA155" s="11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5"/>
      <c r="U156" s="114"/>
      <c r="W156" s="114"/>
      <c r="Y156" s="114"/>
      <c r="AA156" s="11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5"/>
      <c r="U157" s="114"/>
      <c r="W157" s="114"/>
      <c r="Y157" s="114"/>
      <c r="AA157" s="11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5"/>
      <c r="U158" s="114"/>
      <c r="W158" s="114"/>
      <c r="Y158" s="114"/>
      <c r="AA158" s="11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5"/>
      <c r="U159" s="114"/>
      <c r="W159" s="114"/>
      <c r="Y159" s="114"/>
      <c r="AA159" s="11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5"/>
      <c r="U160" s="114"/>
      <c r="W160" s="114"/>
      <c r="Y160" s="114"/>
      <c r="AA160" s="11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5"/>
      <c r="U161" s="114"/>
      <c r="W161" s="114"/>
      <c r="Y161" s="114"/>
      <c r="AA161" s="11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5"/>
      <c r="U162" s="114"/>
      <c r="W162" s="114"/>
      <c r="Y162" s="114"/>
      <c r="AA162" s="11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5"/>
      <c r="U163" s="114"/>
      <c r="W163" s="114"/>
      <c r="Y163" s="114"/>
      <c r="AA163" s="11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5"/>
      <c r="U164" s="114"/>
      <c r="W164" s="114"/>
      <c r="Y164" s="114"/>
      <c r="AA164" s="11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5"/>
      <c r="U165" s="114"/>
      <c r="W165" s="114"/>
      <c r="Y165" s="114"/>
      <c r="AA165" s="11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5"/>
      <c r="U166" s="114"/>
      <c r="W166" s="114"/>
      <c r="Y166" s="114"/>
      <c r="AA166" s="11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5"/>
      <c r="U167" s="114"/>
      <c r="W167" s="114"/>
      <c r="Y167" s="114"/>
      <c r="AA167" s="11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5"/>
      <c r="U168" s="114"/>
      <c r="W168" s="114"/>
      <c r="Y168" s="114"/>
      <c r="AA168" s="11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5"/>
      <c r="U169" s="114"/>
      <c r="W169" s="114"/>
      <c r="Y169" s="114"/>
      <c r="AA169" s="11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5"/>
      <c r="U170" s="114"/>
      <c r="W170" s="114"/>
      <c r="Y170" s="114"/>
      <c r="AA170" s="11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5"/>
      <c r="U171" s="114"/>
      <c r="W171" s="114"/>
      <c r="Y171" s="114"/>
      <c r="AA171" s="11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5"/>
      <c r="U172" s="114"/>
      <c r="W172" s="114"/>
      <c r="Y172" s="114"/>
      <c r="AA172" s="11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5"/>
      <c r="U173" s="114"/>
      <c r="W173" s="114"/>
      <c r="Y173" s="114"/>
      <c r="AA173" s="11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5"/>
      <c r="U174" s="114"/>
      <c r="W174" s="114"/>
      <c r="Y174" s="114"/>
      <c r="AA174" s="11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5"/>
      <c r="U175" s="114"/>
      <c r="W175" s="114"/>
      <c r="Y175" s="114"/>
      <c r="AA175" s="11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5"/>
      <c r="U176" s="114"/>
      <c r="W176" s="114"/>
      <c r="Y176" s="114"/>
      <c r="AA176" s="11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5"/>
      <c r="U177" s="114"/>
      <c r="W177" s="114"/>
      <c r="Y177" s="114"/>
      <c r="AA177" s="11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5"/>
      <c r="U178" s="114"/>
      <c r="W178" s="114"/>
      <c r="Y178" s="114"/>
      <c r="AA178" s="11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5"/>
      <c r="U179" s="114"/>
      <c r="W179" s="114"/>
      <c r="Y179" s="114"/>
      <c r="AA179" s="11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5"/>
      <c r="U180" s="114"/>
      <c r="W180" s="114"/>
      <c r="Y180" s="114"/>
      <c r="AA180" s="11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5"/>
      <c r="U181" s="114"/>
      <c r="W181" s="114"/>
      <c r="Y181" s="114"/>
      <c r="AA181" s="11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5"/>
      <c r="U182" s="114"/>
      <c r="W182" s="114"/>
      <c r="Y182" s="114"/>
      <c r="AA182" s="11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5"/>
      <c r="U183" s="114"/>
      <c r="W183" s="114"/>
      <c r="Y183" s="114"/>
      <c r="AA183" s="11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5"/>
      <c r="U184" s="114"/>
      <c r="W184" s="114"/>
      <c r="Y184" s="114"/>
      <c r="AA184" s="11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5"/>
      <c r="U185" s="114"/>
      <c r="W185" s="114"/>
      <c r="Y185" s="114"/>
      <c r="AA185" s="11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5"/>
      <c r="U186" s="114"/>
      <c r="W186" s="114"/>
      <c r="Y186" s="114"/>
      <c r="AA186" s="11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5"/>
      <c r="U187" s="114"/>
      <c r="W187" s="114"/>
      <c r="Y187" s="114"/>
      <c r="AA187" s="11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5"/>
      <c r="U188" s="114"/>
      <c r="W188" s="114"/>
      <c r="Y188" s="114"/>
      <c r="AA188" s="11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5"/>
      <c r="U189" s="114"/>
      <c r="W189" s="114"/>
      <c r="Y189" s="114"/>
      <c r="AA189" s="11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5"/>
      <c r="U190" s="114"/>
      <c r="W190" s="114"/>
      <c r="Y190" s="114"/>
      <c r="AA190" s="11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5"/>
      <c r="U191" s="114"/>
      <c r="W191" s="114"/>
      <c r="Y191" s="114"/>
      <c r="AA191" s="11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5"/>
      <c r="U192" s="114"/>
      <c r="W192" s="114"/>
      <c r="Y192" s="114"/>
      <c r="AA192" s="11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5"/>
      <c r="U193" s="114"/>
      <c r="W193" s="114"/>
      <c r="Y193" s="114"/>
      <c r="AA193" s="11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5"/>
      <c r="U194" s="114"/>
      <c r="W194" s="114"/>
      <c r="Y194" s="114"/>
      <c r="AA194" s="11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5"/>
      <c r="U195" s="114"/>
      <c r="W195" s="114"/>
      <c r="Y195" s="114"/>
      <c r="AA195" s="11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5"/>
      <c r="U196" s="114"/>
      <c r="W196" s="114"/>
      <c r="Y196" s="114"/>
      <c r="AA196" s="11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5"/>
      <c r="U197" s="114"/>
      <c r="W197" s="114"/>
      <c r="Y197" s="114"/>
      <c r="AA197" s="11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5"/>
      <c r="U198" s="114"/>
      <c r="W198" s="114"/>
      <c r="Y198" s="114"/>
      <c r="AA198" s="11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5"/>
      <c r="U199" s="114"/>
      <c r="W199" s="114"/>
      <c r="Y199" s="114"/>
      <c r="AA199" s="11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5"/>
      <c r="U200" s="114"/>
      <c r="W200" s="114"/>
      <c r="Y200" s="114"/>
      <c r="AA200" s="11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26"/>
      <c r="U201" s="115"/>
      <c r="W201" s="115"/>
      <c r="Y201" s="115"/>
      <c r="AA201" s="11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2" t="s">
        <v>26</v>
      </c>
      <c r="B1" s="112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 x14ac:dyDescent="0.3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2" t="s">
        <v>63</v>
      </c>
      <c r="B9" s="11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7" t="s">
        <v>74</v>
      </c>
      <c r="B10" s="117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1" t="s">
        <v>64</v>
      </c>
      <c r="B11" s="11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1" t="s">
        <v>65</v>
      </c>
      <c r="B12" s="11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2" t="s">
        <v>92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7" t="str">
        <f>IF(Moderator_weighting_method="Peto","Log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1" t="str">
        <f>IF(Moderator_weighting_method="Inverse variance","Log Risk Ratio","")</f>
        <v>Log Risk Ratio</v>
      </c>
      <c r="B16" s="11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1" t="str">
        <f>IF(Moderator_weighting_method="Inverse Variance","Risk Difference","")</f>
        <v>Risk Difference</v>
      </c>
      <c r="B17" s="11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16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D2" sqref="D2:F6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26</v>
      </c>
      <c r="B1" s="1"/>
      <c r="D1" s="1" t="s">
        <v>1</v>
      </c>
      <c r="E1" s="1" t="str">
        <f>Additional_effect_size_measure</f>
        <v>Log Odds Ratio</v>
      </c>
      <c r="F1" s="1" t="s">
        <v>108</v>
      </c>
      <c r="M1" s="85"/>
      <c r="O1" s="112" t="s">
        <v>109</v>
      </c>
      <c r="P1" s="112"/>
      <c r="Q1" s="112"/>
      <c r="R1" s="112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 x14ac:dyDescent="0.3">
      <c r="A2" s="3" t="s">
        <v>39</v>
      </c>
      <c r="B2" s="5" t="s">
        <v>74</v>
      </c>
      <c r="D2" s="43" t="str">
        <f t="shared" ref="D2:D33" si="0">IF(AND(Include_study?="Yes",Sufficient_data="Yes"),Study_name,"")</f>
        <v>Mustaqeem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-0.46429646312513978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0.16568321517430662</v>
      </c>
      <c r="M2" s="114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14" t="s">
        <v>120</v>
      </c>
      <c r="V2" s="77" t="str">
        <f t="shared" ref="V2:V33" si="3">IF(AND(Include_study?="Yes",Sufficient_data="Yes"),Study_name,"")</f>
        <v>Mustaqeem et al. (A)</v>
      </c>
      <c r="W2" s="34">
        <f>IF(AND(Include_study?="Yes",Sufficient_data="Yes"),((E:E-I$29)*SQRT(Calculations!FU:FU))/SQRT(1-Calculations!FU:FU/SUM(Calculations!FU:FU)),"")</f>
        <v>-0.22059194371864838</v>
      </c>
      <c r="AE2" s="114" t="s">
        <v>121</v>
      </c>
      <c r="AG2" s="77" t="str">
        <f t="shared" ref="AG2:AG33" si="4">IF(AND(Include_study?="Yes",Sufficient_data="Yes"),Study_name,"")</f>
        <v>Mustaqeem et al. (A)</v>
      </c>
      <c r="AH2" s="74">
        <f t="shared" ref="AH2:AH65" si="5">IF(AND(Sufficient_data="Yes",Include_study?="Yes"),c_/(c_+d_),"")</f>
        <v>3.4750800182898951E-2</v>
      </c>
      <c r="AI2" s="34">
        <f t="shared" ref="AI2:AI65" si="6">IF(AND(Sufficient_data="Yes",Include_study?="Yes"),a_/(a_+b_),"")</f>
        <v>2.2129186602870814E-2</v>
      </c>
      <c r="AR2" s="114" t="s">
        <v>122</v>
      </c>
      <c r="AT2" s="77" t="str">
        <f t="shared" ref="AT2:AT33" si="7">IF(AND(Include_study?="Yes",Sufficient_data="Yes"),Study_name,"")</f>
        <v>Mustaqeem et al. (A)</v>
      </c>
      <c r="AU2" s="74">
        <f t="shared" ref="AU2:AU33" si="8">IF(AND(Include_study?="Yes",Sufficient_data="Yes"),IF(AND(Additional_valid_options="No",Additional_model="Random effects"),NA(),Inverse_standard_error),"")</f>
        <v>6.0356144039572897</v>
      </c>
      <c r="AV2" s="34">
        <f t="shared" ref="AV2:AV33" si="9">IF(AND(Include_study?="Yes",Sufficient_data="Yes"),IF(AND(Additional_valid_options="No",Additional_model="Random effects"),NA(),Z_score),"")</f>
        <v>-2.8023144205445183</v>
      </c>
      <c r="BC2" s="114" t="s">
        <v>123</v>
      </c>
      <c r="BE2" s="74" t="str">
        <f t="shared" ref="BE2:BE33" si="10">IF(AND(Include_study?="Yes",Sufficient_data="Yes"),Study_name,"")</f>
        <v>Mustaqeem et al. (A)</v>
      </c>
      <c r="BF2" s="74">
        <f>IF(AND(Include_study?="Yes",Sufficient_data="Yes"),NORMSINV(Calculations!IW2),"")</f>
        <v>-1.1503493803760083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-2.8023144205445183</v>
      </c>
      <c r="BP2" s="114" t="s">
        <v>124</v>
      </c>
      <c r="BR2" s="129" t="s">
        <v>125</v>
      </c>
      <c r="BS2" s="129"/>
      <c r="BT2" s="114" t="s">
        <v>126</v>
      </c>
    </row>
    <row r="3" spans="1:72" x14ac:dyDescent="0.3">
      <c r="A3" s="3" t="s">
        <v>80</v>
      </c>
      <c r="B3" s="5" t="s">
        <v>93</v>
      </c>
      <c r="D3" s="44" t="str">
        <f t="shared" si="0"/>
        <v>Mustaqeem et al. (B)</v>
      </c>
      <c r="E3" s="3">
        <f t="shared" si="1"/>
        <v>-0.42559706914049256</v>
      </c>
      <c r="F3" s="3">
        <f t="shared" si="2"/>
        <v>0.15819301029191302</v>
      </c>
      <c r="M3" s="114"/>
      <c r="O3" s="3" t="s">
        <v>101</v>
      </c>
      <c r="P3" s="4">
        <f>IF(Additional_valid_options="Yes",INTERCEPT(Z_score,Inverse_standard_error),NA())</f>
        <v>1.4349637426093458</v>
      </c>
      <c r="Q3" s="4">
        <f>IF(Additional_valid_options="Yes",Q4*SQRT(1/k_*SUMPRODUCT(Inverse_standard_error,Inverse_standard_error)),NA())</f>
        <v>0.32995234531237566</v>
      </c>
      <c r="R3" s="4">
        <f>P3-ABS(TINV((1-Additional_confidence_level),k_-1))*Q3</f>
        <v>0.51886916851826848</v>
      </c>
      <c r="S3" s="4">
        <f>P3+ABS(TINV((1-Additional_confidence_level),k_-1))*Q3</f>
        <v>2.3510583167004233</v>
      </c>
      <c r="T3" s="114"/>
      <c r="V3" s="76" t="str">
        <f t="shared" si="3"/>
        <v>Mustaqeem et al. (B)</v>
      </c>
      <c r="W3" s="35">
        <f>IF(AND(Include_study?="Yes",Sufficient_data="Yes"),((E:E-I$29)*SQRT(Calculations!FU:FU))/SQRT(1-Calculations!FU:FU/SUM(Calculations!FU:FU)),"")</f>
        <v>4.9813215324973799E-2</v>
      </c>
      <c r="AE3" s="114"/>
      <c r="AG3" s="76" t="str">
        <f t="shared" si="4"/>
        <v>Mustaqeem et al. (B)</v>
      </c>
      <c r="AH3" s="3">
        <f t="shared" si="5"/>
        <v>3.7494284407864654E-2</v>
      </c>
      <c r="AI3" s="35">
        <f t="shared" si="6"/>
        <v>2.4820574162679427E-2</v>
      </c>
      <c r="AR3" s="114"/>
      <c r="AT3" s="76" t="str">
        <f t="shared" si="7"/>
        <v>Mustaqeem et al. (B)</v>
      </c>
      <c r="AU3" s="3">
        <f t="shared" si="8"/>
        <v>6.3213918121584731</v>
      </c>
      <c r="AV3" s="35">
        <f t="shared" si="9"/>
        <v>-2.6903658281433533</v>
      </c>
      <c r="BC3" s="114"/>
      <c r="BE3" s="76" t="str">
        <f t="shared" si="10"/>
        <v>Mustaqeem et al. (B)</v>
      </c>
      <c r="BF3" s="3">
        <f>IF(AND(Include_study?="Yes",Sufficient_data="Yes"),NORMSINV(Calculations!IW3),"")</f>
        <v>0</v>
      </c>
      <c r="BG3" s="35">
        <f t="shared" si="11"/>
        <v>-2.6903658281433533</v>
      </c>
      <c r="BP3" s="114"/>
      <c r="BR3" s="3" t="s">
        <v>127</v>
      </c>
      <c r="BS3" s="4">
        <f>SUM(Calculations!JH:JH)/SQRT(k_)</f>
        <v>-5.1184683275524083</v>
      </c>
      <c r="BT3" s="114"/>
    </row>
    <row r="4" spans="1:72" x14ac:dyDescent="0.3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Hsu et al.</v>
      </c>
      <c r="E4" s="3">
        <f t="shared" si="1"/>
        <v>-0.43559721490623754</v>
      </c>
      <c r="F4" s="3">
        <f t="shared" si="2"/>
        <v>0.18192791899446659</v>
      </c>
      <c r="M4" s="114"/>
      <c r="O4" s="3" t="s">
        <v>128</v>
      </c>
      <c r="P4" s="4">
        <f>IF(Additional_valid_options="Yes",SLOPE(Z_score,Inverse_standard_error),NA())</f>
        <v>-0.68596698140644941</v>
      </c>
      <c r="Q4" s="4">
        <f>IF(Additional_valid_options="Yes",SQRT(((1/(k_-2))*SUMPRODUCT(Calculations!HM:HM,Calculations!HM:HM))/SUMPRODUCT(Calculations!HL:HL,Calculations!HL:HL)),NA())</f>
        <v>5.9531183666901008E-2</v>
      </c>
      <c r="R4" s="4">
        <f>P4-ABS(TINV((1-Additional_confidence_level),k_-1))*Q4</f>
        <v>-0.85125204490504758</v>
      </c>
      <c r="S4" s="4">
        <f>P4+ABS(TINV((1-Additional_confidence_level),k_-1))*Q4</f>
        <v>-0.52068191790785123</v>
      </c>
      <c r="T4" s="114"/>
      <c r="V4" s="76" t="str">
        <f t="shared" si="3"/>
        <v>Hsu et al.</v>
      </c>
      <c r="W4" s="35">
        <f>IF(AND(Include_study?="Yes",Sufficient_data="Yes"),((E:E-I$29)*SQRT(Calculations!FU:FU))/SQRT(1-Calculations!FU:FU/SUM(Calculations!FU:FU)),"")</f>
        <v>-1.9761086821141135E-2</v>
      </c>
      <c r="AE4" s="114"/>
      <c r="AG4" s="76" t="str">
        <f t="shared" si="4"/>
        <v>Hsu et al.</v>
      </c>
      <c r="AH4" s="3">
        <f t="shared" si="5"/>
        <v>2.6097271648873072E-2</v>
      </c>
      <c r="AI4" s="35">
        <f t="shared" si="6"/>
        <v>1.7038777908343124E-2</v>
      </c>
      <c r="AR4" s="114"/>
      <c r="AT4" s="76" t="str">
        <f t="shared" si="7"/>
        <v>Hsu et al.</v>
      </c>
      <c r="AU4" s="3">
        <f t="shared" si="8"/>
        <v>5.4966824527378639</v>
      </c>
      <c r="AV4" s="35">
        <f t="shared" si="9"/>
        <v>-2.3943395676365999</v>
      </c>
      <c r="BC4" s="114"/>
      <c r="BE4" s="76" t="str">
        <f t="shared" si="10"/>
        <v>Hsu et al.</v>
      </c>
      <c r="BF4" s="3">
        <f>IF(AND(Include_study?="Yes",Sufficient_data="Yes"),NORMSINV(Calculations!IW4),"")</f>
        <v>0.48877641111466941</v>
      </c>
      <c r="BG4" s="35">
        <f t="shared" si="11"/>
        <v>-2.3943395676365999</v>
      </c>
      <c r="BP4" s="114"/>
      <c r="BR4" s="3" t="s">
        <v>129</v>
      </c>
      <c r="BS4" s="7">
        <f>MAX(0,ROUNDUP(k_*(BS3/NORMSINV((1-Additional_confidence_level)))^2-k_,0))</f>
        <v>44</v>
      </c>
      <c r="BT4" s="114"/>
    </row>
    <row r="5" spans="1:72" x14ac:dyDescent="0.3">
      <c r="D5" s="44" t="str">
        <f t="shared" si="0"/>
        <v>Xie et al.</v>
      </c>
      <c r="E5" s="3">
        <f t="shared" si="1"/>
        <v>-0.23558812753589345</v>
      </c>
      <c r="F5" s="3">
        <f t="shared" si="2"/>
        <v>0.30674454954027786</v>
      </c>
      <c r="M5" s="114"/>
      <c r="T5" s="114"/>
      <c r="V5" s="76" t="str">
        <f t="shared" si="3"/>
        <v>Xie et al.</v>
      </c>
      <c r="W5" s="35">
        <f>IF(AND(Include_study?="Yes",Sufficient_data="Yes"),((E:E-I$29)*SQRT(Calculations!FU:FU))/SQRT(1-Calculations!FU:FU/SUM(Calculations!FU:FU)),"")</f>
        <v>0.66495092061346461</v>
      </c>
      <c r="AE5" s="114"/>
      <c r="AG5" s="76" t="str">
        <f t="shared" si="4"/>
        <v>Xie et al.</v>
      </c>
      <c r="AH5" s="3">
        <f t="shared" si="5"/>
        <v>4.5072115384615381E-3</v>
      </c>
      <c r="AI5" s="35">
        <f t="shared" si="6"/>
        <v>3.5645472061657034E-3</v>
      </c>
      <c r="AR5" s="114"/>
      <c r="AT5" s="76" t="str">
        <f t="shared" si="7"/>
        <v>Xie et al.</v>
      </c>
      <c r="AU5" s="3">
        <f t="shared" si="8"/>
        <v>3.2600416258372427</v>
      </c>
      <c r="AV5" s="35">
        <f t="shared" si="9"/>
        <v>-0.76802710232006577</v>
      </c>
      <c r="BC5" s="114"/>
      <c r="BE5" s="76" t="str">
        <f t="shared" si="10"/>
        <v>Xie et al.</v>
      </c>
      <c r="BF5" s="3">
        <f>IF(AND(Include_study?="Yes",Sufficient_data="Yes"),NORMSINV(Calculations!IW5),"")</f>
        <v>1.150349380376009</v>
      </c>
      <c r="BG5" s="35">
        <f t="shared" si="11"/>
        <v>-0.76802710232006577</v>
      </c>
      <c r="BP5" s="114"/>
      <c r="BR5" s="3" t="s">
        <v>130</v>
      </c>
      <c r="BS5" s="4" t="b">
        <f>BS4&lt;5*k_+10</f>
        <v>0</v>
      </c>
      <c r="BT5" s="114"/>
    </row>
    <row r="6" spans="1:72" x14ac:dyDescent="0.3">
      <c r="A6" s="3" t="s">
        <v>31</v>
      </c>
      <c r="B6" s="5" t="s">
        <v>94</v>
      </c>
      <c r="D6" s="44" t="str">
        <f t="shared" si="0"/>
        <v>Van et al.</v>
      </c>
      <c r="E6" s="3">
        <f t="shared" si="1"/>
        <v>-0.46267893742567012</v>
      </c>
      <c r="F6" s="3">
        <f t="shared" si="2"/>
        <v>0.16582308334470497</v>
      </c>
      <c r="M6" s="114"/>
      <c r="O6" s="3" t="s">
        <v>131</v>
      </c>
      <c r="P6" s="4">
        <f>P3/Q3</f>
        <v>4.3490030090582419</v>
      </c>
      <c r="T6" s="114"/>
      <c r="V6" s="76" t="str">
        <f t="shared" si="3"/>
        <v>Van et al.</v>
      </c>
      <c r="W6" s="35">
        <f>IF(AND(Include_study?="Yes",Sufficient_data="Yes"),((E:E-I$29)*SQRT(Calculations!FU:FU))/SQRT(1-Calculations!FU:FU/SUM(Calculations!FU:FU)),"")</f>
        <v>-0.20918261837807128</v>
      </c>
      <c r="AE6" s="114"/>
      <c r="AG6" s="76" t="str">
        <f t="shared" si="4"/>
        <v>Van et al.</v>
      </c>
      <c r="AH6" s="3">
        <f t="shared" si="5"/>
        <v>4.0210627094303494E-2</v>
      </c>
      <c r="AI6" s="35">
        <f t="shared" si="6"/>
        <v>2.5699168556311415E-2</v>
      </c>
      <c r="AR6" s="114"/>
      <c r="AT6" s="76" t="str">
        <f t="shared" si="7"/>
        <v>Van et al.</v>
      </c>
      <c r="AU6" s="3">
        <f t="shared" si="8"/>
        <v>6.0305234942547088</v>
      </c>
      <c r="AV6" s="35">
        <f t="shared" si="9"/>
        <v>-2.7901962024423077</v>
      </c>
      <c r="BC6" s="114"/>
      <c r="BE6" s="76" t="str">
        <f t="shared" si="10"/>
        <v>Van et al.</v>
      </c>
      <c r="BF6" s="3">
        <f>IF(AND(Include_study?="Yes",Sufficient_data="Yes"),NORMSINV(Calculations!IW6),"")</f>
        <v>-0.4887764111146693</v>
      </c>
      <c r="BG6" s="35">
        <f t="shared" si="11"/>
        <v>-2.7901962024423077</v>
      </c>
      <c r="BP6" s="114"/>
      <c r="BT6" s="114"/>
    </row>
    <row r="7" spans="1:72" x14ac:dyDescent="0.3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4"/>
      <c r="O7" s="3" t="s">
        <v>100</v>
      </c>
      <c r="P7" s="26">
        <f>TDIST(ABS(P6),k_-2,2)</f>
        <v>2.2451808469010539E-2</v>
      </c>
      <c r="T7" s="114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4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4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4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4"/>
      <c r="BR7" s="112" t="s">
        <v>132</v>
      </c>
      <c r="BS7" s="112"/>
      <c r="BT7" s="114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4"/>
      <c r="T8" s="114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4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4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4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4"/>
      <c r="BR8" s="3" t="s">
        <v>133</v>
      </c>
      <c r="BS8" s="7">
        <f>MAX(0,ROUNDUP((k_*(1-MAX(Calculations!JI:JI))-1)/MAX(Calculations!JI:JI),0))</f>
        <v>14</v>
      </c>
      <c r="BT8" s="114"/>
    </row>
    <row r="9" spans="1:72" x14ac:dyDescent="0.3">
      <c r="A9" s="112" t="s">
        <v>63</v>
      </c>
      <c r="B9" s="112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4"/>
      <c r="O9" s="112" t="s">
        <v>134</v>
      </c>
      <c r="P9" s="112"/>
      <c r="T9" s="11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4"/>
      <c r="BT9" s="114"/>
    </row>
    <row r="10" spans="1:72" ht="13" x14ac:dyDescent="0.35">
      <c r="A10" s="117" t="s">
        <v>74</v>
      </c>
      <c r="B10" s="117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4"/>
      <c r="O10" s="3" t="s">
        <v>135</v>
      </c>
      <c r="P10" s="4">
        <f>IF(Additional_valid_options="Yes",SUM(Calculations!HT:HT)/2-SUM(Calculations!HU:HU)/2,NA())</f>
        <v>4</v>
      </c>
      <c r="T10" s="114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4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4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4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4"/>
      <c r="BR10" s="112" t="s">
        <v>136</v>
      </c>
      <c r="BS10" s="112"/>
      <c r="BT10" s="114"/>
    </row>
    <row r="11" spans="1:72" x14ac:dyDescent="0.3">
      <c r="A11" s="111" t="s">
        <v>64</v>
      </c>
      <c r="B11" s="111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4"/>
      <c r="O11" s="3" t="s">
        <v>137</v>
      </c>
      <c r="P11" s="4">
        <f>IF(Additional_valid_options="Yes",(SUM(Calculations!HT:HT)/2-SUM(Calculations!HU:HU)/2)/(1/2*k_*(k_-1)),NA())</f>
        <v>0.4</v>
      </c>
      <c r="T11" s="11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4"/>
      <c r="BR11" s="3" t="s">
        <v>105</v>
      </c>
      <c r="BS11" s="4">
        <f>I29</f>
        <v>-0.43237505265661935</v>
      </c>
      <c r="BT11" s="114"/>
    </row>
    <row r="12" spans="1:72" ht="13" x14ac:dyDescent="0.35">
      <c r="A12" s="111" t="s">
        <v>65</v>
      </c>
      <c r="B12" s="11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4"/>
      <c r="O12" s="3" t="s">
        <v>138</v>
      </c>
      <c r="P12" s="4">
        <f>P10/SQRT((k_*(k_-1)*(2*k_+5)/18))</f>
        <v>0.9797958971132712</v>
      </c>
      <c r="T12" s="11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4"/>
      <c r="BR12" s="3" t="s">
        <v>139</v>
      </c>
      <c r="BS12" s="5">
        <v>0</v>
      </c>
      <c r="BT12" s="11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4"/>
      <c r="O13" s="3" t="s">
        <v>88</v>
      </c>
      <c r="P13" s="26">
        <f>2*(1-NORMSDIST(ABS(P12)))</f>
        <v>0.32718687779030553</v>
      </c>
      <c r="T13" s="11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4"/>
      <c r="BR13" s="3" t="s">
        <v>140</v>
      </c>
      <c r="BS13" s="5">
        <v>-0.69</v>
      </c>
      <c r="BT13" s="114"/>
    </row>
    <row r="14" spans="1:72" x14ac:dyDescent="0.3">
      <c r="A14" s="112" t="s">
        <v>92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4"/>
      <c r="T14" s="11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4"/>
      <c r="BR14" s="3" t="s">
        <v>129</v>
      </c>
      <c r="BS14" s="7">
        <f>MAX(0,ROUNDUP(k_*(BS11-BS12)/(BS12-BS13),0))</f>
        <v>0</v>
      </c>
      <c r="BT14" s="114"/>
    </row>
    <row r="15" spans="1:72" x14ac:dyDescent="0.3">
      <c r="A15" s="117" t="str">
        <f>IF(Additional_weighting_method="Peto","Log Peto Odds Ratio","Log Odds Ratio")</f>
        <v>Log Odds Ratio</v>
      </c>
      <c r="B15" s="117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4"/>
      <c r="T15" s="11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4"/>
      <c r="BT15" s="114"/>
    </row>
    <row r="16" spans="1:72" x14ac:dyDescent="0.3">
      <c r="A16" s="111" t="str">
        <f>IF(Additional_weighting_method="Inverse variance","Log Risk Ratio","")</f>
        <v>Log Risk Ratio</v>
      </c>
      <c r="B16" s="11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4"/>
      <c r="T16" s="11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4"/>
      <c r="BR16" s="112" t="s">
        <v>141</v>
      </c>
      <c r="BS16" s="112"/>
      <c r="BT16" s="114"/>
    </row>
    <row r="17" spans="1:72" x14ac:dyDescent="0.3">
      <c r="A17" s="111" t="str">
        <f>IF(Additional_weighting_method="Inverse Variance","Risk Difference","")</f>
        <v>Risk Difference</v>
      </c>
      <c r="B17" s="11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4"/>
      <c r="T17" s="11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4"/>
      <c r="BR17" s="3" t="s">
        <v>129</v>
      </c>
      <c r="BS17" s="7">
        <f>MAX(0,ROUNDUP(-2*SUM(Calculations!JJ:JJ),0))</f>
        <v>48</v>
      </c>
      <c r="BT17" s="11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4"/>
      <c r="T18" s="11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4"/>
      <c r="BR18" s="3" t="s">
        <v>142</v>
      </c>
      <c r="BS18" s="26">
        <f>CHIDIST(BS17,k_*2)</f>
        <v>6.2066987042492648E-7</v>
      </c>
      <c r="BT18" s="11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4"/>
      <c r="T19" s="11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4"/>
      <c r="BT19" s="11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4"/>
      <c r="T20" s="11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4"/>
      <c r="BT20" s="11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4"/>
      <c r="T21" s="11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4"/>
      <c r="BT21" s="11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4"/>
      <c r="T22" s="11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4"/>
      <c r="BT22" s="11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4"/>
      <c r="T23" s="11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4"/>
      <c r="BT23" s="11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4"/>
      <c r="T24" s="11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4"/>
      <c r="BT24" s="11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4"/>
      <c r="T25" s="11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4"/>
      <c r="BT25" s="11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4"/>
      <c r="T26" s="11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4"/>
      <c r="BT26" s="11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4"/>
      <c r="T27" s="11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4"/>
      <c r="BT27" s="11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12" t="s">
        <v>59</v>
      </c>
      <c r="L28" s="112"/>
      <c r="M28" s="114"/>
      <c r="T28" s="11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7" t="s">
        <v>144</v>
      </c>
      <c r="AY28" s="127"/>
      <c r="AZ28" s="127"/>
      <c r="BA28" s="127"/>
      <c r="BB28" s="130"/>
      <c r="BC28" s="11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7" t="s">
        <v>144</v>
      </c>
      <c r="BJ28" s="127"/>
      <c r="BK28" s="127"/>
      <c r="BL28" s="127"/>
      <c r="BM28" s="127"/>
      <c r="BP28" s="114"/>
      <c r="BT28" s="11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-0.43237505265661935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0.4842316737600747</v>
      </c>
      <c r="M29" s="114"/>
      <c r="T29" s="11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1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1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14"/>
      <c r="BT29" s="11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8.068787832630267E-2</v>
      </c>
      <c r="K30" s="3" t="s">
        <v>61</v>
      </c>
      <c r="L30" s="26">
        <f>IF(Additional_valid_options="Yes",CHIDIST(L29,k_-1+IF(Trim_and_fill="On",L39,0)),"")</f>
        <v>0.97501776142043406</v>
      </c>
      <c r="M30" s="114"/>
      <c r="T30" s="11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1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-2.2890486242173691</v>
      </c>
      <c r="BK30" s="4">
        <f>BK31*SQRT(1/k_*SUMPRODUCT(BF:BF,BF:BF))</f>
        <v>0.25108936477650096</v>
      </c>
      <c r="BL30" s="4">
        <f>BJ30-ABS(TINV((1-Additional_confidence_level),k_-1))*BK30</f>
        <v>-2.9861844620183082</v>
      </c>
      <c r="BM30" s="4">
        <f>BJ30+ABS(TINV((1-Additional_confidence_level),k_-1))*BK30</f>
        <v>-1.59191278641643</v>
      </c>
      <c r="BP30" s="114"/>
      <c r="BT30" s="11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-0.65640051748447747</v>
      </c>
      <c r="K31" s="3" t="s">
        <v>62</v>
      </c>
      <c r="L31" s="8">
        <f>IF(Additional_valid_options="Yes",IF(L29-(k_-1+IF(Trim_and_fill="On",L39,0))&lt;=0,0,(L29-(k_-1+IF(Trim_and_fill="On",L39,0)))/L29),"")</f>
        <v>0</v>
      </c>
      <c r="M31" s="114"/>
      <c r="T31" s="11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1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-0.43237505265661935</v>
      </c>
      <c r="AZ31" s="4">
        <f>I30</f>
        <v>8.068787832630267E-2</v>
      </c>
      <c r="BA31" s="4">
        <f>AY31-ABS(TINV((1-Additional_confidence_level),k_-1))*AZ31</f>
        <v>-0.65640051748447747</v>
      </c>
      <c r="BB31" s="4">
        <f>AY31+ABS(TINV((1-Additional_confidence_level),k_-1))*AZ31</f>
        <v>-0.20834958782876123</v>
      </c>
      <c r="BC31" s="11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0.81091303465493747</v>
      </c>
      <c r="BK31" s="4">
        <f>SQRT(((1/(k_-2))*SUMPRODUCT(Calculations!JA:JA,Calculations!JA:JA))/SUMPRODUCT(Calculations!IZ:IZ,Calculations!IZ:IZ))</f>
        <v>0.31763559231117272</v>
      </c>
      <c r="BL31" s="4">
        <f>BJ31-ABS(TINV((1-Additional_confidence_level),k_-1))*BK31</f>
        <v>-7.0984750854019785E-2</v>
      </c>
      <c r="BM31" s="4">
        <f>BJ31+ABS(TINV((1-Additional_confidence_level),k_-1))*BK31</f>
        <v>1.6928108201638947</v>
      </c>
      <c r="BP31" s="114"/>
      <c r="BT31" s="11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-0.20834958782876123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4"/>
      <c r="T32" s="11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</v>
      </c>
      <c r="AA32" s="4">
        <f>NORMSDIST(Calculations!HZ3)-(SUM(AA$31:AA31))</f>
        <v>6.6573886502913904E-2</v>
      </c>
      <c r="AE32" s="11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7" t="s">
        <v>105</v>
      </c>
      <c r="AL32" s="127"/>
      <c r="AM32" s="127"/>
      <c r="AR32" s="11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4"/>
      <c r="BT32" s="11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-0.65640051748447747</v>
      </c>
      <c r="K33" s="3" t="s">
        <v>72</v>
      </c>
      <c r="L33" s="4">
        <f>IF(Additional_valid_options="Yes",SQRT(L32),"")</f>
        <v>0</v>
      </c>
      <c r="M33" s="114"/>
      <c r="T33" s="11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1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8" t="s">
        <v>149</v>
      </c>
      <c r="AL33" s="128"/>
      <c r="AM33" s="128"/>
      <c r="AR33" s="11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14"/>
      <c r="BT33" s="11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-0.20834958782876123</v>
      </c>
      <c r="M34" s="114"/>
      <c r="T34" s="11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0.4</v>
      </c>
      <c r="AA34" s="4">
        <f>NORMSDIST(Calculations!HZ5)-(SUM(AA$31:AA33))</f>
        <v>7.8083584911923687E-2</v>
      </c>
      <c r="AE34" s="11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0.65633039280348193</v>
      </c>
      <c r="AR34" s="11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4"/>
      <c r="BT34" s="11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4"/>
      <c r="T35" s="11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0.4</v>
      </c>
      <c r="AA35" s="4">
        <f>NORMSDIST(Calculations!HZ6)-(SUM(AA$31:AA34))</f>
        <v>7.9655674554057976E-2</v>
      </c>
      <c r="AE35" s="11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4"/>
      <c r="BT35" s="11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14"/>
      <c r="T36" s="11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1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4"/>
      <c r="BT36" s="11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-0.43237505265661935</v>
      </c>
      <c r="K37" s="3" t="s">
        <v>156</v>
      </c>
      <c r="L37" s="5" t="s">
        <v>157</v>
      </c>
      <c r="M37" s="114"/>
      <c r="T37" s="11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</v>
      </c>
      <c r="AA37" s="4">
        <f>NORMSDIST(Calculations!HZ8)-(SUM(AA$31:AA36))</f>
        <v>7.3551039085060443E-2</v>
      </c>
      <c r="AE37" s="11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4"/>
      <c r="BT37" s="11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8.068787832630267E-2</v>
      </c>
      <c r="K38" s="3" t="s">
        <v>158</v>
      </c>
      <c r="L38" s="91" t="str">
        <f>IF(Trim_and_fill="Off","",IF(I29&gt;0,"Left",IF(I29&lt;0,"Right","NA")))</f>
        <v>Right</v>
      </c>
      <c r="M38" s="114"/>
      <c r="T38" s="11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0.2</v>
      </c>
      <c r="AA38" s="4">
        <f>NORMSDIST(Calculations!HZ9)-(SUM(AA$31:AA37))</f>
        <v>6.6573886502913848E-2</v>
      </c>
      <c r="AE38" s="11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4"/>
      <c r="BT38" s="11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-0.65640051748447747</v>
      </c>
      <c r="K39" s="3" t="s">
        <v>159</v>
      </c>
      <c r="L39" s="7">
        <f>IF(L38&lt;&gt;"",Calculations!GW21,"")</f>
        <v>0</v>
      </c>
      <c r="M39" s="114"/>
      <c r="T39" s="11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1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4"/>
      <c r="BT39" s="11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-0.20834958782876123</v>
      </c>
      <c r="M40" s="114"/>
      <c r="T40" s="11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4"/>
      <c r="BT40" s="11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-0.65640051748447747</v>
      </c>
      <c r="M41" s="114"/>
      <c r="T41" s="11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1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4"/>
      <c r="BT41" s="11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-0.20834958782876123</v>
      </c>
      <c r="M42" s="114"/>
      <c r="T42" s="11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4"/>
      <c r="BT42" s="11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4"/>
      <c r="T43" s="11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4"/>
      <c r="BT43" s="11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4"/>
      <c r="T44" s="11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4"/>
      <c r="BT44" s="11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4"/>
      <c r="T45" s="11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4"/>
      <c r="BT45" s="11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4"/>
      <c r="T46" s="11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4"/>
      <c r="BT46" s="11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4"/>
      <c r="T47" s="11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4"/>
      <c r="BT47" s="11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4"/>
      <c r="T48" s="11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4"/>
      <c r="BT48" s="11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4"/>
      <c r="T49" s="11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4"/>
      <c r="BT49" s="11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4"/>
      <c r="T50" s="11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4"/>
      <c r="BT50" s="11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4"/>
      <c r="T51" s="11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4"/>
      <c r="BT51" s="11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4"/>
      <c r="T52" s="11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4"/>
      <c r="BT52" s="11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4"/>
      <c r="T53" s="11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4"/>
      <c r="BT53" s="11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4"/>
      <c r="T54" s="11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4"/>
      <c r="BT54" s="11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4"/>
      <c r="T55" s="11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4"/>
      <c r="BT55" s="11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4"/>
      <c r="T56" s="11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4"/>
      <c r="BT56" s="11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4"/>
      <c r="T57" s="11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4"/>
      <c r="BT57" s="11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4"/>
      <c r="T58" s="11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4"/>
      <c r="BT58" s="11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4"/>
      <c r="T59" s="11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4"/>
      <c r="BT59" s="11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4"/>
      <c r="T60" s="11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4"/>
      <c r="BT60" s="11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4"/>
      <c r="T61" s="11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4"/>
      <c r="BT61" s="11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4"/>
      <c r="T62" s="11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4"/>
      <c r="BT62" s="11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4"/>
      <c r="T63" s="11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4"/>
      <c r="BT63" s="11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4"/>
      <c r="T64" s="11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4"/>
      <c r="BT64" s="11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4"/>
      <c r="T65" s="11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4"/>
      <c r="BT65" s="11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4"/>
      <c r="T66" s="11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4"/>
      <c r="BT66" s="11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4"/>
      <c r="T67" s="11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4"/>
      <c r="BT67" s="11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4"/>
      <c r="T68" s="11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4"/>
      <c r="BT68" s="11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4"/>
      <c r="T69" s="11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4"/>
      <c r="BT69" s="11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4"/>
      <c r="T70" s="11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4"/>
      <c r="BT70" s="11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4"/>
      <c r="T71" s="11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4"/>
      <c r="BT71" s="11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4"/>
      <c r="T72" s="11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4"/>
      <c r="BT72" s="11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4"/>
      <c r="T73" s="11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4"/>
      <c r="BT73" s="11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4"/>
      <c r="T74" s="11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4"/>
      <c r="BT74" s="11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4"/>
      <c r="T75" s="11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4"/>
      <c r="BT75" s="11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4"/>
      <c r="T76" s="11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4"/>
      <c r="BT76" s="11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4"/>
      <c r="T77" s="11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4"/>
      <c r="BT77" s="11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4"/>
      <c r="T78" s="11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4"/>
      <c r="BT78" s="11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4"/>
      <c r="T79" s="11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4"/>
      <c r="BT79" s="11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4"/>
      <c r="T80" s="11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4"/>
      <c r="BT80" s="11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4"/>
      <c r="T81" s="11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4"/>
      <c r="BT81" s="11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4"/>
      <c r="T82" s="11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4"/>
      <c r="BT82" s="11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4"/>
      <c r="T83" s="11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4"/>
      <c r="BT83" s="11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4"/>
      <c r="T84" s="11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4"/>
      <c r="BT84" s="11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4"/>
      <c r="T85" s="11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4"/>
      <c r="BT85" s="11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4"/>
      <c r="T86" s="11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4"/>
      <c r="BT86" s="11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4"/>
      <c r="T87" s="11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4"/>
      <c r="BT87" s="11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4"/>
      <c r="T88" s="11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4"/>
      <c r="BT88" s="11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4"/>
      <c r="T89" s="11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4"/>
      <c r="BT89" s="11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4"/>
      <c r="T90" s="11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4"/>
      <c r="BT90" s="11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4"/>
      <c r="T91" s="11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4"/>
      <c r="BT91" s="11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4"/>
      <c r="T92" s="11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4"/>
      <c r="BT92" s="11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4"/>
      <c r="T93" s="11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4"/>
      <c r="BT93" s="11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4"/>
      <c r="T94" s="11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4"/>
      <c r="BT94" s="11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4"/>
      <c r="T95" s="11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4"/>
      <c r="BT95" s="11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4"/>
      <c r="T96" s="11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4"/>
      <c r="BT96" s="11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4"/>
      <c r="T97" s="11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4"/>
      <c r="BT97" s="11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4"/>
      <c r="T98" s="11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4"/>
      <c r="BT98" s="11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4"/>
      <c r="T99" s="11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4"/>
      <c r="BT99" s="11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4"/>
      <c r="T100" s="11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4"/>
      <c r="BT100" s="11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4"/>
      <c r="T101" s="11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4"/>
      <c r="BT101" s="11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4"/>
      <c r="T102" s="11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4"/>
      <c r="BT102" s="11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4"/>
      <c r="T103" s="11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4"/>
      <c r="BT103" s="11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4"/>
      <c r="T104" s="11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4"/>
      <c r="BT104" s="11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4"/>
      <c r="T105" s="11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4"/>
      <c r="BT105" s="11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4"/>
      <c r="T106" s="11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4"/>
      <c r="BT106" s="11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4"/>
      <c r="T107" s="11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4"/>
      <c r="BT107" s="11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4"/>
      <c r="T108" s="11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4"/>
      <c r="BT108" s="11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4"/>
      <c r="T109" s="11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4"/>
      <c r="BT109" s="11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4"/>
      <c r="T110" s="11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4"/>
      <c r="BT110" s="11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4"/>
      <c r="T111" s="11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4"/>
      <c r="BT111" s="11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4"/>
      <c r="T112" s="11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4"/>
      <c r="BT112" s="11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4"/>
      <c r="T113" s="11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4"/>
      <c r="BT113" s="11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4"/>
      <c r="T114" s="11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4"/>
      <c r="BT114" s="11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4"/>
      <c r="T115" s="11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4"/>
      <c r="BT115" s="11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4"/>
      <c r="T116" s="11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4"/>
      <c r="BT116" s="11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4"/>
      <c r="T117" s="11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4"/>
      <c r="BT117" s="11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4"/>
      <c r="T118" s="11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4"/>
      <c r="BT118" s="11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4"/>
      <c r="T119" s="11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4"/>
      <c r="BT119" s="11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4"/>
      <c r="T120" s="11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4"/>
      <c r="BT120" s="11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4"/>
      <c r="T121" s="11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4"/>
      <c r="BT121" s="11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4"/>
      <c r="T122" s="11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4"/>
      <c r="BT122" s="11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4"/>
      <c r="T123" s="11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4"/>
      <c r="BT123" s="11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4"/>
      <c r="T124" s="11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4"/>
      <c r="BT124" s="11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4"/>
      <c r="T125" s="11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4"/>
      <c r="BT125" s="11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4"/>
      <c r="T126" s="11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4"/>
      <c r="BT126" s="11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4"/>
      <c r="T127" s="11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4"/>
      <c r="BT127" s="11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4"/>
      <c r="T128" s="11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4"/>
      <c r="BT128" s="11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4"/>
      <c r="T129" s="11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4"/>
      <c r="BT129" s="11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4"/>
      <c r="T130" s="11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4"/>
      <c r="BT130" s="11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4"/>
      <c r="T131" s="11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4"/>
      <c r="BT131" s="11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4"/>
      <c r="T132" s="11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4"/>
      <c r="BT132" s="11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4"/>
      <c r="T133" s="11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4"/>
      <c r="BT133" s="11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4"/>
      <c r="T134" s="11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4"/>
      <c r="BT134" s="11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4"/>
      <c r="T135" s="11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4"/>
      <c r="BT135" s="11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4"/>
      <c r="T136" s="11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4"/>
      <c r="BT136" s="11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4"/>
      <c r="T137" s="11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4"/>
      <c r="BT137" s="11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4"/>
      <c r="T138" s="11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4"/>
      <c r="BT138" s="11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4"/>
      <c r="T139" s="11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4"/>
      <c r="BT139" s="11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4"/>
      <c r="T140" s="11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4"/>
      <c r="BT140" s="11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4"/>
      <c r="T141" s="11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4"/>
      <c r="BT141" s="11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4"/>
      <c r="T142" s="11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4"/>
      <c r="BT142" s="11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4"/>
      <c r="T143" s="11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4"/>
      <c r="BT143" s="11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4"/>
      <c r="T144" s="11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4"/>
      <c r="BT144" s="11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4"/>
      <c r="T145" s="11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4"/>
      <c r="BT145" s="11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4"/>
      <c r="T146" s="11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4"/>
      <c r="BT146" s="11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4"/>
      <c r="T147" s="11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4"/>
      <c r="BT147" s="11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4"/>
      <c r="T148" s="11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4"/>
      <c r="BT148" s="11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4"/>
      <c r="T149" s="11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4"/>
      <c r="BT149" s="11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4"/>
      <c r="T150" s="11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4"/>
      <c r="BT150" s="11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4"/>
      <c r="T151" s="11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4"/>
      <c r="BT151" s="11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4"/>
      <c r="T152" s="11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4"/>
      <c r="BT152" s="11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4"/>
      <c r="T153" s="11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4"/>
      <c r="BT153" s="11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4"/>
      <c r="T154" s="11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4"/>
      <c r="BT154" s="11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4"/>
      <c r="T155" s="11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4"/>
      <c r="BT155" s="11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4"/>
      <c r="T156" s="11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4"/>
      <c r="BT156" s="11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4"/>
      <c r="T157" s="11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4"/>
      <c r="BT157" s="11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4"/>
      <c r="T158" s="11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4"/>
      <c r="BT158" s="11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4"/>
      <c r="T159" s="11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4"/>
      <c r="BT159" s="11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4"/>
      <c r="T160" s="11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4"/>
      <c r="BT160" s="11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4"/>
      <c r="T161" s="11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4"/>
      <c r="BT161" s="11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4"/>
      <c r="T162" s="11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4"/>
      <c r="BT162" s="11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4"/>
      <c r="T163" s="11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4"/>
      <c r="BT163" s="11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4"/>
      <c r="T164" s="11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4"/>
      <c r="BT164" s="11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4"/>
      <c r="T165" s="11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4"/>
      <c r="BT165" s="11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4"/>
      <c r="T166" s="11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4"/>
      <c r="BT166" s="11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4"/>
      <c r="T167" s="11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4"/>
      <c r="BT167" s="11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4"/>
      <c r="T168" s="11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4"/>
      <c r="BT168" s="11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4"/>
      <c r="T169" s="11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4"/>
      <c r="BT169" s="11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4"/>
      <c r="T170" s="11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4"/>
      <c r="BT170" s="11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4"/>
      <c r="T171" s="11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4"/>
      <c r="BT171" s="11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4"/>
      <c r="T172" s="11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4"/>
      <c r="BT172" s="11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4"/>
      <c r="T173" s="11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4"/>
      <c r="BT173" s="11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4"/>
      <c r="T174" s="11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4"/>
      <c r="BT174" s="11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4"/>
      <c r="T175" s="11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4"/>
      <c r="BT175" s="11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4"/>
      <c r="T176" s="11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4"/>
      <c r="BT176" s="11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4"/>
      <c r="T177" s="11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4"/>
      <c r="BT177" s="11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4"/>
      <c r="T178" s="11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4"/>
      <c r="BT178" s="11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4"/>
      <c r="T179" s="11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4"/>
      <c r="BT179" s="11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4"/>
      <c r="T180" s="11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4"/>
      <c r="BT180" s="11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4"/>
      <c r="T181" s="11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4"/>
      <c r="BT181" s="11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4"/>
      <c r="T182" s="11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4"/>
      <c r="BT182" s="11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4"/>
      <c r="T183" s="11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4"/>
      <c r="BT183" s="11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4"/>
      <c r="T184" s="11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4"/>
      <c r="BT184" s="11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4"/>
      <c r="T185" s="11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4"/>
      <c r="BT185" s="11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4"/>
      <c r="T186" s="11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4"/>
      <c r="BT186" s="11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4"/>
      <c r="T187" s="11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4"/>
      <c r="BT187" s="11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4"/>
      <c r="T188" s="11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4"/>
      <c r="BT188" s="11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4"/>
      <c r="T189" s="11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4"/>
      <c r="BT189" s="11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4"/>
      <c r="T190" s="11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4"/>
      <c r="BT190" s="11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4"/>
      <c r="T191" s="11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4"/>
      <c r="BT191" s="11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4"/>
      <c r="T192" s="11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4"/>
      <c r="BT192" s="11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4"/>
      <c r="T193" s="11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4"/>
      <c r="BT193" s="11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4"/>
      <c r="T194" s="11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4"/>
      <c r="BT194" s="11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4"/>
      <c r="T195" s="11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4"/>
      <c r="BT195" s="11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4"/>
      <c r="T196" s="11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4"/>
      <c r="BT196" s="11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4"/>
      <c r="T197" s="11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4"/>
      <c r="BT197" s="11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4"/>
      <c r="T198" s="11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4"/>
      <c r="BT198" s="11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4"/>
      <c r="T199" s="11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4"/>
      <c r="BT199" s="11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4"/>
      <c r="T200" s="11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4"/>
      <c r="BT200" s="11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5"/>
      <c r="T201" s="11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5"/>
      <c r="BT201" s="11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161</v>
      </c>
      <c r="H1" s="87"/>
      <c r="I1" s="88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5"/>
      <c r="Q1" s="1" t="s">
        <v>167</v>
      </c>
      <c r="R1" s="1" t="s">
        <v>168</v>
      </c>
      <c r="S1" s="1" t="s">
        <v>169</v>
      </c>
      <c r="T1" s="1" t="s">
        <v>170</v>
      </c>
      <c r="V1" s="85"/>
      <c r="W1" s="1" t="s">
        <v>171</v>
      </c>
      <c r="X1" s="1" t="s">
        <v>172</v>
      </c>
      <c r="Y1" s="1" t="s">
        <v>173</v>
      </c>
      <c r="Z1" s="1" t="s">
        <v>174</v>
      </c>
      <c r="AB1" s="85"/>
      <c r="AC1" s="1" t="s">
        <v>152</v>
      </c>
      <c r="AD1" s="1" t="s">
        <v>175</v>
      </c>
      <c r="AE1" s="1" t="s">
        <v>176</v>
      </c>
      <c r="AF1" s="1" t="s">
        <v>177</v>
      </c>
      <c r="AG1" s="1" t="s">
        <v>178</v>
      </c>
      <c r="AI1" s="87"/>
      <c r="AJ1" s="112" t="s">
        <v>179</v>
      </c>
      <c r="AK1" s="112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180</v>
      </c>
      <c r="AY1" s="1" t="s">
        <v>181</v>
      </c>
      <c r="BA1" s="112" t="s">
        <v>182</v>
      </c>
      <c r="BB1" s="11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12" t="s">
        <v>51</v>
      </c>
      <c r="BM1" s="112"/>
      <c r="BO1" s="85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41</v>
      </c>
      <c r="BW1" s="1" t="s">
        <v>189</v>
      </c>
      <c r="BX1" s="1" t="s">
        <v>44</v>
      </c>
      <c r="BY1" s="1" t="s">
        <v>104</v>
      </c>
      <c r="BZ1" s="11"/>
      <c r="CA1" s="112" t="s">
        <v>51</v>
      </c>
      <c r="CB1" s="112"/>
      <c r="CD1" s="85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41</v>
      </c>
      <c r="CJ1" s="1" t="s">
        <v>44</v>
      </c>
      <c r="CK1" s="1" t="s">
        <v>104</v>
      </c>
      <c r="CM1" s="112" t="s">
        <v>51</v>
      </c>
      <c r="CN1" s="112"/>
      <c r="CP1" s="85"/>
      <c r="CQ1" s="1" t="s">
        <v>194</v>
      </c>
      <c r="CS1" s="112" t="s">
        <v>43</v>
      </c>
      <c r="CT1" s="112"/>
      <c r="CU1" s="112"/>
      <c r="CV1" s="112"/>
      <c r="CX1" s="87"/>
      <c r="CY1" s="1" t="s">
        <v>195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196</v>
      </c>
      <c r="DF1" s="1" t="s">
        <v>197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198</v>
      </c>
      <c r="DI1" s="1" t="s">
        <v>199</v>
      </c>
      <c r="DJ1" s="1" t="s">
        <v>104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200</v>
      </c>
      <c r="DQ1" s="1" t="s">
        <v>10</v>
      </c>
      <c r="DR1" s="1" t="s">
        <v>27</v>
      </c>
      <c r="DS1" s="1" t="s">
        <v>201</v>
      </c>
      <c r="DT1" s="1" t="s">
        <v>60</v>
      </c>
      <c r="DU1" s="1" t="s">
        <v>69</v>
      </c>
      <c r="DV1" s="1" t="s">
        <v>70</v>
      </c>
      <c r="DW1" s="1" t="s">
        <v>202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203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204</v>
      </c>
      <c r="EI1" s="1" t="s">
        <v>205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206</v>
      </c>
      <c r="EO1" s="1" t="s">
        <v>207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208</v>
      </c>
      <c r="ES1" s="1" t="s">
        <v>41</v>
      </c>
      <c r="ET1" s="1" t="s">
        <v>209</v>
      </c>
      <c r="EU1" s="1" t="s">
        <v>210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211</v>
      </c>
      <c r="FE1" s="1" t="s">
        <v>41</v>
      </c>
      <c r="FF1" s="1" t="s">
        <v>212</v>
      </c>
      <c r="FG1" s="1" t="s">
        <v>213</v>
      </c>
      <c r="FH1" s="1" t="s">
        <v>214</v>
      </c>
      <c r="FJ1" s="1" t="s">
        <v>30</v>
      </c>
      <c r="FK1" s="1" t="s">
        <v>215</v>
      </c>
      <c r="FL1" s="1" t="s">
        <v>213</v>
      </c>
      <c r="FM1" s="1" t="s">
        <v>216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217</v>
      </c>
      <c r="FW1" s="1" t="s">
        <v>218</v>
      </c>
      <c r="FX1" s="1" t="s">
        <v>219</v>
      </c>
      <c r="FY1" s="1" t="s">
        <v>54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2" t="s">
        <v>224</v>
      </c>
      <c r="GH1" s="112"/>
      <c r="GI1" s="112"/>
      <c r="GK1" s="85"/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V1" s="112" t="s">
        <v>234</v>
      </c>
      <c r="GW1" s="112"/>
      <c r="GY1" s="1" t="s">
        <v>235</v>
      </c>
      <c r="GZ1" s="1" t="s">
        <v>236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237</v>
      </c>
      <c r="HD1" s="1" t="s">
        <v>30</v>
      </c>
      <c r="HE1" s="1" t="s">
        <v>104</v>
      </c>
      <c r="HG1" s="1" t="s">
        <v>238</v>
      </c>
      <c r="HH1" s="1" t="str">
        <f>HA1</f>
        <v>Log Odds Ratio</v>
      </c>
      <c r="HI1" s="1" t="str">
        <f>HB1</f>
        <v>SE Log Odds Ratio</v>
      </c>
      <c r="HK1" s="85"/>
      <c r="HL1" s="1" t="s">
        <v>239</v>
      </c>
      <c r="HM1" s="1" t="s">
        <v>240</v>
      </c>
      <c r="HO1" s="85"/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W1" s="85"/>
      <c r="HX1" s="1" t="s">
        <v>247</v>
      </c>
      <c r="HY1" s="1" t="s">
        <v>248</v>
      </c>
      <c r="HZ1" s="1" t="s">
        <v>249</v>
      </c>
      <c r="IB1" s="85"/>
      <c r="IC1" s="1" t="s">
        <v>112</v>
      </c>
      <c r="ID1" s="1" t="s">
        <v>111</v>
      </c>
      <c r="IE1" s="1" t="s">
        <v>41</v>
      </c>
      <c r="IF1" s="1" t="s">
        <v>250</v>
      </c>
      <c r="IH1" s="112" t="s">
        <v>251</v>
      </c>
      <c r="II1" s="112"/>
      <c r="IK1" s="85"/>
      <c r="IL1" s="1" t="s">
        <v>252</v>
      </c>
      <c r="IM1" s="1" t="s">
        <v>253</v>
      </c>
      <c r="IN1" s="1" t="s">
        <v>239</v>
      </c>
      <c r="IO1" s="1" t="s">
        <v>240</v>
      </c>
      <c r="IQ1" s="112" t="s">
        <v>254</v>
      </c>
      <c r="IR1" s="112"/>
      <c r="IS1" s="112"/>
      <c r="IU1" s="85"/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240</v>
      </c>
      <c r="JC1" s="112" t="s">
        <v>254</v>
      </c>
      <c r="JD1" s="112"/>
      <c r="JE1" s="112"/>
      <c r="JG1" s="85"/>
      <c r="JH1" s="1" t="s">
        <v>114</v>
      </c>
      <c r="JI1" s="1" t="s">
        <v>100</v>
      </c>
      <c r="JJ1" s="1" t="s">
        <v>260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74</v>
      </c>
      <c r="C2" s="6">
        <f>IF(AND(Include_study?="Yes",Sufficient_data="Yes"),IF(Input!b_&lt;&gt;"",Input!b_,Input!n1_-Input!a_),"")</f>
        <v>3270</v>
      </c>
      <c r="D2" s="6">
        <f>IF(AND(Include_study?="Yes",Sufficient_data="Yes"),IF(Input!c_&lt;&gt;"",Input!c_,Input!n2_-Input!d_),"")</f>
        <v>76</v>
      </c>
      <c r="E2" s="6">
        <f>IF(AND(Include_study?="Yes",Sufficient_data="Yes"),IF(Input!d_&lt;&gt;"",Input!d_,Input!n2_-Input!c_),"")</f>
        <v>2111</v>
      </c>
      <c r="F2" s="35" t="str">
        <f t="shared" ref="F2:F33" si="1">IF(AND(Include_study?="Yes",Sufficient_data="Yes"),IF(OR(a_=0,b_=0,c_=0,d_=0),"Yes","No"),"")</f>
        <v>No</v>
      </c>
      <c r="H2" s="131" t="s">
        <v>261</v>
      </c>
      <c r="I2" s="125" t="s">
        <v>43</v>
      </c>
      <c r="J2" s="77">
        <f t="shared" ref="J2:J65" si="2">IF(AND(Include_study?="Yes",Sufficient_data="Yes"),IF(Add_0_5="Yes",((a_+0.5)*(d_+0.5))/((b_+0.5)*(c_+0.5)),(a_*d_)/(b_*c_)),"")</f>
        <v>0.62857717688717207</v>
      </c>
      <c r="K2" s="74">
        <f t="shared" ref="K2:K33" si="3">IF(AND(Include_study?="Yes",Sufficient_data="Yes"),LN(OddsRatio),"")</f>
        <v>-0.46429646312513978</v>
      </c>
      <c r="L2" s="74">
        <f t="shared" ref="L2:L33" si="4">IF(AND(Include_study?="Yes",Sufficient_data="Yes"),SQRT(IF(Add_0_5="Yes",1/(a_+0.5)+1/(b_+0.5)+1/(c_+0.5)+1/(d_+0.5),1/a_+1/b_+1/c_+1/d_)),"")</f>
        <v>0.16568321517430662</v>
      </c>
      <c r="M2" s="74">
        <f t="shared" ref="M2:M33" si="5">IF(AND(Include_study?="Yes",Sufficient_data="Yes"),EXP(LogOddsRatio-ABS(TINV((1-Confidence_level),Number_of_subjects-2))*SELogOddsRatio),"")</f>
        <v>0.45425312102677895</v>
      </c>
      <c r="N2" s="34">
        <f t="shared" ref="N2:N33" si="6">IF(AND(Include_study?="Yes",Sufficient_data="Yes"),EXP(LogOddsRatio+ABS(TINV((1-Confidence_level),Number_of_subjects-2))*SELogOddsRatio),"")</f>
        <v>0.86979978565772997</v>
      </c>
      <c r="P2" s="114" t="s">
        <v>262</v>
      </c>
      <c r="Q2" s="77">
        <f t="shared" ref="Q2:Q33" si="7">IF(AND(Include_study?="Yes",Sufficient_data="Yes"),EXP(LogPetoOddsRatio),"")</f>
        <v>0.61984370156850332</v>
      </c>
      <c r="R2" s="74">
        <f t="shared" ref="R2:R33" si="8">IF(AND(Include_study?="Yes",Sufficient_data="Yes"),SQRT(VarLogPetoOddsRatio),"")</f>
        <v>0.16929010434231795</v>
      </c>
      <c r="S2" s="74">
        <f t="shared" ref="S2:S33" si="9">IF(AND(Include_study?="Yes",Sufficient_data="Yes"),EXP(LogPetoOddsRatio-ABS(TINV((1-Confidence_level),Number_of_subjects-2))*SELogPetoOddsRatio),"")</f>
        <v>0.44478552218617562</v>
      </c>
      <c r="T2" s="34">
        <f t="shared" ref="T2:T33" si="10">IF(AND(Include_study?="Yes",Sufficient_data="Yes"),EXP(LogPetoOddsRatio+ABS(TINV((1-Confidence_level),Number_of_subjects-2))*SELogPetoOddsRatio),"")</f>
        <v>0.86380107986816435</v>
      </c>
      <c r="V2" s="114" t="s">
        <v>171</v>
      </c>
      <c r="W2" s="77">
        <f t="shared" ref="W2:W33" si="11">IF(AND(Include_study?="Yes",Sufficient_data="Yes"),a_/(a_+b_)-c_/(c_+d_),"")</f>
        <v>-1.2621613580028137E-2</v>
      </c>
      <c r="X2" s="74">
        <f t="shared" ref="X2:X33" si="12">IF(AND(Include_study?="Yes",Sufficient_data="Yes"),SQRT(a_*b_/(a_+b_)^3+c_*d_/(c_+d_)^3),"")</f>
        <v>4.6699753617788142E-3</v>
      </c>
      <c r="Y2" s="74">
        <f t="shared" ref="Y2:Y33" si="13">IF(AND(Include_study?="Yes",Sufficient_data="Yes"),Risk_Difference-SERiskDifference*ABS(TINV((1-Confidence_level),Number_of_subjects-2)),"")</f>
        <v>-2.1776601227404074E-2</v>
      </c>
      <c r="Z2" s="34">
        <f t="shared" ref="Z2:Z33" si="14">IF(AND(Include_study?="Yes",Sufficient_data="Yes"),Risk_Difference+SERiskDifference*ABS(TINV((1-Confidence_level),Number_of_subjects-2)),"")</f>
        <v>-3.4666259326521977E-3</v>
      </c>
      <c r="AB2" s="114" t="s">
        <v>152</v>
      </c>
      <c r="AC2" s="77">
        <f t="shared" ref="AC2:AC33" si="15">IF(AND(Include_study?="Yes",Sufficient_data="Yes"),IF(Add_0_5="Yes",((a_+0.5)/(a_+0.5+b_+0.5))/((c_+0.5)/(c_+0.5+d_+0.5)),(a_/(a_+b_))/(c_/(c_+d_))),"")</f>
        <v>0.63679646184840089</v>
      </c>
      <c r="AD2" s="74">
        <f t="shared" ref="AD2:AD33" si="16">IF(AND(Include_study?="Yes",Sufficient_data="Yes"),LN(Risk_Ratio),"")</f>
        <v>-0.45130520060998575</v>
      </c>
      <c r="AE2" s="74">
        <f t="shared" ref="AE2:AE33" si="17">IF(AND(Include_study?="Yes",Sufficient_data="Yes"),IF(Add_0_5="Yes",SQRT(1/(a_+0.5)-1/(a_+0.5+b_+0.5)+1/(c_+0.5)-1/(c_+0.5+d_+0.5)),SQRT(1/a_-1/(a_+b_)+1/c_-1/(c_+d_))),"")</f>
        <v>0.16098173131547269</v>
      </c>
      <c r="AF2" s="74">
        <f t="shared" ref="AF2:AF33" si="18">IF(AND(Include_study?="Yes",Sufficient_data="Yes"),EXP(LN(Risk_Ratio)-ABS(TINV((1-Confidence_level),Number_of_subjects-2))*SELogRiskRatio),"")</f>
        <v>0.46445403485627407</v>
      </c>
      <c r="AG2" s="34">
        <f t="shared" ref="AG2:AG33" si="19">IF(AND(Include_study?="Yes",Sufficient_data="Yes"),EXP(LN(Risk_Ratio)+ABS(TINV((1-Confidence_level),Number_of_subjects-2))*SELogRiskRatio),"")</f>
        <v>0.87308905379221735</v>
      </c>
      <c r="AI2" s="131" t="s">
        <v>263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(A)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0.62857717688717207</v>
      </c>
      <c r="AP2" s="3">
        <f t="shared" ref="AP2:AP33" si="23">IF(AND(Include_study?="Yes",Sufficient_data="Yes"),IF(Weighting_method="Inverse variance",Weightf,IF(Weighting_method="Mantel-Haenszel",Weightf_MH,Weightf_Peto)),"")</f>
        <v>36.428641233256712</v>
      </c>
      <c r="AQ2" s="3">
        <f t="shared" ref="AQ2:AQ33" si="24">IF(AND(Include_study?="Yes",Sufficient_data="Yes"),IF(Weighting_method="Inverse variance",Weight,IF(Weighting_method="Mantel-Haenszel",Weight_MH,Weight_Peto)),"")</f>
        <v>36.428641233256712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0.16568321517430662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0.45425312102677895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0.86979978565772997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0.2371698967149076</v>
      </c>
      <c r="AW2" s="43">
        <f t="shared" ref="AW2:AW33" si="29">IF(Effect_size_lookup&lt;&gt;"",Effect_size_lookup,NA())</f>
        <v>0.62857717688717207</v>
      </c>
      <c r="AX2" s="3">
        <f t="shared" ref="AX2:AX33" si="30">IF(Effect_size_lookup&lt;&gt;"",Effect_size_lookup-AS2,NA())</f>
        <v>0.17432405586039312</v>
      </c>
      <c r="AY2" s="34">
        <f t="shared" ref="AY2:AY33" si="31">IF(Effect_size_lookup&lt;&gt;"",AT2-Effect_size_lookup,NA())</f>
        <v>0.2412226087705579</v>
      </c>
      <c r="BA2" s="2" t="s">
        <v>264</v>
      </c>
      <c r="BB2" s="3">
        <f>'Forest Plot'!$B$16</f>
        <v>0.64896593463836627</v>
      </c>
      <c r="BD2" s="131" t="s">
        <v>265</v>
      </c>
      <c r="BE2" s="125" t="s">
        <v>266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-0.46429646312513978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0.16568321517430662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36.428641233256712</v>
      </c>
      <c r="BI2" s="74">
        <f>IF(Weightf&lt;&gt;"",1/(IF(Model_effect_size_measure="Odds Ratio",SELogOddsRatio,IF(Model_effect_size_measure="Risk Ratio",SELogRiskRatio,SERiskDifference))^2+T2_),"")</f>
        <v>36.428641233256712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-3.1921410468520428E-2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-0.43237505265661935</v>
      </c>
      <c r="BO2" s="114" t="s">
        <v>267</v>
      </c>
      <c r="BP2" s="3">
        <f t="shared" ref="BP2:BP33" si="36">IF(AND(Sufficient_data="Yes",Include_study?="Yes"),IF(Add_0_5="Yes",(a_+0.5)*(d_+0.5)/(Number_of_subjects+2),a_*d_/Number_of_subjects),"")</f>
        <v>28.243355631892967</v>
      </c>
      <c r="BQ2" s="3">
        <f t="shared" ref="BQ2:BQ33" si="37">IF(AND(Sufficient_data="Yes",Include_study?="Yes"),IF(Add_0_5="Yes",(b_+0.5)*(c_+0.5)/(Number_of_subjects+2),b_*c_/Number_of_subjects),"")</f>
        <v>44.932200325438437</v>
      </c>
      <c r="BR2" s="3">
        <f t="shared" ref="BR2:BR33" si="38">IF(AND(Sufficient_data="Yes",Include_study?="Yes"),IF(Add_0_5="Yes",(a_+d_+1)*(a_+0.5)*(d_+0.5)/(Number_of_subjects+2)^2,(a_+d_)*a_*d_/Number_of_subjects^2),"")</f>
        <v>11.157427600015573</v>
      </c>
      <c r="BS2" s="3">
        <f>IF(AND(Sufficient_data="Yes",Include_study?="Yes"),IF(Add_0_5="Yes",(a_+d_+1)*(ab_+0.5)*(c_+0.5)/(Number_of_subjects+2)^2,(a_+d_)*b_*c_/Number_of_subjects^2),"")</f>
        <v>17.750290672768575</v>
      </c>
      <c r="BT2" s="3">
        <f t="shared" ref="BT2:BT33" si="39">IF(AND(Sufficient_data="Yes",Include_study?="Yes"),IF(Add_0_5="Yes",(b_+c_+1)*(a_+0.5)*(d_+0.5)/(Number_of_subjects+2)^2,(b_+c_)*a_*d_/Number_of_subjects^2),"")</f>
        <v>17.085928031877394</v>
      </c>
      <c r="BU2" s="3">
        <f t="shared" ref="BU2:BU33" si="40">IF(AND(Sufficient_data="Yes",Include_study?="Yes"),IF(Add_0_5="Yes",(b_+c_+1)*(b_+0.5)*(c_+0.5)/(Number_of_subjects+2)^2,(b_+c_)*b_*c_/Number_of_subjects^2),"")</f>
        <v>27.181909652669862</v>
      </c>
      <c r="BV2" s="3">
        <f t="shared" ref="BV2:BV33" si="41">IF(AND(Sufficient_data="Yes",Include_study?="Yes"),IF(Add_0_5="Yes",(b_+0.5)*(c_+0.5)/(Number_of_subjects+2),b_*c_/Number_of_subjects),"")</f>
        <v>44.932200325438437</v>
      </c>
      <c r="BW2" s="3">
        <f t="shared" ref="BW2:BW33" si="42">IF(AND(Sufficient_data="Yes",Include_study?="Yes"),1/(SELogOddsRatio^2)*(LogOddsRatio-LN(SUMPRODUCT(Weightf_MH,OddsRatio)/SUM(Weightf_MH)))^2,"")</f>
        <v>3.581347657307006E-2</v>
      </c>
      <c r="BX2" s="74">
        <f t="shared" ref="BX2:BX33" si="43">IF(Weithf_MH&lt;&gt;"",1/(SELogOddsRatio^2+T2_MH),"")</f>
        <v>36.428641233256712</v>
      </c>
      <c r="BY2" s="34">
        <f t="shared" ref="BY2:BY33" si="44">IF(Weithf_MH&lt;&gt;"",LogOddsRatio-lnCES_OddsRatio_MH,"")</f>
        <v>-3.1921410468520428E-2</v>
      </c>
      <c r="CA2" s="3" t="s">
        <v>268</v>
      </c>
      <c r="CB2" s="3">
        <f>LN(CES_OddsRatio_MH)</f>
        <v>-0.43237505265661935</v>
      </c>
      <c r="CD2" s="114" t="s">
        <v>269</v>
      </c>
      <c r="CE2" s="77">
        <f t="shared" ref="CE2:CE33" si="45">IF(AND(Include_study?="Yes",Sufficient_data="Yes"),((a_+b_)*(a_+c_))/(Number_of_subjects),"")</f>
        <v>90.688844693545477</v>
      </c>
      <c r="CF2" s="74">
        <f t="shared" ref="CF2:CF33" si="46">IF(AND(Include_study?="Yes",Sufficient_data="Yes"),((a_+b_)*(c_+d_)*(a_+c_)*(b_+d_))/((Number_of_subjects)^2*(Number_of_subjects-1)),"")</f>
        <v>34.892883036636917</v>
      </c>
      <c r="CG2" s="74">
        <f t="shared" ref="CG2:CG33" si="47">IF(AND(Include_study?="Yes",Sufficient_data="Yes"),(a_-Expected)/VarExpected,"")</f>
        <v>-0.47828792696844458</v>
      </c>
      <c r="CH2" s="74">
        <f t="shared" ref="CH2:CH33" si="48">IF(AND(Include_study?="Yes",Sufficient_data="Yes"),1/VarExpected,"")</f>
        <v>2.8659139428232901E-2</v>
      </c>
      <c r="CI2" s="74">
        <f t="shared" ref="CI2:CI33" si="49">IF(AND(Sufficient_data="Yes",Include_study?="Yes"),VarExpected,"")</f>
        <v>34.892883036636917</v>
      </c>
      <c r="CJ2" s="74">
        <f t="shared" ref="CJ2:CJ65" si="50">IF(Weightf_Peto&lt;&gt;"",1/(VarLogPetoOddsRatio+T2_Peto),"")</f>
        <v>34.892883036636917</v>
      </c>
      <c r="CK2" s="34">
        <f t="shared" ref="CK2:CK33" si="51">IF(Weightf_Peto&lt;&gt;"",LogPetoOddsRatio-lnCES_PetoOddsRatio,"")</f>
        <v>-3.4976529718648341E-2</v>
      </c>
      <c r="CM2" s="3" t="s">
        <v>270</v>
      </c>
      <c r="CN2" s="3">
        <f>IF(Meta_analysis_model="Fixed effect model",SUMPRODUCT(Weightf_Peto,LogPetoOddsRatio)/SUM(Weightf_Peto),SUMPRODUCT(Weight_Peto,LogPetoOddsRatio)/SUM(Weight_Peto))</f>
        <v>-0.44331139724979624</v>
      </c>
      <c r="CP2" s="114" t="s">
        <v>271</v>
      </c>
      <c r="CQ2" s="51">
        <f t="shared" ref="CQ2:CQ33" si="52">IF(AND(Sufficient_data="Yes",Include_study?="Yes"),c_/(c_+d_),"")</f>
        <v>3.4750800182898951E-2</v>
      </c>
      <c r="CS2" s="2"/>
      <c r="CT2" s="2" t="s">
        <v>40</v>
      </c>
      <c r="CU2" s="2" t="s">
        <v>64</v>
      </c>
      <c r="CV2" s="2" t="s">
        <v>65</v>
      </c>
      <c r="CX2" s="131" t="s">
        <v>272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1" t="s">
        <v>273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31" t="s">
        <v>274</v>
      </c>
      <c r="FS2" s="125" t="s">
        <v>118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36.428641233256712</v>
      </c>
      <c r="FU2" s="74">
        <f>IF(AND(Include_study?="Yes",Sufficient_data="Yes"),1/('Publication Bias Analysis'!F:F^2+IF(Additional_model="Fixed effect",0,Calculations!GH$12)),"")</f>
        <v>36.428641233256712</v>
      </c>
      <c r="FV2" s="74">
        <f>IF(AND(Include_study?="Yes",Sufficient_data="Yes"),1/('Publication Bias Analysis'!F:F^2+IF(Additional_model="Fixed effect",0,'Publication Bias Analysis'!L$32)),"")</f>
        <v>36.428641233256712</v>
      </c>
      <c r="FW2" s="74">
        <f>IF(AND(Include_study?="Yes",Sufficient_data="Yes"),'Publication Bias Analysis'!E:E-'Publication Bias Analysis'!I$37,"")</f>
        <v>-3.1921410468520428E-2</v>
      </c>
      <c r="FX2" s="74">
        <f>IF(AND(Include_study?="Yes",Sufficient_data="Yes"),IF(Additional_model="Fixed effect",1/'Publication Bias Analysis'!F:F,1/SQRT('Publication Bias Analysis'!F:F^2+GH$12)),"")</f>
        <v>6.0356144039572897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-2.8023144205445183</v>
      </c>
      <c r="FZ2" s="37">
        <f t="shared" ref="FZ2:FZ33" si="80">IF(AND(Include_study?="Yes",Sufficient_data="Yes"),RANK(GM:GM,GM:GM,1)*IF(GL:GL&gt;0,1,-1),"")</f>
        <v>4</v>
      </c>
      <c r="GA2" s="82">
        <f>IF(AND(Include_study?="Yes",Sufficient_data="Yes"),FZ:FZ,"")</f>
        <v>4</v>
      </c>
      <c r="GB2" s="82">
        <f>IF(AND(Include_study?="Yes",Sufficient_data="Yes"),RANK(GP:GP,GP:GP,1)*IF(GO:GO&lt;0,-1,1),"")</f>
        <v>4</v>
      </c>
      <c r="GC2" s="82">
        <f>IF(AND(Include_study?="Yes",Sufficient_data="Yes"),RANK(GS:GS,GS:GS,1)*IF(GR:GR&lt;0,-1,1),"")</f>
        <v>4</v>
      </c>
      <c r="GD2" s="74">
        <f>IF(AND(Include_study?="Yes",Sufficient_data="Yes"),'Publication Bias Analysis'!E2,NA())</f>
        <v>-0.46429646312513978</v>
      </c>
      <c r="GE2" s="34">
        <f>IF(AND(Include_study?="Yes",Sufficient_data="Yes"),'Publication Bias Analysis'!F2,NA())</f>
        <v>0.16568321517430662</v>
      </c>
      <c r="GG2" s="24" t="s">
        <v>275</v>
      </c>
      <c r="GH2" s="2" t="s">
        <v>245</v>
      </c>
      <c r="GI2" s="2" t="s">
        <v>246</v>
      </c>
      <c r="GK2" s="114" t="s">
        <v>276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3.1921410468520428E-2</v>
      </c>
      <c r="GM2" s="74">
        <f t="shared" ref="GM2:GM33" si="81">IF(AND(Include_study?="Yes",Sufficient_data="Yes"),ABS(GL2),"")</f>
        <v>3.1921410468520428E-2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36.428641233256712</v>
      </c>
      <c r="GO2" s="74">
        <f>IF(AND(Include_study?="Yes",Sufficient_data="Yes"),IF('Publication Bias Analysis'!L$38="Left",'Publication Bias Analysis'!E:E-GW$3,GW$3-'Publication Bias Analysis'!E:E),"")</f>
        <v>3.1921410468520428E-2</v>
      </c>
      <c r="GP2" s="74">
        <f t="shared" ref="GP2:GP33" si="82">IF(GO2&lt;&gt;"",ABS(GO2),"")</f>
        <v>3.1921410468520428E-2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36.428641233256712</v>
      </c>
      <c r="GR2" s="74">
        <f>IF(AND(Include_study?="Yes",Sufficient_data="Yes"),IF('Publication Bias Analysis'!L$38="Left",'Publication Bias Analysis'!E:E-GW$10,GW$10-'Publication Bias Analysis'!E:E),"")</f>
        <v>3.1921410468520428E-2</v>
      </c>
      <c r="GS2" s="74">
        <f t="shared" ref="GS2:GS33" si="83">IF(GR2&lt;&gt;"",ABS(GR2),"")</f>
        <v>3.1921410468520428E-2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36.428641233256712</v>
      </c>
      <c r="GV2" s="129" t="s">
        <v>105</v>
      </c>
      <c r="GW2" s="12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4" t="s">
        <v>109</v>
      </c>
      <c r="HL2" s="3">
        <f t="shared" ref="HL2:HL65" si="89">IF(AND(Include_study?="Yes",Sufficient_data="Yes"),Inverse_standard_error-AVERAGE(Inverse_standard_error),"")</f>
        <v>0.60676364616817402</v>
      </c>
      <c r="HM2" s="34">
        <f>IF(AND(Include_study?="Yes",Sufficient_data="Yes"),Z_score-('Publication Bias Analysis'!P$3+'Publication Bias Analysis'!P$4*Inverse_standard_error),"")</f>
        <v>-9.7045969537995713E-2</v>
      </c>
      <c r="HO2" s="114" t="s">
        <v>277</v>
      </c>
      <c r="HP2" s="3">
        <f>IF(AND(Include_study?="Yes",Sufficient_data="Yes"),(GD:GD-SUMPRODUCT(Calculations!FT:FT,'Publication Bias Analysis'!E:E)/SUM(Calculations!FT:FT))/SQRT(Calculations!HQ:HQ),"")</f>
        <v>-0.22059194371864838</v>
      </c>
      <c r="HQ2" s="3">
        <f>IF(AND(Include_study?="Yes",Sufficient_data="Yes"),GE:GE^2-1/SUM(Calculations!FT:FT),"")</f>
        <v>2.094039408169536E-2</v>
      </c>
      <c r="HR2" s="6">
        <f t="shared" ref="HR2:HR33" si="90">IF(AND(Include_study?="Yes",Sufficient_data="Yes"),RANK(HP:HP,HP:HP,0),"")</f>
        <v>5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14" t="s">
        <v>121</v>
      </c>
      <c r="HX2" s="20">
        <v>1</v>
      </c>
      <c r="HY2" s="3"/>
      <c r="HZ2" s="34">
        <f>HZ3-HY14</f>
        <v>-0.7</v>
      </c>
      <c r="IB2" s="114" t="s">
        <v>278</v>
      </c>
      <c r="IC2" s="77">
        <f t="shared" ref="IC2:IC33" si="92">IF(AND(Include_study?="Yes",Sufficient_data="Yes"),a_/(a_+b_),NA())</f>
        <v>2.2129186602870814E-2</v>
      </c>
      <c r="ID2" s="74">
        <f t="shared" ref="ID2:ID33" si="93">IF(AND(Include_study?="Yes",Sufficient_data="Yes"),c_/(c_+d_),NA())</f>
        <v>3.4750800182898951E-2</v>
      </c>
      <c r="IE2" s="74">
        <f t="shared" ref="IE2:IE33" si="94">IF(AND(Include_study?="Yes",Sufficient_data="Yes"),1/SELogRiskRatio^2,"")</f>
        <v>38.587515096357869</v>
      </c>
      <c r="IF2" s="74">
        <f t="shared" ref="IF2:IF33" si="95">IF(AND(Include_study?="Yes",Sufficient_data="Yes"),IF(Additional_model="Fixed effect",Weightf,Weightr),"")</f>
        <v>36.428641233256712</v>
      </c>
      <c r="IH2" s="2" t="s">
        <v>245</v>
      </c>
      <c r="II2" s="2" t="s">
        <v>246</v>
      </c>
      <c r="IK2" s="114" t="s">
        <v>123</v>
      </c>
      <c r="IL2" s="3">
        <f>IF(AND(Include_study?="Yes",Sufficient_data="Yes"),'Publication Bias Analysis'!AV:AV,NA())</f>
        <v>-2.8023144205445183</v>
      </c>
      <c r="IM2" s="3">
        <f>IF(AND(Sufficient_data="Yes",Include_study?="Yes"),'Publication Bias Analysis'!AU:AU,NA())</f>
        <v>6.0356144039572897</v>
      </c>
      <c r="IN2" s="3">
        <f t="shared" ref="IN2:IN33" si="96">IF(AND(Include_study?="Yes",Sufficient_data="Yes"),Inverse_standard_error-AVERAGE(Inverse_standard_error),"")</f>
        <v>0.60676364616817402</v>
      </c>
      <c r="IO2" s="34">
        <f>IF(AND(Include_study?="Yes",Sufficient_data="Yes"),Z_score-('Publication Bias Analysis'!AY$30+'Publication Bias Analysis'!AY$31*Inverse_standard_error),"")</f>
        <v>-0.19266532481843512</v>
      </c>
      <c r="IQ2" s="24" t="s">
        <v>279</v>
      </c>
      <c r="IR2" s="2" t="s">
        <v>245</v>
      </c>
      <c r="IS2" s="2" t="s">
        <v>246</v>
      </c>
      <c r="IU2" s="114" t="s">
        <v>124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0.12500000000000003</v>
      </c>
      <c r="IX2" s="3">
        <f>IF('Publication Bias Analysis'!BF2&lt;&gt;"",'Publication Bias Analysis'!BF2,NA())</f>
        <v>-1.1503493803760083</v>
      </c>
      <c r="IY2" s="3">
        <f>IF('Publication Bias Analysis'!BG2&lt;&gt;"",'Publication Bias Analysis'!BG2,NA())</f>
        <v>-2.8023144205445183</v>
      </c>
      <c r="IZ2" s="3">
        <f>IF(AND(Include_study?="Yes",Sufficient_data="Yes"),'Publication Bias Analysis'!BF:BF-AVERAGE('Publication Bias Analysis'!BF:BF),"")</f>
        <v>-1.1503493803760085</v>
      </c>
      <c r="JA2" s="34">
        <f>IF(AND(Include_study?="Yes",Sufficient_data="Yes"),'Publication Bias Analysis'!BG:BG-('Publication Bias Analysis'!BJ$30+'Publication Bias Analysis'!BJ$31*'Publication Bias Analysis'!BF:BF),"")</f>
        <v>0.41956751062698672</v>
      </c>
      <c r="JC2" s="24" t="s">
        <v>280</v>
      </c>
      <c r="JD2" s="2" t="s">
        <v>245</v>
      </c>
      <c r="JE2" s="2" t="s">
        <v>246</v>
      </c>
      <c r="JG2" s="114" t="s">
        <v>126</v>
      </c>
      <c r="JH2" s="74">
        <f t="shared" ref="JH2:JH33" si="98">IF(AND(Include_study?="Yes",Sufficient_data="Yes"),IF(AND(Additional_valid_options="No",Additional_model="Random effects"),NA(),Z_score),"")</f>
        <v>-2.8023144205445183</v>
      </c>
      <c r="JI2" s="84">
        <f>IF(JH2&lt;&gt;"",1-NORMSDIST(ABS(JH2)),"")</f>
        <v>2.5368698941583556E-3</v>
      </c>
      <c r="JJ2" s="34">
        <f>IF(JI2&lt;&gt;"",LN(MAX(10^-306,JI2)),"")</f>
        <v>-5.9768242830232063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83</v>
      </c>
      <c r="C3" s="6">
        <f>IF(AND(Include_study?="Yes",Sufficient_data="Yes"),IF(Input!b_&lt;&gt;"",Input!b_,Input!n1_-Input!a_),"")</f>
        <v>3261</v>
      </c>
      <c r="D3" s="6">
        <f>IF(AND(Include_study?="Yes",Sufficient_data="Yes"),IF(Input!c_&lt;&gt;"",Input!c_,Input!n2_-Input!d_),"")</f>
        <v>82</v>
      </c>
      <c r="E3" s="6">
        <f>IF(AND(Include_study?="Yes",Sufficient_data="Yes"),IF(Input!d_&lt;&gt;"",Input!d_,Input!n2_-Input!c_),"")</f>
        <v>2105</v>
      </c>
      <c r="F3" s="35" t="str">
        <f t="shared" si="1"/>
        <v>No</v>
      </c>
      <c r="H3" s="131"/>
      <c r="I3" s="125"/>
      <c r="J3" s="76">
        <f t="shared" si="2"/>
        <v>0.65337955587467555</v>
      </c>
      <c r="K3" s="3">
        <f t="shared" si="3"/>
        <v>-0.42559706914049256</v>
      </c>
      <c r="L3" s="3">
        <f t="shared" si="4"/>
        <v>0.15819301029191302</v>
      </c>
      <c r="M3" s="3">
        <f t="shared" si="5"/>
        <v>0.47916150808292762</v>
      </c>
      <c r="N3" s="35">
        <f t="shared" si="6"/>
        <v>0.89094144006472376</v>
      </c>
      <c r="P3" s="114"/>
      <c r="Q3" s="76">
        <f t="shared" si="7"/>
        <v>0.64544042001196289</v>
      </c>
      <c r="R3" s="3">
        <f t="shared" si="8"/>
        <v>0.16163722727400912</v>
      </c>
      <c r="S3" s="3">
        <f t="shared" si="9"/>
        <v>0.47015404415887957</v>
      </c>
      <c r="T3" s="35">
        <f t="shared" si="10"/>
        <v>0.88607838422514829</v>
      </c>
      <c r="V3" s="114"/>
      <c r="W3" s="76">
        <f t="shared" si="11"/>
        <v>-1.2673710245185228E-2</v>
      </c>
      <c r="X3" s="3">
        <f t="shared" si="12"/>
        <v>4.8723245590768698E-3</v>
      </c>
      <c r="Y3" s="3">
        <f t="shared" si="13"/>
        <v>-2.222538187014312E-2</v>
      </c>
      <c r="Z3" s="35">
        <f t="shared" si="14"/>
        <v>-3.1220386202273354E-3</v>
      </c>
      <c r="AB3" s="114"/>
      <c r="AC3" s="76">
        <f t="shared" si="15"/>
        <v>0.66198287431438907</v>
      </c>
      <c r="AD3" s="3">
        <f t="shared" si="16"/>
        <v>-0.41251559299547963</v>
      </c>
      <c r="AE3" s="3">
        <f t="shared" si="17"/>
        <v>0.15325476922195694</v>
      </c>
      <c r="AF3" s="3">
        <f t="shared" si="18"/>
        <v>0.49019343977423097</v>
      </c>
      <c r="AG3" s="35">
        <f t="shared" si="19"/>
        <v>0.89397631695636814</v>
      </c>
      <c r="AI3" s="13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(B)</v>
      </c>
      <c r="AN3" s="6">
        <f t="shared" si="21"/>
        <v>5531</v>
      </c>
      <c r="AO3" s="3">
        <f t="shared" si="22"/>
        <v>0.65337955587467555</v>
      </c>
      <c r="AP3" s="3">
        <f t="shared" si="23"/>
        <v>39.959994442824183</v>
      </c>
      <c r="AQ3" s="3">
        <f t="shared" si="24"/>
        <v>39.959994442824183</v>
      </c>
      <c r="AR3" s="3">
        <f t="shared" si="25"/>
        <v>0.15819301029191302</v>
      </c>
      <c r="AS3" s="3">
        <f t="shared" si="26"/>
        <v>0.47916150808292762</v>
      </c>
      <c r="AT3" s="3">
        <f t="shared" si="27"/>
        <v>0.89094144006472376</v>
      </c>
      <c r="AU3" s="80">
        <f t="shared" si="28"/>
        <v>0.26016089082347649</v>
      </c>
      <c r="AW3" s="44">
        <f t="shared" si="29"/>
        <v>0.65337955587467555</v>
      </c>
      <c r="AX3" s="3">
        <f t="shared" si="30"/>
        <v>0.17421804779174793</v>
      </c>
      <c r="AY3" s="35">
        <f t="shared" si="31"/>
        <v>0.2375618841900482</v>
      </c>
      <c r="BA3" s="2" t="s">
        <v>281</v>
      </c>
      <c r="BB3" s="6">
        <f>IF(BB2&lt;&gt;"",MAX(Entry_number)+1,"")</f>
        <v>6</v>
      </c>
      <c r="BD3" s="131"/>
      <c r="BE3" s="125"/>
      <c r="BF3" s="3">
        <f t="shared" si="32"/>
        <v>-0.42559706914049256</v>
      </c>
      <c r="BG3" s="3">
        <f t="shared" si="33"/>
        <v>0.15819301029191302</v>
      </c>
      <c r="BH3" s="3">
        <f t="shared" si="34"/>
        <v>39.959994442824183</v>
      </c>
      <c r="BI3" s="3">
        <f t="shared" ref="BI3:BI33" si="99">IF(Weightf&lt;&gt;"",1/(IF(Model_effect_size_measure="Odds Ratio",SELogOddsRatio,IF(Model_effect_size_measure="Risk Ratio",SELogRiskRatio,SERiskDifference))^2+T2_),"")</f>
        <v>39.959994442824183</v>
      </c>
      <c r="BJ3" s="35">
        <f t="shared" si="35"/>
        <v>6.7779835161267954E-3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2.8074038874393182E-2</v>
      </c>
      <c r="BO3" s="114"/>
      <c r="BP3" s="3">
        <f t="shared" si="36"/>
        <v>31.588320376062196</v>
      </c>
      <c r="BQ3" s="3">
        <f t="shared" si="37"/>
        <v>48.346049538962212</v>
      </c>
      <c r="BR3" s="3">
        <f t="shared" si="38"/>
        <v>12.495976312208295</v>
      </c>
      <c r="BS3" s="3">
        <f>IF(AND(Sufficient_data="Yes",Include_study?="Yes"),IF(Add_0_5="Yes",(a_+d_+1)*(ab_+0.5)*(c_+0.5)/(Number_of_subjects+2)^2,(a_+d_)*b_*c_/Number_of_subjects^2),"")</f>
        <v>19.125141274859757</v>
      </c>
      <c r="BT3" s="3">
        <f t="shared" si="39"/>
        <v>19.092344063853901</v>
      </c>
      <c r="BU3" s="3">
        <f t="shared" si="40"/>
        <v>29.220908264102455</v>
      </c>
      <c r="BV3" s="3">
        <f t="shared" si="41"/>
        <v>48.346049538962212</v>
      </c>
      <c r="BW3" s="3">
        <f t="shared" si="42"/>
        <v>2.1556610439604387E-3</v>
      </c>
      <c r="BX3" s="3">
        <f t="shared" si="43"/>
        <v>39.959994442824183</v>
      </c>
      <c r="BY3" s="35">
        <f t="shared" si="44"/>
        <v>6.7779835161267954E-3</v>
      </c>
      <c r="CA3" s="3" t="s">
        <v>282</v>
      </c>
      <c r="CB3" s="3">
        <f>IF(Meta_analysis_model="Fixed effect model",0.5*(SUM(BR:BR)/SUM(BP:BP)^2+(SUM(BS:BS)+SUM(BT:BT))/(SUM(BP:BP)*SUM(BQ:BQ))+SUM(BU:BU)/SUM(BQ:BQ)^2),SUMPRODUCT(Weight_MH,BY:BY,BY:BY)/((k_-1)*SUM(Weight_MH)))</f>
        <v>7.8815165872093951E-4</v>
      </c>
      <c r="CD3" s="114"/>
      <c r="CE3" s="76">
        <f t="shared" si="45"/>
        <v>99.75772916290002</v>
      </c>
      <c r="CF3" s="3">
        <f t="shared" si="46"/>
        <v>38.275177738720139</v>
      </c>
      <c r="CG3" s="3">
        <f t="shared" si="47"/>
        <v>-0.43782237347907799</v>
      </c>
      <c r="CH3" s="3">
        <f t="shared" si="48"/>
        <v>2.6126593240829676E-2</v>
      </c>
      <c r="CI3" s="3">
        <f t="shared" si="49"/>
        <v>38.275177738720139</v>
      </c>
      <c r="CJ3" s="3">
        <f t="shared" si="50"/>
        <v>38.275177738720139</v>
      </c>
      <c r="CK3" s="35">
        <f t="shared" si="51"/>
        <v>5.4890237707182488E-3</v>
      </c>
      <c r="CM3" s="3" t="s">
        <v>282</v>
      </c>
      <c r="CN3" s="3">
        <f>IF(Meta_analysis_model="Fixed effect model",1/SUM(Weightf_Peto),SUMPRODUCT(Weight_Peto,CK:CK,CK:CK)/((k_-1)*SUM(Weight_Peto)))</f>
        <v>7.0985073929321566E-4</v>
      </c>
      <c r="CP3" s="114"/>
      <c r="CQ3" s="52">
        <f t="shared" si="52"/>
        <v>3.7494284407864654E-2</v>
      </c>
      <c r="CS3" s="2" t="s">
        <v>283</v>
      </c>
      <c r="CT3" s="3">
        <f>IF(Weighting_method="Inverse variance",IF(Model_effect_size_measure="Odds Ratio",CES_IV,NA()),NA())</f>
        <v>0.64896593463836627</v>
      </c>
      <c r="CU3" s="3">
        <f>IF(Model_effect_size_measure="Odds Ratio",CES_OddsRatio_MH,NA())</f>
        <v>0.64896593463836627</v>
      </c>
      <c r="CV3" s="3" t="e">
        <f>IF(Model_effect_size_measure="Peto Odds Ratio",CES_PetoOddsRatio,NA())</f>
        <v>#N/A</v>
      </c>
      <c r="CX3" s="131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284</v>
      </c>
      <c r="FP3" s="3" t="str">
        <f>IF(SUM(Moderator)&lt;&gt;0,SUMPRODUCT(Moderator,FE:FE)/SUM(Calculations!FE:FE),"")</f>
        <v/>
      </c>
      <c r="FR3" s="131"/>
      <c r="FS3" s="125"/>
      <c r="FT3" s="76">
        <f>IF(AND(Include_study?="Yes",Sufficient_data="Yes"),IF(Additional_weighting_method="Inverse Variance",1/'Publication Bias Analysis'!F:F^2,IF(Additional_weighting_method="Mantel-Haenszel",Weightf_MH,Weightf_Peto)),"")</f>
        <v>39.959994442824183</v>
      </c>
      <c r="FU3" s="3">
        <f>IF(AND(Include_study?="Yes",Sufficient_data="Yes"),1/('Publication Bias Analysis'!F:F^2+IF(Additional_model="Fixed effect",0,Calculations!GH$12)),"")</f>
        <v>39.959994442824183</v>
      </c>
      <c r="FV3" s="3">
        <f>IF(AND(Include_study?="Yes",Sufficient_data="Yes"),1/('Publication Bias Analysis'!F:F^2+IF(Additional_model="Fixed effect",0,'Publication Bias Analysis'!L$32)),"")</f>
        <v>39.959994442824183</v>
      </c>
      <c r="FW3" s="3">
        <f>IF(AND(Include_study?="Yes",Sufficient_data="Yes"),'Publication Bias Analysis'!E:E-'Publication Bias Analysis'!I$37,"")</f>
        <v>6.7779835161267954E-3</v>
      </c>
      <c r="FX3" s="3">
        <f>IF(AND(Include_study?="Yes",Sufficient_data="Yes"),IF(Additional_model="Fixed effect",1/'Publication Bias Analysis'!F:F,1/SQRT('Publication Bias Analysis'!F:F^2+GH$12)),"")</f>
        <v>6.3213918121584731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-2.6903658281433533</v>
      </c>
      <c r="FZ3" s="6">
        <f t="shared" si="80"/>
        <v>-2</v>
      </c>
      <c r="GA3" s="83">
        <f>IF(AND(Include_study?="Yes",Sufficient_data="Yes"),FZ:FZ+IF(GL:GL&lt;0,-1,1)*COUNTIF(FZ$2:FZ2,FZ:FZ),"")</f>
        <v>-2</v>
      </c>
      <c r="GB3" s="83">
        <f>IF(AND(Include_study?="Yes",Sufficient_data="Yes"),RANK(GP:GP,GP:GP,1)*IF(GO:GO&lt;0,-1,1)+IF(GO:GO&lt;0,-1,1)*COUNTIF(FZ$2:FZ2,FZ:FZ),"")</f>
        <v>-2</v>
      </c>
      <c r="GC3" s="83">
        <f>IF(AND(Include_study?="Yes",Sufficient_data="Yes"),RANK(GS:GS,GS:GS,1)*IF(GR:GR&lt;0,-1,1)+IF(GR:GR&lt;0,-1,1)*COUNTIF(FZ$2:FZ2,FZ:FZ),"")</f>
        <v>-2</v>
      </c>
      <c r="GD3" s="3">
        <f>IF(AND(Include_study?="Yes",Sufficient_data="Yes"),'Publication Bias Analysis'!E3,NA())</f>
        <v>-0.42559706914049256</v>
      </c>
      <c r="GE3" s="35">
        <f>IF(AND(Include_study?="Yes",Sufficient_data="Yes"),'Publication Bias Analysis'!F3,NA())</f>
        <v>0.15819301029191302</v>
      </c>
      <c r="GG3" s="2" t="s">
        <v>285</v>
      </c>
      <c r="GH3" s="3">
        <f>IF(Additional_valid_options="Yes",IF(Trim_and_fill="Off",'Publication Bias Analysis'!I29,'Publication Bias Analysis'!I37)-ABS(TINV((1-Additional_confidence_level),k_-1))*GI3,"")</f>
        <v>-1.4543663363972672</v>
      </c>
      <c r="GI3" s="3">
        <f>IF(Trim_and_fill="Off",GH17,GH22)</f>
        <v>0.36809345944833344</v>
      </c>
      <c r="GK3" s="11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-6.7779835161267954E-3</v>
      </c>
      <c r="GM3" s="3">
        <f t="shared" si="81"/>
        <v>6.7779835161267954E-3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39.959994442824183</v>
      </c>
      <c r="GO3" s="3">
        <f>IF(AND(Include_study?="Yes",Sufficient_data="Yes"),IF('Publication Bias Analysis'!L$38="Left",'Publication Bias Analysis'!E:E-GW$3,GW$3-'Publication Bias Analysis'!E:E),"")</f>
        <v>-6.7779835161267954E-3</v>
      </c>
      <c r="GP3" s="3">
        <f t="shared" si="82"/>
        <v>6.7779835161267954E-3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39.959994442824183</v>
      </c>
      <c r="GR3" s="3">
        <f>IF(AND(Include_study?="Yes",Sufficient_data="Yes"),IF('Publication Bias Analysis'!L$38="Left",'Publication Bias Analysis'!E:E-GW$10,GW$10-'Publication Bias Analysis'!E:E),"")</f>
        <v>-6.7779835161267954E-3</v>
      </c>
      <c r="GS3" s="3">
        <f t="shared" si="83"/>
        <v>6.7779835161267954E-3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39.959994442824183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-0.43237505265661935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4"/>
      <c r="HL3" s="3">
        <f t="shared" si="89"/>
        <v>0.89254105436935749</v>
      </c>
      <c r="HM3" s="35">
        <f>IF(AND(Include_study?="Yes",Sufficient_data="Yes"),Z_score-('Publication Bias Analysis'!P$3+'Publication Bias Analysis'!P$4*Inverse_standard_error),"")</f>
        <v>0.21093648892109407</v>
      </c>
      <c r="HO3" s="114"/>
      <c r="HP3" s="3">
        <f>IF(AND(Include_study?="Yes",Sufficient_data="Yes"),(GD:GD-SUMPRODUCT(Calculations!FT:FT,'Publication Bias Analysis'!E:E)/SUM(Calculations!FT:FT))/SQRT(Calculations!HQ:HQ),"")</f>
        <v>4.9813215324973806E-2</v>
      </c>
      <c r="HQ3" s="3">
        <f>IF(AND(Include_study?="Yes",Sufficient_data="Yes"),GE:GE^2-1/SUM(Calculations!FT:FT),"")</f>
        <v>1.8514494796417071E-2</v>
      </c>
      <c r="HR3" s="6">
        <f t="shared" si="90"/>
        <v>2</v>
      </c>
      <c r="HS3" s="6">
        <f t="shared" si="91"/>
        <v>5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3</v>
      </c>
      <c r="HW3" s="114"/>
      <c r="HX3" s="20">
        <v>2</v>
      </c>
      <c r="HY3" s="3">
        <f t="shared" ref="HY3:HY10" si="123">HZ2</f>
        <v>-0.7</v>
      </c>
      <c r="HZ3" s="35">
        <f>HZ4-HY14</f>
        <v>-0.5</v>
      </c>
      <c r="IB3" s="114"/>
      <c r="IC3" s="76">
        <f t="shared" si="92"/>
        <v>2.4820574162679427E-2</v>
      </c>
      <c r="ID3" s="3">
        <f t="shared" si="93"/>
        <v>3.7494284407864654E-2</v>
      </c>
      <c r="IE3" s="3">
        <f t="shared" si="94"/>
        <v>42.576700551062281</v>
      </c>
      <c r="IF3" s="35">
        <f t="shared" si="95"/>
        <v>39.959994442824183</v>
      </c>
      <c r="IH3" s="3">
        <v>0</v>
      </c>
      <c r="II3" s="3">
        <v>0</v>
      </c>
      <c r="IK3" s="114"/>
      <c r="IL3" s="3">
        <f>IF(AND(Include_study?="Yes",Sufficient_data="Yes"),'Publication Bias Analysis'!AV:AV,NA())</f>
        <v>-2.6903658281433533</v>
      </c>
      <c r="IM3" s="3">
        <f>IF(AND(Sufficient_data="Yes",Include_study?="Yes"),'Publication Bias Analysis'!AU:AU,NA())</f>
        <v>6.3213918121584731</v>
      </c>
      <c r="IN3" s="3">
        <f t="shared" si="96"/>
        <v>0.89254105436935749</v>
      </c>
      <c r="IO3" s="35">
        <f>IF(AND(Include_study?="Yes",Sufficient_data="Yes"),Z_score-('Publication Bias Analysis'!AY$30+'Publication Bias Analysis'!AY$31*Inverse_standard_error),"")</f>
        <v>4.2846289501788704E-2</v>
      </c>
      <c r="IQ3" s="2" t="s">
        <v>101</v>
      </c>
      <c r="IR3" s="3">
        <v>0</v>
      </c>
      <c r="IS3" s="3">
        <v>0</v>
      </c>
      <c r="IU3" s="114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0.5</v>
      </c>
      <c r="IX3" s="3">
        <f>IF('Publication Bias Analysis'!BF3&lt;&gt;"",'Publication Bias Analysis'!BF3,NA())</f>
        <v>0</v>
      </c>
      <c r="IY3" s="3">
        <f>IF('Publication Bias Analysis'!BG3&lt;&gt;"",'Publication Bias Analysis'!BG3,NA())</f>
        <v>-2.6903658281433533</v>
      </c>
      <c r="IZ3" s="3">
        <f>IF(AND(Include_study?="Yes",Sufficient_data="Yes"),'Publication Bias Analysis'!BF:BF-AVERAGE('Publication Bias Analysis'!BF:BF),"")</f>
        <v>-1.5543122344752191E-16</v>
      </c>
      <c r="JA3" s="35">
        <f>IF(AND(Include_study?="Yes",Sufficient_data="Yes"),'Publication Bias Analysis'!BG:BG-('Publication Bias Analysis'!BJ$30+'Publication Bias Analysis'!BJ$31*'Publication Bias Analysis'!BF:BF),"")</f>
        <v>-0.40131720392598424</v>
      </c>
      <c r="JC3" s="2" t="s">
        <v>248</v>
      </c>
      <c r="JD3" s="3">
        <f>MIN('Publication Bias Analysis'!BF:BF)</f>
        <v>-1.1503493803760083</v>
      </c>
      <c r="JE3" s="3">
        <f>'Publication Bias Analysis'!BJ$30+JD3*'Publication Bias Analysis'!BJ$31</f>
        <v>-3.221881931171505</v>
      </c>
      <c r="JG3" s="114"/>
      <c r="JH3" s="3">
        <f t="shared" si="98"/>
        <v>-2.6903658281433533</v>
      </c>
      <c r="JI3" s="10">
        <f t="shared" ref="JI3:JI66" si="124">IF(JH3&lt;&gt;"",1-NORMSDIST(ABS(JH3)),"")</f>
        <v>3.5686864699833176E-3</v>
      </c>
      <c r="JJ3" s="35">
        <f t="shared" ref="JJ3:JJ66" si="125">IF(JI3&lt;&gt;"",LN(MAX(10^-306,JI3)),"")</f>
        <v>-5.635557686474395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58</v>
      </c>
      <c r="C4" s="6">
        <f>IF(AND(Include_study?="Yes",Sufficient_data="Yes"),IF(Input!b_&lt;&gt;"",Input!b_,Input!n1_-Input!a_),"")</f>
        <v>3346</v>
      </c>
      <c r="D4" s="6">
        <f>IF(AND(Include_study?="Yes",Sufficient_data="Yes"),IF(Input!c_&lt;&gt;"",Input!c_,Input!n2_-Input!d_),"")</f>
        <v>66</v>
      </c>
      <c r="E4" s="6">
        <f>IF(AND(Include_study?="Yes",Sufficient_data="Yes"),IF(Input!d_&lt;&gt;"",Input!d_,Input!n2_-Input!c_),"")</f>
        <v>2463</v>
      </c>
      <c r="F4" s="35" t="str">
        <f t="shared" si="1"/>
        <v>No</v>
      </c>
      <c r="H4" s="131"/>
      <c r="I4" s="125"/>
      <c r="J4" s="76">
        <f t="shared" si="2"/>
        <v>0.64687822637613435</v>
      </c>
      <c r="K4" s="3">
        <f t="shared" si="3"/>
        <v>-0.43559721490623754</v>
      </c>
      <c r="L4" s="3">
        <f t="shared" si="4"/>
        <v>0.18192791899446659</v>
      </c>
      <c r="M4" s="3">
        <f t="shared" si="5"/>
        <v>0.45282833998976635</v>
      </c>
      <c r="N4" s="35">
        <f t="shared" si="6"/>
        <v>0.92408403539626094</v>
      </c>
      <c r="P4" s="114"/>
      <c r="Q4" s="76">
        <f t="shared" si="7"/>
        <v>0.64236606003292795</v>
      </c>
      <c r="R4" s="3">
        <f t="shared" si="8"/>
        <v>0.18350343504107225</v>
      </c>
      <c r="S4" s="3">
        <f t="shared" si="9"/>
        <v>0.44828302820553356</v>
      </c>
      <c r="T4" s="35">
        <f t="shared" si="10"/>
        <v>0.92047686198157441</v>
      </c>
      <c r="V4" s="114"/>
      <c r="W4" s="76">
        <f t="shared" si="11"/>
        <v>-9.0584937405299472E-3</v>
      </c>
      <c r="X4" s="3">
        <f t="shared" si="12"/>
        <v>3.8691253913837121E-3</v>
      </c>
      <c r="Y4" s="3">
        <f t="shared" si="13"/>
        <v>-1.6643388035961056E-2</v>
      </c>
      <c r="Z4" s="35">
        <f t="shared" si="14"/>
        <v>-1.4735994450988396E-3</v>
      </c>
      <c r="AB4" s="114"/>
      <c r="AC4" s="76">
        <f t="shared" si="15"/>
        <v>0.65289498985151151</v>
      </c>
      <c r="AD4" s="3">
        <f t="shared" si="16"/>
        <v>-0.42633897450330593</v>
      </c>
      <c r="AE4" s="3">
        <f t="shared" si="17"/>
        <v>0.17805535437654327</v>
      </c>
      <c r="AF4" s="3">
        <f t="shared" si="18"/>
        <v>0.46052308746351989</v>
      </c>
      <c r="AG4" s="35">
        <f t="shared" si="19"/>
        <v>0.92562540158634765</v>
      </c>
      <c r="AI4" s="13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Hsu et al.</v>
      </c>
      <c r="AN4" s="6">
        <f t="shared" si="21"/>
        <v>5933</v>
      </c>
      <c r="AO4" s="3">
        <f t="shared" si="22"/>
        <v>0.64687822637613435</v>
      </c>
      <c r="AP4" s="3">
        <f t="shared" si="23"/>
        <v>30.21351798623634</v>
      </c>
      <c r="AQ4" s="3">
        <f t="shared" si="24"/>
        <v>30.21351798623634</v>
      </c>
      <c r="AR4" s="3">
        <f t="shared" si="25"/>
        <v>0.18192791899446659</v>
      </c>
      <c r="AS4" s="3">
        <f t="shared" si="26"/>
        <v>0.45282833998976635</v>
      </c>
      <c r="AT4" s="3">
        <f t="shared" si="27"/>
        <v>0.92408403539626094</v>
      </c>
      <c r="AU4" s="80">
        <f t="shared" si="28"/>
        <v>0.19670612731083356</v>
      </c>
      <c r="AW4" s="44">
        <f t="shared" si="29"/>
        <v>0.64687822637613435</v>
      </c>
      <c r="AX4" s="3">
        <f t="shared" si="30"/>
        <v>0.194049886386368</v>
      </c>
      <c r="AY4" s="35">
        <f t="shared" si="31"/>
        <v>0.27720580902012659</v>
      </c>
      <c r="BA4" s="2" t="s">
        <v>286</v>
      </c>
      <c r="BB4" s="3">
        <f>'Forest Plot'!$B$16-CES_CI_Lower_limit</f>
        <v>4.8663132280282406E-2</v>
      </c>
      <c r="BD4" s="131"/>
      <c r="BE4" s="125"/>
      <c r="BF4" s="3">
        <f t="shared" si="32"/>
        <v>-0.43559721490623754</v>
      </c>
      <c r="BG4" s="3">
        <f t="shared" si="33"/>
        <v>0.18192791899446659</v>
      </c>
      <c r="BH4" s="3">
        <f t="shared" si="34"/>
        <v>30.21351798623634</v>
      </c>
      <c r="BI4" s="3">
        <f t="shared" si="99"/>
        <v>30.21351798623634</v>
      </c>
      <c r="BJ4" s="35">
        <f t="shared" si="35"/>
        <v>-3.2221622496181879E-3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-0.51032108047256086</v>
      </c>
      <c r="BO4" s="114"/>
      <c r="BP4" s="3">
        <f t="shared" si="36"/>
        <v>24.077869543232765</v>
      </c>
      <c r="BQ4" s="3">
        <f t="shared" si="37"/>
        <v>37.221641665262091</v>
      </c>
      <c r="BR4" s="3">
        <f t="shared" si="38"/>
        <v>10.23096395052921</v>
      </c>
      <c r="BS4" s="3">
        <f>IF(AND(Sufficient_data="Yes",Include_study?="Yes"),IF(Add_0_5="Yes",(a_+d_+1)*(ab_+0.5)*(c_+0.5)/(Number_of_subjects+2)^2,(a_+d_)*b_*c_/Number_of_subjects^2),"")</f>
        <v>15.815904034742244</v>
      </c>
      <c r="BT4" s="3">
        <f t="shared" si="39"/>
        <v>13.846905592703555</v>
      </c>
      <c r="BU4" s="3">
        <f t="shared" si="40"/>
        <v>21.405737630519848</v>
      </c>
      <c r="BV4" s="3">
        <f t="shared" si="41"/>
        <v>37.221641665262091</v>
      </c>
      <c r="BW4" s="3">
        <f t="shared" si="42"/>
        <v>2.1303796064520633E-4</v>
      </c>
      <c r="BX4" s="3">
        <f t="shared" si="43"/>
        <v>30.21351798623634</v>
      </c>
      <c r="BY4" s="35">
        <f t="shared" si="44"/>
        <v>-3.2221622496181879E-3</v>
      </c>
      <c r="CA4" s="3" t="s">
        <v>287</v>
      </c>
      <c r="CB4" s="3">
        <f>SQRT(VarlnCES_MH)</f>
        <v>2.8074038874393182E-2</v>
      </c>
      <c r="CD4" s="114"/>
      <c r="CE4" s="76">
        <f t="shared" si="45"/>
        <v>71.143772122029333</v>
      </c>
      <c r="CF4" s="3">
        <f t="shared" si="46"/>
        <v>29.696933288137519</v>
      </c>
      <c r="CG4" s="3">
        <f t="shared" si="47"/>
        <v>-0.44259695081982187</v>
      </c>
      <c r="CH4" s="3">
        <f t="shared" si="48"/>
        <v>3.3673510671873026E-2</v>
      </c>
      <c r="CI4" s="3">
        <f t="shared" si="49"/>
        <v>29.696933288137519</v>
      </c>
      <c r="CJ4" s="3">
        <f t="shared" si="50"/>
        <v>29.696933288137519</v>
      </c>
      <c r="CK4" s="35">
        <f t="shared" si="51"/>
        <v>7.1444642997436913E-4</v>
      </c>
      <c r="CM4" s="3" t="s">
        <v>287</v>
      </c>
      <c r="CN4" s="3">
        <f>SQRT(VarlnCES_Peto)</f>
        <v>2.6643024214477149E-2</v>
      </c>
      <c r="CP4" s="114"/>
      <c r="CQ4" s="52">
        <f t="shared" si="52"/>
        <v>2.6097271648873072E-2</v>
      </c>
      <c r="CS4" s="2" t="s">
        <v>97</v>
      </c>
      <c r="CT4" s="3">
        <f>IF(Weighting_method="Inverse variance",IF(Model_effect_size_measure="Odds Ratio",CICES_LL,""),"")</f>
        <v>0.60030280235808386</v>
      </c>
      <c r="CU4" s="3">
        <f>IF(Model_effect_size_measure="Odds Ratio",CICES_LL_MH,"")</f>
        <v>0.60030280235808386</v>
      </c>
      <c r="CV4" s="3" t="str">
        <f>IF(Model_effect_size_measure="Peto Odds Ratio",CICES_LL_Peto,"")</f>
        <v/>
      </c>
      <c r="CX4" s="131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31"/>
      <c r="FS4" s="125"/>
      <c r="FT4" s="76">
        <f>IF(AND(Include_study?="Yes",Sufficient_data="Yes"),IF(Additional_weighting_method="Inverse Variance",1/'Publication Bias Analysis'!F:F^2,IF(Additional_weighting_method="Mantel-Haenszel",Weightf_MH,Weightf_Peto)),"")</f>
        <v>30.21351798623634</v>
      </c>
      <c r="FU4" s="3">
        <f>IF(AND(Include_study?="Yes",Sufficient_data="Yes"),1/('Publication Bias Analysis'!F:F^2+IF(Additional_model="Fixed effect",0,Calculations!GH$12)),"")</f>
        <v>30.21351798623634</v>
      </c>
      <c r="FV4" s="3">
        <f>IF(AND(Include_study?="Yes",Sufficient_data="Yes"),1/('Publication Bias Analysis'!F:F^2+IF(Additional_model="Fixed effect",0,'Publication Bias Analysis'!L$32)),"")</f>
        <v>30.21351798623634</v>
      </c>
      <c r="FW4" s="3">
        <f>IF(AND(Include_study?="Yes",Sufficient_data="Yes"),'Publication Bias Analysis'!E:E-'Publication Bias Analysis'!I$37,"")</f>
        <v>-3.2221622496181879E-3</v>
      </c>
      <c r="FX4" s="3">
        <f>IF(AND(Include_study?="Yes",Sufficient_data="Yes"),IF(Additional_model="Fixed effect",1/'Publication Bias Analysis'!F:F,1/SQRT('Publication Bias Analysis'!F:F^2+GH$12)),"")</f>
        <v>5.4966824527378639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-2.3943395676365999</v>
      </c>
      <c r="FZ4" s="6">
        <f t="shared" si="80"/>
        <v>1</v>
      </c>
      <c r="GA4" s="83">
        <f>IF(AND(Include_study?="Yes",Sufficient_data="Yes"),FZ:FZ+IF(GL:GL&lt;0,-1,1)*COUNTIF(FZ$2:FZ3,FZ:FZ),"")</f>
        <v>1</v>
      </c>
      <c r="GB4" s="83">
        <f>IF(AND(Include_study?="Yes",Sufficient_data="Yes"),RANK(GP:GP,GP:GP,1)*IF(GO:GO&lt;0,-1,1)+IF(GO:GO&lt;0,-1,1)*COUNTIF(FZ$2:FZ3,FZ:FZ),"")</f>
        <v>1</v>
      </c>
      <c r="GC4" s="83">
        <f>IF(AND(Include_study?="Yes",Sufficient_data="Yes"),RANK(GS:GS,GS:GS,1)*IF(GR:GR&lt;0,-1,1)+IF(GR:GR&lt;0,-1,1)*COUNTIF(FZ$2:FZ3,FZ:FZ),"")</f>
        <v>1</v>
      </c>
      <c r="GD4" s="3">
        <f>IF(AND(Include_study?="Yes",Sufficient_data="Yes"),'Publication Bias Analysis'!E4,NA())</f>
        <v>-0.43559721490623754</v>
      </c>
      <c r="GE4" s="35">
        <f>IF(AND(Include_study?="Yes",Sufficient_data="Yes"),'Publication Bias Analysis'!F4,NA())</f>
        <v>0.18192791899446659</v>
      </c>
      <c r="GG4" s="2" t="s">
        <v>279</v>
      </c>
      <c r="GH4" s="3">
        <f>IF(Trim_and_fill="Off",'Publication Bias Analysis'!I29,'Publication Bias Analysis'!I37)</f>
        <v>-0.43237505265661935</v>
      </c>
      <c r="GI4" s="3">
        <v>0</v>
      </c>
      <c r="GK4" s="11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3.2221622496181879E-3</v>
      </c>
      <c r="GM4" s="3">
        <f t="shared" si="81"/>
        <v>3.2221622496181879E-3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30.21351798623634</v>
      </c>
      <c r="GO4" s="3">
        <f>IF(AND(Include_study?="Yes",Sufficient_data="Yes"),IF('Publication Bias Analysis'!L$38="Left",'Publication Bias Analysis'!E:E-GW$3,GW$3-'Publication Bias Analysis'!E:E),"")</f>
        <v>3.2221622496181879E-3</v>
      </c>
      <c r="GP4" s="3">
        <f t="shared" si="82"/>
        <v>3.2221622496181879E-3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30.21351798623634</v>
      </c>
      <c r="GR4" s="3">
        <f>IF(AND(Include_study?="Yes",Sufficient_data="Yes"),IF('Publication Bias Analysis'!L$38="Left",'Publication Bias Analysis'!E:E-GW$10,GW$10-'Publication Bias Analysis'!E:E),"")</f>
        <v>3.2221622496181879E-3</v>
      </c>
      <c r="GS4" s="3">
        <f t="shared" si="83"/>
        <v>3.2221622496181879E-3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30.21351798623634</v>
      </c>
      <c r="GV4" s="112" t="s">
        <v>59</v>
      </c>
      <c r="GW4" s="11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4"/>
      <c r="HL4" s="3">
        <f t="shared" si="89"/>
        <v>6.78316949487483E-2</v>
      </c>
      <c r="HM4" s="35">
        <f>IF(AND(Include_study?="Yes",Sufficient_data="Yes"),Z_score-('Publication Bias Analysis'!P$3+'Publication Bias Analysis'!P$4*Inverse_standard_error),"")</f>
        <v>-5.8760640391554819E-2</v>
      </c>
      <c r="HO4" s="114"/>
      <c r="HP4" s="3">
        <f>IF(AND(Include_study?="Yes",Sufficient_data="Yes"),(GD:GD-SUMPRODUCT(Calculations!FT:FT,'Publication Bias Analysis'!E:E)/SUM(Calculations!FT:FT))/SQRT(Calculations!HQ:HQ),"")</f>
        <v>-1.9761086821141131E-2</v>
      </c>
      <c r="HQ4" s="3">
        <f>IF(AND(Include_study?="Yes",Sufficient_data="Yes"),GE:GE^2-1/SUM(Calculations!FT:FT),"")</f>
        <v>2.6587234000856969E-2</v>
      </c>
      <c r="HR4" s="6">
        <f t="shared" si="90"/>
        <v>3</v>
      </c>
      <c r="HS4" s="6">
        <f t="shared" si="91"/>
        <v>2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3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14"/>
      <c r="HX4" s="20">
        <v>3</v>
      </c>
      <c r="HY4" s="3">
        <f t="shared" si="123"/>
        <v>-0.5</v>
      </c>
      <c r="HZ4" s="35">
        <f>HZ5-HY14</f>
        <v>-0.30000000000000004</v>
      </c>
      <c r="IB4" s="114"/>
      <c r="IC4" s="76">
        <f t="shared" si="92"/>
        <v>1.7038777908343124E-2</v>
      </c>
      <c r="ID4" s="3">
        <f t="shared" si="93"/>
        <v>2.6097271648873072E-2</v>
      </c>
      <c r="IE4" s="3">
        <f t="shared" si="94"/>
        <v>31.542050584451534</v>
      </c>
      <c r="IF4" s="35">
        <f t="shared" si="95"/>
        <v>30.21351798623634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14"/>
      <c r="IL4" s="3">
        <f>IF(AND(Include_study?="Yes",Sufficient_data="Yes"),'Publication Bias Analysis'!AV:AV,NA())</f>
        <v>-2.3943395676365999</v>
      </c>
      <c r="IM4" s="3">
        <f>IF(AND(Sufficient_data="Yes",Include_study?="Yes"),'Publication Bias Analysis'!AU:AU,NA())</f>
        <v>5.4966824527378639</v>
      </c>
      <c r="IN4" s="3">
        <f t="shared" si="96"/>
        <v>6.78316949487483E-2</v>
      </c>
      <c r="IO4" s="35">
        <f>IF(AND(Include_study?="Yes",Sufficient_data="Yes"),Z_score-('Publication Bias Analysis'!AY$30+'Publication Bias Analysis'!AY$31*Inverse_standard_error),"")</f>
        <v>-1.771120269735027E-2</v>
      </c>
      <c r="IQ4" s="2" t="s">
        <v>288</v>
      </c>
      <c r="IR4" s="3">
        <f>MAX(Inverse_standard_error)</f>
        <v>6.3213918121584731</v>
      </c>
      <c r="IS4" s="3">
        <f>IR4*'Publication Bias Analysis'!AY31</f>
        <v>-2.733212117645142</v>
      </c>
      <c r="IU4" s="114"/>
      <c r="IV4" s="6">
        <f>IF('Publication Bias Analysis'!BG:BG&lt;&gt;"",RANK('Publication Bias Analysis'!BG:BG,'Publication Bias Analysis'!BG:BG,1)+COUNTIF('Publication Bias Analysis'!BG$2:BG3,'Publication Bias Analysis'!BG4),"")</f>
        <v>4</v>
      </c>
      <c r="IW4" s="3">
        <f t="shared" si="97"/>
        <v>0.6875</v>
      </c>
      <c r="IX4" s="3">
        <f>IF('Publication Bias Analysis'!BF4&lt;&gt;"",'Publication Bias Analysis'!BF4,NA())</f>
        <v>0.48877641111466941</v>
      </c>
      <c r="IY4" s="3">
        <f>IF('Publication Bias Analysis'!BG4&lt;&gt;"",'Publication Bias Analysis'!BG4,NA())</f>
        <v>-2.3943395676365999</v>
      </c>
      <c r="IZ4" s="3">
        <f>IF(AND(Include_study?="Yes",Sufficient_data="Yes"),'Publication Bias Analysis'!BF:BF-AVERAGE('Publication Bias Analysis'!BF:BF),"")</f>
        <v>0.48877641111466924</v>
      </c>
      <c r="JA4" s="35">
        <f>IF(AND(Include_study?="Yes",Sufficient_data="Yes"),'Publication Bias Analysis'!BG:BG-('Publication Bias Analysis'!BJ$30+'Publication Bias Analysis'!BJ$31*'Publication Bias Analysis'!BF:BF),"")</f>
        <v>-0.50164610622397676</v>
      </c>
      <c r="JC4" s="2" t="s">
        <v>249</v>
      </c>
      <c r="JD4" s="3">
        <f>MAX('Publication Bias Analysis'!BF:BF)</f>
        <v>1.150349380376009</v>
      </c>
      <c r="JE4" s="3">
        <f>'Publication Bias Analysis'!BJ$30+JD4*'Publication Bias Analysis'!BJ$31</f>
        <v>-1.3562153172632327</v>
      </c>
      <c r="JG4" s="114"/>
      <c r="JH4" s="3">
        <f t="shared" si="98"/>
        <v>-2.3943395676365999</v>
      </c>
      <c r="JI4" s="10">
        <f t="shared" si="124"/>
        <v>8.3251629153333617E-3</v>
      </c>
      <c r="JJ4" s="35">
        <f t="shared" si="125"/>
        <v>-4.7884726738976955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37</v>
      </c>
      <c r="C5" s="6">
        <f>IF(AND(Include_study?="Yes",Sufficient_data="Yes"),IF(Input!b_&lt;&gt;"",Input!b_,Input!n1_-Input!a_),"")</f>
        <v>10343</v>
      </c>
      <c r="D5" s="6">
        <f>IF(AND(Include_study?="Yes",Sufficient_data="Yes"),IF(Input!c_&lt;&gt;"",Input!c_,Input!n2_-Input!d_),"")</f>
        <v>15</v>
      </c>
      <c r="E5" s="6">
        <f>IF(AND(Include_study?="Yes",Sufficient_data="Yes"),IF(Input!d_&lt;&gt;"",Input!d_,Input!n2_-Input!c_),"")</f>
        <v>3313</v>
      </c>
      <c r="F5" s="35" t="str">
        <f t="shared" si="1"/>
        <v>No</v>
      </c>
      <c r="H5" s="131"/>
      <c r="I5" s="125"/>
      <c r="J5" s="76">
        <f t="shared" si="2"/>
        <v>0.79010602984305001</v>
      </c>
      <c r="K5" s="3">
        <f t="shared" si="3"/>
        <v>-0.23558812753589345</v>
      </c>
      <c r="L5" s="3">
        <f t="shared" si="4"/>
        <v>0.30674454954027786</v>
      </c>
      <c r="M5" s="3">
        <f t="shared" si="5"/>
        <v>0.43307277484477652</v>
      </c>
      <c r="N5" s="35">
        <f t="shared" si="6"/>
        <v>1.4414841445946327</v>
      </c>
      <c r="P5" s="114"/>
      <c r="Q5" s="76">
        <f t="shared" si="7"/>
        <v>0.77924570100351143</v>
      </c>
      <c r="R5" s="3">
        <f t="shared" si="8"/>
        <v>0.32403471536277306</v>
      </c>
      <c r="S5" s="3">
        <f t="shared" si="9"/>
        <v>0.41288699690344244</v>
      </c>
      <c r="T5" s="35">
        <f t="shared" si="10"/>
        <v>1.4706780961534109</v>
      </c>
      <c r="V5" s="114"/>
      <c r="W5" s="76">
        <f t="shared" si="11"/>
        <v>-9.4266433229583469E-4</v>
      </c>
      <c r="X5" s="3">
        <f t="shared" si="12"/>
        <v>1.3001566715768052E-3</v>
      </c>
      <c r="Y5" s="3">
        <f t="shared" si="13"/>
        <v>-3.4911496369845391E-3</v>
      </c>
      <c r="Z5" s="35">
        <f t="shared" si="14"/>
        <v>1.6058209723928698E-3</v>
      </c>
      <c r="AB5" s="114"/>
      <c r="AC5" s="76">
        <f t="shared" si="15"/>
        <v>0.79085420680796414</v>
      </c>
      <c r="AD5" s="3">
        <f t="shared" si="16"/>
        <v>-0.2346416432367659</v>
      </c>
      <c r="AE5" s="3">
        <f t="shared" si="17"/>
        <v>0.30544536960114943</v>
      </c>
      <c r="AF5" s="3">
        <f t="shared" si="18"/>
        <v>0.43458816703185482</v>
      </c>
      <c r="AG5" s="35">
        <f t="shared" si="19"/>
        <v>1.4391794896247356</v>
      </c>
      <c r="AI5" s="131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Xie et al.</v>
      </c>
      <c r="AN5" s="6">
        <f t="shared" si="21"/>
        <v>13708</v>
      </c>
      <c r="AO5" s="3">
        <f t="shared" si="22"/>
        <v>0.79010602984305001</v>
      </c>
      <c r="AP5" s="3">
        <f t="shared" si="23"/>
        <v>10.627871402191531</v>
      </c>
      <c r="AQ5" s="3">
        <f t="shared" si="24"/>
        <v>10.627871402191531</v>
      </c>
      <c r="AR5" s="3">
        <f t="shared" si="25"/>
        <v>0.30674454954027786</v>
      </c>
      <c r="AS5" s="3">
        <f t="shared" si="26"/>
        <v>0.43307277484477652</v>
      </c>
      <c r="AT5" s="3">
        <f t="shared" si="27"/>
        <v>1.4414841445946327</v>
      </c>
      <c r="AU5" s="80">
        <f t="shared" si="28"/>
        <v>6.9193115016761869E-2</v>
      </c>
      <c r="AW5" s="44">
        <f t="shared" si="29"/>
        <v>0.79010602984305001</v>
      </c>
      <c r="AX5" s="3">
        <f t="shared" si="30"/>
        <v>0.35703325499827349</v>
      </c>
      <c r="AY5" s="35">
        <f t="shared" si="31"/>
        <v>0.65137811475158269</v>
      </c>
      <c r="BA5" s="2" t="s">
        <v>289</v>
      </c>
      <c r="BB5" s="3">
        <f>CES_CI_Upper_limit-'Forest Plot'!$B$16</f>
        <v>5.2607975506111071E-2</v>
      </c>
      <c r="BD5" s="131"/>
      <c r="BE5" s="125"/>
      <c r="BF5" s="3">
        <f t="shared" si="32"/>
        <v>-0.23558812753589345</v>
      </c>
      <c r="BG5" s="3">
        <f t="shared" si="33"/>
        <v>0.30674454954027786</v>
      </c>
      <c r="BH5" s="3">
        <f t="shared" si="34"/>
        <v>10.627871402191531</v>
      </c>
      <c r="BI5" s="3">
        <f t="shared" si="99"/>
        <v>10.627871402191531</v>
      </c>
      <c r="BJ5" s="35">
        <f t="shared" si="35"/>
        <v>0.1967869251207259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-0.35442902484067784</v>
      </c>
      <c r="BO5" s="114"/>
      <c r="BP5" s="3">
        <f t="shared" si="36"/>
        <v>8.9422964692150568</v>
      </c>
      <c r="BQ5" s="3">
        <f t="shared" si="37"/>
        <v>11.317843594981033</v>
      </c>
      <c r="BR5" s="3">
        <f t="shared" si="38"/>
        <v>2.1853438263693055</v>
      </c>
      <c r="BS5" s="3">
        <f>IF(AND(Sufficient_data="Yes",Include_study?="Yes"),IF(Add_0_5="Yes",(a_+d_+1)*(ab_+0.5)*(c_+0.5)/(Number_of_subjects+2)^2,(a_+d_)*b_*c_/Number_of_subjects^2),"")</f>
        <v>2.7658867845919506</v>
      </c>
      <c r="BT5" s="3">
        <f t="shared" si="39"/>
        <v>6.7569526428457509</v>
      </c>
      <c r="BU5" s="3">
        <f t="shared" si="40"/>
        <v>8.5519568103890826</v>
      </c>
      <c r="BV5" s="3">
        <f t="shared" si="41"/>
        <v>11.317843594981033</v>
      </c>
      <c r="BW5" s="3">
        <f t="shared" si="42"/>
        <v>0.41393946852066882</v>
      </c>
      <c r="BX5" s="3">
        <f t="shared" si="43"/>
        <v>10.627871402191531</v>
      </c>
      <c r="BY5" s="35">
        <f t="shared" si="44"/>
        <v>0.1967869251207259</v>
      </c>
      <c r="CA5" s="3" t="s">
        <v>290</v>
      </c>
      <c r="CB5" s="3">
        <f>lnCES_OddsRatio_MH-ABS(TINV((1-Confidence_level),k_-1))*SElnCES_MH</f>
        <v>-0.51032108047256086</v>
      </c>
      <c r="CD5" s="114"/>
      <c r="CE5" s="76">
        <f t="shared" si="45"/>
        <v>39.375547125765976</v>
      </c>
      <c r="CF5" s="3">
        <f t="shared" si="46"/>
        <v>9.5239458740397431</v>
      </c>
      <c r="CG5" s="3">
        <f t="shared" si="47"/>
        <v>-0.24942887718852058</v>
      </c>
      <c r="CH5" s="3">
        <f t="shared" si="48"/>
        <v>0.10499849676023337</v>
      </c>
      <c r="CI5" s="3">
        <f t="shared" si="49"/>
        <v>9.5239458740397431</v>
      </c>
      <c r="CJ5" s="3">
        <f t="shared" si="50"/>
        <v>9.5239458740397431</v>
      </c>
      <c r="CK5" s="35">
        <f t="shared" si="51"/>
        <v>0.19388252006127565</v>
      </c>
      <c r="CM5" s="3" t="s">
        <v>290</v>
      </c>
      <c r="CN5" s="3">
        <f>lnCES_PetoOddsRatio-ABS(TINV((1-Confidence_level),k_-1))*SElnCES_Peto</f>
        <v>-0.51728429141774757</v>
      </c>
      <c r="CP5" s="114"/>
      <c r="CQ5" s="52">
        <f t="shared" si="52"/>
        <v>4.5072115384615381E-3</v>
      </c>
      <c r="CS5" s="2" t="s">
        <v>98</v>
      </c>
      <c r="CT5" s="3">
        <f>IF(Weighting_method="Inverse variance",IF(Model_effect_size_measure="Odds Ratio",CICES_UL,""),"")</f>
        <v>0.70157391014447734</v>
      </c>
      <c r="CU5" s="3">
        <f>IF(Model_effect_size_measure="Odds Ratio",CICES_UL_MH,"")</f>
        <v>0.70157391014447734</v>
      </c>
      <c r="CV5" s="3" t="str">
        <f>IF(Model_effect_size_measure="Peto Odds Ratio",CICES_UL_Peto,"")</f>
        <v/>
      </c>
      <c r="CX5" s="131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31"/>
      <c r="FS5" s="125"/>
      <c r="FT5" s="76">
        <f>IF(AND(Include_study?="Yes",Sufficient_data="Yes"),IF(Additional_weighting_method="Inverse Variance",1/'Publication Bias Analysis'!F:F^2,IF(Additional_weighting_method="Mantel-Haenszel",Weightf_MH,Weightf_Peto)),"")</f>
        <v>10.627871402191531</v>
      </c>
      <c r="FU5" s="3">
        <f>IF(AND(Include_study?="Yes",Sufficient_data="Yes"),1/('Publication Bias Analysis'!F:F^2+IF(Additional_model="Fixed effect",0,Calculations!GH$12)),"")</f>
        <v>10.627871402191531</v>
      </c>
      <c r="FV5" s="3">
        <f>IF(AND(Include_study?="Yes",Sufficient_data="Yes"),1/('Publication Bias Analysis'!F:F^2+IF(Additional_model="Fixed effect",0,'Publication Bias Analysis'!L$32)),"")</f>
        <v>10.627871402191531</v>
      </c>
      <c r="FW5" s="3">
        <f>IF(AND(Include_study?="Yes",Sufficient_data="Yes"),'Publication Bias Analysis'!E:E-'Publication Bias Analysis'!I$37,"")</f>
        <v>0.1967869251207259</v>
      </c>
      <c r="FX5" s="3">
        <f>IF(AND(Include_study?="Yes",Sufficient_data="Yes"),IF(Additional_model="Fixed effect",1/'Publication Bias Analysis'!F:F,1/SQRT('Publication Bias Analysis'!F:F^2+GH$12)),"")</f>
        <v>3.2600416258372427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-0.76802710232006577</v>
      </c>
      <c r="FZ5" s="6">
        <f t="shared" si="80"/>
        <v>-5</v>
      </c>
      <c r="GA5" s="83">
        <f>IF(AND(Include_study?="Yes",Sufficient_data="Yes"),FZ:FZ+IF(GL:GL&lt;0,-1,1)*COUNTIF(FZ$2:FZ4,FZ:FZ),"")</f>
        <v>-5</v>
      </c>
      <c r="GB5" s="83">
        <f>IF(AND(Include_study?="Yes",Sufficient_data="Yes"),RANK(GP:GP,GP:GP,1)*IF(GO:GO&lt;0,-1,1)+IF(GO:GO&lt;0,-1,1)*COUNTIF(FZ$2:FZ4,FZ:FZ),"")</f>
        <v>-5</v>
      </c>
      <c r="GC5" s="83">
        <f>IF(AND(Include_study?="Yes",Sufficient_data="Yes"),RANK(GS:GS,GS:GS,1)*IF(GR:GR&lt;0,-1,1)+IF(GR:GR&lt;0,-1,1)*COUNTIF(FZ$2:FZ4,FZ:FZ),"")</f>
        <v>-5</v>
      </c>
      <c r="GD5" s="3">
        <f>IF(AND(Include_study?="Yes",Sufficient_data="Yes"),'Publication Bias Analysis'!E5,NA())</f>
        <v>-0.23558812753589345</v>
      </c>
      <c r="GE5" s="35">
        <f>IF(AND(Include_study?="Yes",Sufficient_data="Yes"),'Publication Bias Analysis'!F5,NA())</f>
        <v>0.30674454954027786</v>
      </c>
      <c r="GG5" s="2" t="s">
        <v>291</v>
      </c>
      <c r="GH5" s="3">
        <f>IF(Additional_valid_options="Yes",IF(Trim_and_fill="Off",'Publication Bias Analysis'!I29,'Publication Bias Analysis'!I37)+ABS(TINV((1-Additional_confidence_level),k_-1))*GI3,"")</f>
        <v>0.58961623108402839</v>
      </c>
      <c r="GI5" s="3">
        <f>IF(Trim_and_fill="Off",GH17,GH22)</f>
        <v>0.36809345944833344</v>
      </c>
      <c r="GK5" s="11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-0.1967869251207259</v>
      </c>
      <c r="GM5" s="3">
        <f t="shared" si="81"/>
        <v>0.1967869251207259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10.627871402191531</v>
      </c>
      <c r="GO5" s="3">
        <f>IF(AND(Include_study?="Yes",Sufficient_data="Yes"),IF('Publication Bias Analysis'!L$38="Left",'Publication Bias Analysis'!E:E-GW$3,GW$3-'Publication Bias Analysis'!E:E),"")</f>
        <v>-0.1967869251207259</v>
      </c>
      <c r="GP5" s="3">
        <f t="shared" si="82"/>
        <v>0.1967869251207259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10.627871402191531</v>
      </c>
      <c r="GR5" s="3">
        <f>IF(AND(Include_study?="Yes",Sufficient_data="Yes"),IF('Publication Bias Analysis'!L$38="Left",'Publication Bias Analysis'!E:E-GW$10,GW$10-'Publication Bias Analysis'!E:E),"")</f>
        <v>-0.1967869251207259</v>
      </c>
      <c r="GS5" s="3">
        <f t="shared" si="83"/>
        <v>0.1967869251207259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10.627871402191531</v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0.4842316737600747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4"/>
      <c r="HL5" s="3">
        <f t="shared" si="89"/>
        <v>-2.168809131951873</v>
      </c>
      <c r="HM5" s="35">
        <f>IF(AND(Include_study?="Yes",Sufficient_data="Yes"),Z_score-('Publication Bias Analysis'!P$3+'Publication Bias Analysis'!P$4*Inverse_standard_error),"")</f>
        <v>3.32900684055355E-2</v>
      </c>
      <c r="HO5" s="114"/>
      <c r="HP5" s="3">
        <f>IF(AND(Include_study?="Yes",Sufficient_data="Yes"),(GD:GD-SUMPRODUCT(Calculations!FT:FT,'Publication Bias Analysis'!E:E)/SUM(Calculations!FT:FT))/SQRT(Calculations!HQ:HQ),"")</f>
        <v>0.66495092061346461</v>
      </c>
      <c r="HQ5" s="3">
        <f>IF(AND(Include_study?="Yes",Sufficient_data="Yes"),GE:GE^2-1/SUM(Calculations!FT:FT),"")</f>
        <v>8.7581684963867756E-2</v>
      </c>
      <c r="HR5" s="6">
        <f t="shared" si="90"/>
        <v>1</v>
      </c>
      <c r="HS5" s="6">
        <f t="shared" si="91"/>
        <v>1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4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0</v>
      </c>
      <c r="HW5" s="114"/>
      <c r="HX5" s="20">
        <v>4</v>
      </c>
      <c r="HY5" s="3">
        <f t="shared" si="123"/>
        <v>-0.30000000000000004</v>
      </c>
      <c r="HZ5" s="35">
        <f>HZ6-HY14</f>
        <v>-0.1</v>
      </c>
      <c r="IB5" s="114"/>
      <c r="IC5" s="76">
        <f t="shared" si="92"/>
        <v>3.5645472061657034E-3</v>
      </c>
      <c r="ID5" s="3">
        <f t="shared" si="93"/>
        <v>4.5072115384615381E-3</v>
      </c>
      <c r="IE5" s="3">
        <f t="shared" si="94"/>
        <v>10.718472754275986</v>
      </c>
      <c r="IF5" s="35">
        <f t="shared" si="95"/>
        <v>10.627871402191531</v>
      </c>
      <c r="IH5" s="112" t="s">
        <v>292</v>
      </c>
      <c r="II5" s="112"/>
      <c r="IK5" s="114"/>
      <c r="IL5" s="3">
        <f>IF(AND(Include_study?="Yes",Sufficient_data="Yes"),'Publication Bias Analysis'!AV:AV,NA())</f>
        <v>-0.76802710232006577</v>
      </c>
      <c r="IM5" s="3">
        <f>IF(AND(Sufficient_data="Yes",Include_study?="Yes"),'Publication Bias Analysis'!AU:AU,NA())</f>
        <v>3.2600416258372427</v>
      </c>
      <c r="IN5" s="3">
        <f t="shared" si="96"/>
        <v>-2.168809131951873</v>
      </c>
      <c r="IO5" s="35">
        <f>IF(AND(Include_study?="Yes",Sufficient_data="Yes"),Z_score-('Publication Bias Analysis'!AY$30+'Publication Bias Analysis'!AY$31*Inverse_standard_error),"")</f>
        <v>0.64153356731408295</v>
      </c>
      <c r="IQ5" s="24" t="s">
        <v>248</v>
      </c>
      <c r="IR5" s="2" t="s">
        <v>245</v>
      </c>
      <c r="IS5" s="2" t="s">
        <v>246</v>
      </c>
      <c r="IU5" s="114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0.87500000000000011</v>
      </c>
      <c r="IX5" s="3">
        <f>IF('Publication Bias Analysis'!BF5&lt;&gt;"",'Publication Bias Analysis'!BF5,NA())</f>
        <v>1.150349380376009</v>
      </c>
      <c r="IY5" s="3">
        <f>IF('Publication Bias Analysis'!BG5&lt;&gt;"",'Publication Bias Analysis'!BG5,NA())</f>
        <v>-0.76802710232006577</v>
      </c>
      <c r="IZ5" s="3">
        <f>IF(AND(Include_study?="Yes",Sufficient_data="Yes"),'Publication Bias Analysis'!BF:BF-AVERAGE('Publication Bias Analysis'!BF:BF),"")</f>
        <v>1.1503493803760088</v>
      </c>
      <c r="JA5" s="35">
        <f>IF(AND(Include_study?="Yes",Sufficient_data="Yes"),'Publication Bias Analysis'!BG:BG-('Publication Bias Analysis'!BJ$30+'Publication Bias Analysis'!BJ$31*'Publication Bias Analysis'!BF:BF),"")</f>
        <v>0.58818821494316698</v>
      </c>
      <c r="JC5" s="24" t="s">
        <v>293</v>
      </c>
      <c r="JD5" s="2" t="s">
        <v>245</v>
      </c>
      <c r="JE5" s="2" t="s">
        <v>246</v>
      </c>
      <c r="JG5" s="114"/>
      <c r="JH5" s="3">
        <f t="shared" si="98"/>
        <v>-0.76802710232006577</v>
      </c>
      <c r="JI5" s="10">
        <f t="shared" si="124"/>
        <v>0.22123554175242888</v>
      </c>
      <c r="JJ5" s="35">
        <f t="shared" si="125"/>
        <v>-1.5085273452409933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68</v>
      </c>
      <c r="C6" s="6">
        <f>IF(AND(Include_study?="Yes",Sufficient_data="Yes"),IF(Input!b_&lt;&gt;"",Input!b_,Input!n1_-Input!a_),"")</f>
        <v>2578</v>
      </c>
      <c r="D6" s="6">
        <f>IF(AND(Include_study?="Yes",Sufficient_data="Yes"),IF(Input!c_&lt;&gt;"",Input!c_,Input!n2_-Input!d_),"")</f>
        <v>84</v>
      </c>
      <c r="E6" s="6">
        <f>IF(AND(Include_study?="Yes",Sufficient_data="Yes"),IF(Input!d_&lt;&gt;"",Input!d_,Input!n2_-Input!c_),"")</f>
        <v>2005</v>
      </c>
      <c r="F6" s="35" t="str">
        <f t="shared" si="1"/>
        <v>No</v>
      </c>
      <c r="H6" s="131"/>
      <c r="I6" s="125"/>
      <c r="J6" s="76">
        <f t="shared" si="2"/>
        <v>0.62959473936975874</v>
      </c>
      <c r="K6" s="3">
        <f t="shared" si="3"/>
        <v>-0.46267893742567012</v>
      </c>
      <c r="L6" s="3">
        <f t="shared" si="4"/>
        <v>0.16582308334470497</v>
      </c>
      <c r="M6" s="3">
        <f t="shared" si="5"/>
        <v>0.454858297217622</v>
      </c>
      <c r="N6" s="35">
        <f t="shared" si="6"/>
        <v>0.87145719505788455</v>
      </c>
      <c r="P6" s="114"/>
      <c r="Q6" s="76">
        <f t="shared" si="7"/>
        <v>0.62691448370959812</v>
      </c>
      <c r="R6" s="3">
        <f t="shared" si="8"/>
        <v>0.16602490775970161</v>
      </c>
      <c r="S6" s="3">
        <f t="shared" si="9"/>
        <v>0.45274274219649668</v>
      </c>
      <c r="T6" s="35">
        <f t="shared" si="10"/>
        <v>0.86809071301311991</v>
      </c>
      <c r="V6" s="114"/>
      <c r="W6" s="76">
        <f t="shared" si="11"/>
        <v>-1.4511458537992079E-2</v>
      </c>
      <c r="X6" s="3">
        <f t="shared" si="12"/>
        <v>5.2856028953747174E-3</v>
      </c>
      <c r="Y6" s="3">
        <f t="shared" si="13"/>
        <v>-2.4873699762104913E-2</v>
      </c>
      <c r="Z6" s="35">
        <f t="shared" si="14"/>
        <v>-4.149217313879244E-3</v>
      </c>
      <c r="AB6" s="114"/>
      <c r="AC6" s="76">
        <f t="shared" si="15"/>
        <v>0.63911384659683979</v>
      </c>
      <c r="AD6" s="3">
        <f t="shared" si="16"/>
        <v>-0.44767267678554212</v>
      </c>
      <c r="AE6" s="3">
        <f t="shared" si="17"/>
        <v>0.1604805825224557</v>
      </c>
      <c r="AF6" s="3">
        <f t="shared" si="18"/>
        <v>0.46659702517712764</v>
      </c>
      <c r="AG6" s="35">
        <f t="shared" si="19"/>
        <v>0.87541601611529452</v>
      </c>
      <c r="AI6" s="131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Van et al.</v>
      </c>
      <c r="AN6" s="6">
        <f t="shared" si="21"/>
        <v>4735</v>
      </c>
      <c r="AO6" s="3">
        <f t="shared" si="22"/>
        <v>0.62959473936975874</v>
      </c>
      <c r="AP6" s="3">
        <f t="shared" si="23"/>
        <v>36.367213614758022</v>
      </c>
      <c r="AQ6" s="3">
        <f t="shared" si="24"/>
        <v>36.367213614758022</v>
      </c>
      <c r="AR6" s="3">
        <f t="shared" si="25"/>
        <v>0.16582308334470497</v>
      </c>
      <c r="AS6" s="3">
        <f t="shared" si="26"/>
        <v>0.454858297217622</v>
      </c>
      <c r="AT6" s="3">
        <f t="shared" si="27"/>
        <v>0.87145719505788455</v>
      </c>
      <c r="AU6" s="80">
        <f t="shared" si="28"/>
        <v>0.23676997013402054</v>
      </c>
      <c r="AW6" s="44">
        <f t="shared" si="29"/>
        <v>0.62959473936975874</v>
      </c>
      <c r="AX6" s="3">
        <f t="shared" si="30"/>
        <v>0.17473644215213674</v>
      </c>
      <c r="AY6" s="35">
        <f t="shared" si="31"/>
        <v>0.24186245568812581</v>
      </c>
      <c r="BA6" s="2" t="s">
        <v>294</v>
      </c>
      <c r="BB6" s="3">
        <f>'Forest Plot'!$B$16-CES_PI_Lower_limit</f>
        <v>4.8663132280282406E-2</v>
      </c>
      <c r="BD6" s="131"/>
      <c r="BE6" s="125"/>
      <c r="BF6" s="3">
        <f t="shared" si="32"/>
        <v>-0.46267893742567012</v>
      </c>
      <c r="BG6" s="3">
        <f t="shared" si="33"/>
        <v>0.16582308334470497</v>
      </c>
      <c r="BH6" s="3">
        <f t="shared" si="34"/>
        <v>36.367213614758022</v>
      </c>
      <c r="BI6" s="3">
        <f t="shared" si="99"/>
        <v>36.367213614758022</v>
      </c>
      <c r="BJ6" s="35">
        <f t="shared" si="35"/>
        <v>-3.0303884769050771E-2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-0.51032108047256086</v>
      </c>
      <c r="BO6" s="114"/>
      <c r="BP6" s="3">
        <f t="shared" si="36"/>
        <v>28.794086589229146</v>
      </c>
      <c r="BQ6" s="3">
        <f t="shared" si="37"/>
        <v>45.734318901795142</v>
      </c>
      <c r="BR6" s="3">
        <f t="shared" si="38"/>
        <v>12.606154487744883</v>
      </c>
      <c r="BS6" s="3">
        <f>IF(AND(Sufficient_data="Yes",Include_study?="Yes"),IF(Add_0_5="Yes",(a_+d_+1)*(ab_+0.5)*(c_+0.5)/(Number_of_subjects+2)^2,(a_+d_)*b_*c_/Number_of_subjects^2),"")</f>
        <v>20.022649014450124</v>
      </c>
      <c r="BT6" s="3">
        <f t="shared" si="39"/>
        <v>16.187932101484261</v>
      </c>
      <c r="BU6" s="3">
        <f t="shared" si="40"/>
        <v>25.711669887345021</v>
      </c>
      <c r="BV6" s="3">
        <f t="shared" si="41"/>
        <v>45.734318901795142</v>
      </c>
      <c r="BW6" s="3">
        <f t="shared" si="42"/>
        <v>3.215937031858393E-2</v>
      </c>
      <c r="BX6" s="3">
        <f t="shared" si="43"/>
        <v>36.367213614758022</v>
      </c>
      <c r="BY6" s="35">
        <f t="shared" si="44"/>
        <v>-3.0303884769050771E-2</v>
      </c>
      <c r="CA6" s="3" t="s">
        <v>295</v>
      </c>
      <c r="CB6" s="3">
        <f>lnCES_OddsRatio_MH+ABS(TINV((1-Confidence_level),k_-1))*SElnCES_MH</f>
        <v>-0.35442902484067784</v>
      </c>
      <c r="CD6" s="114"/>
      <c r="CE6" s="76">
        <f t="shared" si="45"/>
        <v>84.940232312565996</v>
      </c>
      <c r="CF6" s="3">
        <f t="shared" si="46"/>
        <v>36.278849398976135</v>
      </c>
      <c r="CG6" s="3">
        <f t="shared" si="47"/>
        <v>-0.46694513726899189</v>
      </c>
      <c r="CH6" s="3">
        <f t="shared" si="48"/>
        <v>2.7564269996617426E-2</v>
      </c>
      <c r="CI6" s="3">
        <f t="shared" si="49"/>
        <v>36.278849398976135</v>
      </c>
      <c r="CJ6" s="3">
        <f t="shared" si="50"/>
        <v>36.278849398976135</v>
      </c>
      <c r="CK6" s="35">
        <f t="shared" si="51"/>
        <v>-2.3633740019195659E-2</v>
      </c>
      <c r="CM6" s="3" t="s">
        <v>295</v>
      </c>
      <c r="CN6" s="3">
        <f>lnCES_PetoOddsRatio+ABS(TINV((1-Confidence_level),k_-1))*SElnCES_Peto</f>
        <v>-0.3693385030818449</v>
      </c>
      <c r="CP6" s="114"/>
      <c r="CQ6" s="52">
        <f t="shared" si="52"/>
        <v>4.0210627094303494E-2</v>
      </c>
      <c r="CS6" s="2" t="s">
        <v>296</v>
      </c>
      <c r="CT6" s="3">
        <f>IF(Weighting_method="Inverse variance",IF(Model_effect_size_measure="Odds Ratio",PICES_LL,""),"")</f>
        <v>0.60030280235808386</v>
      </c>
      <c r="CU6" s="3">
        <f>IF(Model_effect_size_measure="Odds Ratio",PICES_LL_MH,"")</f>
        <v>0.60030280235808386</v>
      </c>
      <c r="CV6" s="3" t="str">
        <f>IF(Model_effect_size_measure="Peto Odds Ratio",PICES_LL_Peto,"")</f>
        <v/>
      </c>
      <c r="CX6" s="131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297</v>
      </c>
      <c r="FP6" s="3" t="str">
        <f>IF(FP3&lt;&gt;"",SUM(FH:FH),"")</f>
        <v/>
      </c>
      <c r="FR6" s="131"/>
      <c r="FS6" s="125"/>
      <c r="FT6" s="76">
        <f>IF(AND(Include_study?="Yes",Sufficient_data="Yes"),IF(Additional_weighting_method="Inverse Variance",1/'Publication Bias Analysis'!F:F^2,IF(Additional_weighting_method="Mantel-Haenszel",Weightf_MH,Weightf_Peto)),"")</f>
        <v>36.367213614758022</v>
      </c>
      <c r="FU6" s="3">
        <f>IF(AND(Include_study?="Yes",Sufficient_data="Yes"),1/('Publication Bias Analysis'!F:F^2+IF(Additional_model="Fixed effect",0,Calculations!GH$12)),"")</f>
        <v>36.367213614758022</v>
      </c>
      <c r="FV6" s="3">
        <f>IF(AND(Include_study?="Yes",Sufficient_data="Yes"),1/('Publication Bias Analysis'!F:F^2+IF(Additional_model="Fixed effect",0,'Publication Bias Analysis'!L$32)),"")</f>
        <v>36.367213614758022</v>
      </c>
      <c r="FW6" s="3">
        <f>IF(AND(Include_study?="Yes",Sufficient_data="Yes"),'Publication Bias Analysis'!E:E-'Publication Bias Analysis'!I$37,"")</f>
        <v>-3.0303884769050771E-2</v>
      </c>
      <c r="FX6" s="3">
        <f>IF(AND(Include_study?="Yes",Sufficient_data="Yes"),IF(Additional_model="Fixed effect",1/'Publication Bias Analysis'!F:F,1/SQRT('Publication Bias Analysis'!F:F^2+GH$12)),"")</f>
        <v>6.0305234942547088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-2.7901962024423077</v>
      </c>
      <c r="FZ6" s="6">
        <f t="shared" si="80"/>
        <v>3</v>
      </c>
      <c r="GA6" s="83">
        <f>IF(AND(Include_study?="Yes",Sufficient_data="Yes"),FZ:FZ+IF(GL:GL&lt;0,-1,1)*COUNTIF(FZ$2:FZ5,FZ:FZ),"")</f>
        <v>3</v>
      </c>
      <c r="GB6" s="83">
        <f>IF(AND(Include_study?="Yes",Sufficient_data="Yes"),RANK(GP:GP,GP:GP,1)*IF(GO:GO&lt;0,-1,1)+IF(GO:GO&lt;0,-1,1)*COUNTIF(FZ$2:FZ5,FZ:FZ),"")</f>
        <v>3</v>
      </c>
      <c r="GC6" s="83">
        <f>IF(AND(Include_study?="Yes",Sufficient_data="Yes"),RANK(GS:GS,GS:GS,1)*IF(GR:GR&lt;0,-1,1)+IF(GR:GR&lt;0,-1,1)*COUNTIF(FZ$2:FZ5,FZ:FZ),"")</f>
        <v>3</v>
      </c>
      <c r="GD6" s="3">
        <f>IF(AND(Include_study?="Yes",Sufficient_data="Yes"),'Publication Bias Analysis'!E6,NA())</f>
        <v>-0.46267893742567012</v>
      </c>
      <c r="GE6" s="35">
        <f>IF(AND(Include_study?="Yes",Sufficient_data="Yes"),'Publication Bias Analysis'!F6,NA())</f>
        <v>0.16582308334470497</v>
      </c>
      <c r="GG6" s="24" t="s">
        <v>298</v>
      </c>
      <c r="GH6" s="2" t="s">
        <v>245</v>
      </c>
      <c r="GI6" s="2" t="s">
        <v>246</v>
      </c>
      <c r="GK6" s="114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3.0303884769050771E-2</v>
      </c>
      <c r="GM6" s="3">
        <f t="shared" si="81"/>
        <v>3.0303884769050771E-2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36.367213614758022</v>
      </c>
      <c r="GO6" s="3">
        <f>IF(AND(Include_study?="Yes",Sufficient_data="Yes"),IF('Publication Bias Analysis'!L$38="Left",'Publication Bias Analysis'!E:E-GW$3,GW$3-'Publication Bias Analysis'!E:E),"")</f>
        <v>3.0303884769050771E-2</v>
      </c>
      <c r="GP6" s="3">
        <f t="shared" si="82"/>
        <v>3.0303884769050771E-2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36.367213614758022</v>
      </c>
      <c r="GR6" s="3">
        <f>IF(AND(Include_study?="Yes",Sufficient_data="Yes"),IF('Publication Bias Analysis'!L$38="Left",'Publication Bias Analysis'!E:E-GW$10,GW$10-'Publication Bias Analysis'!E:E),"")</f>
        <v>3.0303884769050771E-2</v>
      </c>
      <c r="GS6" s="3">
        <f t="shared" si="83"/>
        <v>3.0303884769050771E-2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36.367213614758022</v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4"/>
      <c r="HL6" s="3">
        <f t="shared" si="89"/>
        <v>0.60167273646559316</v>
      </c>
      <c r="HM6" s="35">
        <f>IF(AND(Include_study?="Yes",Sufficient_data="Yes"),Z_score-('Publication Bias Analysis'!P$3+'Publication Bias Analysis'!P$4*Inverse_standard_error),"")</f>
        <v>-8.8419947397077259E-2</v>
      </c>
      <c r="HO6" s="114"/>
      <c r="HP6" s="3">
        <f>IF(AND(Include_study?="Yes",Sufficient_data="Yes"),(GD:GD-SUMPRODUCT(Calculations!FT:FT,'Publication Bias Analysis'!E:E)/SUM(Calculations!FT:FT))/SQRT(Calculations!HQ:HQ),"")</f>
        <v>-0.20918261837807128</v>
      </c>
      <c r="HQ6" s="3">
        <f>IF(AND(Include_study?="Yes",Sufficient_data="Yes"),GE:GE^2-1/SUM(Calculations!FT:FT),"")</f>
        <v>2.0986761261144744E-2</v>
      </c>
      <c r="HR6" s="6">
        <f t="shared" si="90"/>
        <v>4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3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1</v>
      </c>
      <c r="HW6" s="114"/>
      <c r="HX6" s="20">
        <v>5</v>
      </c>
      <c r="HY6" s="3">
        <f t="shared" si="123"/>
        <v>-0.1</v>
      </c>
      <c r="HZ6" s="35">
        <f>1/2*HY14</f>
        <v>0.1</v>
      </c>
      <c r="IB6" s="114"/>
      <c r="IC6" s="76">
        <f t="shared" si="92"/>
        <v>2.5699168556311415E-2</v>
      </c>
      <c r="ID6" s="3">
        <f t="shared" si="93"/>
        <v>4.0210627094303494E-2</v>
      </c>
      <c r="IE6" s="3">
        <f t="shared" si="94"/>
        <v>38.828893595885681</v>
      </c>
      <c r="IF6" s="35">
        <f t="shared" si="95"/>
        <v>36.367213614758022</v>
      </c>
      <c r="IH6" s="3">
        <v>0</v>
      </c>
      <c r="II6" s="3">
        <v>0</v>
      </c>
      <c r="IK6" s="114"/>
      <c r="IL6" s="3">
        <f>IF(AND(Include_study?="Yes",Sufficient_data="Yes"),'Publication Bias Analysis'!AV:AV,NA())</f>
        <v>-2.7901962024423077</v>
      </c>
      <c r="IM6" s="3">
        <f>IF(AND(Sufficient_data="Yes",Include_study?="Yes"),'Publication Bias Analysis'!AU:AU,NA())</f>
        <v>6.0305234942547088</v>
      </c>
      <c r="IN6" s="3">
        <f t="shared" si="96"/>
        <v>0.60167273646559316</v>
      </c>
      <c r="IO6" s="35">
        <f>IF(AND(Include_study?="Yes",Sufficient_data="Yes"),Z_score-('Publication Bias Analysis'!AY$30+'Publication Bias Analysis'!AY$31*Inverse_standard_error),"")</f>
        <v>-0.18274828906694784</v>
      </c>
      <c r="IQ6" s="2" t="s">
        <v>101</v>
      </c>
      <c r="IR6" s="3">
        <v>0</v>
      </c>
      <c r="IS6" s="3">
        <f>ABS(TINV((1-Additional_confidence_level),k_-1))*-1</f>
        <v>-2.776445105197793</v>
      </c>
      <c r="IU6" s="114"/>
      <c r="IV6" s="6">
        <f>IF('Publication Bias Analysis'!BG:BG&lt;&gt;"",RANK('Publication Bias Analysis'!BG:BG,'Publication Bias Analysis'!BG:BG,1)+COUNTIF('Publication Bias Analysis'!BG$2:BG5,'Publication Bias Analysis'!BG6),"")</f>
        <v>2</v>
      </c>
      <c r="IW6" s="3">
        <f t="shared" si="97"/>
        <v>0.31250000000000006</v>
      </c>
      <c r="IX6" s="3">
        <f>IF('Publication Bias Analysis'!BF6&lt;&gt;"",'Publication Bias Analysis'!BF6,NA())</f>
        <v>-0.4887764111146693</v>
      </c>
      <c r="IY6" s="3">
        <f>IF('Publication Bias Analysis'!BG6&lt;&gt;"",'Publication Bias Analysis'!BG6,NA())</f>
        <v>-2.7901962024423077</v>
      </c>
      <c r="IZ6" s="3">
        <f>IF(AND(Include_study?="Yes",Sufficient_data="Yes"),'Publication Bias Analysis'!BF:BF-AVERAGE('Publication Bias Analysis'!BF:BF),"")</f>
        <v>-0.48877641111466946</v>
      </c>
      <c r="JA6" s="35">
        <f>IF(AND(Include_study?="Yes",Sufficient_data="Yes"),'Publication Bias Analysis'!BG:BG-('Publication Bias Analysis'!BJ$30+'Publication Bias Analysis'!BJ$31*'Publication Bias Analysis'!BF:BF),"")</f>
        <v>-0.10479241542019269</v>
      </c>
      <c r="JC6" s="2" t="s">
        <v>285</v>
      </c>
      <c r="JD6" s="3">
        <f>MIN('Publication Bias Analysis'!BF:BF)</f>
        <v>-1.1503493803760083</v>
      </c>
      <c r="JE6" s="3">
        <f>'Publication Bias Analysis'!BJ30</f>
        <v>-2.2890486242173691</v>
      </c>
      <c r="JG6" s="114"/>
      <c r="JH6" s="3">
        <f t="shared" si="98"/>
        <v>-2.7901962024423077</v>
      </c>
      <c r="JI6" s="10">
        <f t="shared" si="124"/>
        <v>2.6338054644977626E-3</v>
      </c>
      <c r="JJ6" s="35">
        <f t="shared" si="125"/>
        <v>-5.9393255339322524</v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1"/>
      <c r="I7" s="12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4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4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4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1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299</v>
      </c>
      <c r="BB7" s="3">
        <f>CES_PI_Upper_limit-'Forest Plot'!$B$16</f>
        <v>5.2607975506111071E-2</v>
      </c>
      <c r="BD7" s="131"/>
      <c r="BE7" s="12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-0.35442902484067784</v>
      </c>
      <c r="BO7" s="114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300</v>
      </c>
      <c r="CB7" s="3">
        <f>lnCES_OddsRatio_MH-ABS(TINV((1-Confidence_level),k_-1))*SQRT(T2_MH+SElnCES_MH^2)</f>
        <v>-0.51032108047256086</v>
      </c>
      <c r="CD7" s="114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300</v>
      </c>
      <c r="CN7" s="3">
        <f>lnCES_PetoOddsRatio-ABS(TINV((1-Confidence_level),k_-1))*SQRT(T2_Peto+SElnCES_Peto^2)</f>
        <v>-0.51728429141774757</v>
      </c>
      <c r="CP7" s="114"/>
      <c r="CQ7" s="52" t="str">
        <f t="shared" si="52"/>
        <v/>
      </c>
      <c r="CS7" s="2" t="s">
        <v>301</v>
      </c>
      <c r="CT7" s="3">
        <f>IF(Weighting_method="Inverse variance",IF(Model_effect_size_measure="Odds Ratio",PICES_UL,""),"")</f>
        <v>0.70157391014447734</v>
      </c>
      <c r="CU7" s="3">
        <f>IF(Model_effect_size_measure="Odds Ratio",PICES_UL_MH,"")</f>
        <v>0.70157391014447734</v>
      </c>
      <c r="CV7" s="3" t="str">
        <f>IF(Model_effect_size_measure="Peto Odds Ratio",PICES_UL_Peto,"")</f>
        <v/>
      </c>
      <c r="CX7" s="131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1"/>
      <c r="FS7" s="12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248</v>
      </c>
      <c r="GH7" s="3">
        <f>IF(Trim_and_fill="Off",'Publication Bias Analysis'!I29,'Publication Bias Analysis'!I37)</f>
        <v>-0.43237505265661935</v>
      </c>
      <c r="GI7" s="3">
        <v>0</v>
      </c>
      <c r="GK7" s="114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302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4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4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4"/>
      <c r="HX7" s="20">
        <v>6</v>
      </c>
      <c r="HY7" s="3">
        <f t="shared" si="123"/>
        <v>0.1</v>
      </c>
      <c r="HZ7" s="35">
        <f>HZ6+HY14</f>
        <v>0.30000000000000004</v>
      </c>
      <c r="IB7" s="114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4.0210627094303494E-2</v>
      </c>
      <c r="II7" s="3">
        <f>EXP(SUMPRODUCT(LogRiskRatio,IE:IE)/SUM(IE:IE))*MAX('Publication Bias Analysis'!AH:AH)</f>
        <v>2.6391456675678545E-2</v>
      </c>
      <c r="IK7" s="114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288</v>
      </c>
      <c r="IR7" s="3">
        <f>MAX(Inverse_standard_error)</f>
        <v>6.3213918121584731</v>
      </c>
      <c r="IS7" s="3">
        <f>IR7*'Publication Bias Analysis'!AY31+IS6</f>
        <v>-5.509657222842935</v>
      </c>
      <c r="IU7" s="114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291</v>
      </c>
      <c r="JD7" s="3">
        <f>MAX('Publication Bias Analysis'!BF:BF)</f>
        <v>1.150349380376009</v>
      </c>
      <c r="JE7" s="3">
        <f>'Publication Bias Analysis'!BJ30</f>
        <v>-2.2890486242173691</v>
      </c>
      <c r="JG7" s="114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1"/>
      <c r="I8" s="12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4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4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4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1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303</v>
      </c>
      <c r="BB8" s="9">
        <f>IF(BB2&lt;&gt;"",MAX(Weight_lookup),"")</f>
        <v>0.26016089082347649</v>
      </c>
      <c r="BD8" s="131"/>
      <c r="BE8" s="12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4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304</v>
      </c>
      <c r="CB8" s="3">
        <f>lnCES_OddsRatio_MH+ABS(TINV((1-Confidence_level),k_-1))*SQRT(T2_MH+SElnCES_MH^2)</f>
        <v>-0.35442902484067784</v>
      </c>
      <c r="CD8" s="114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304</v>
      </c>
      <c r="CN8" s="3">
        <f>lnCES_PetoOddsRatio+ABS(TINV((1-Confidence_level),k_-1))*SQRT(T2_Peto+SElnCES_Peto^2)</f>
        <v>-0.3693385030818449</v>
      </c>
      <c r="CP8" s="114"/>
      <c r="CQ8" s="52" t="str">
        <f t="shared" si="52"/>
        <v/>
      </c>
      <c r="CX8" s="131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305</v>
      </c>
      <c r="FP8" s="6">
        <f>COUNTIFS(Include_study?,"Yes",Sufficient_data,"Yes",Moderator,"&lt;&gt;")</f>
        <v>0</v>
      </c>
      <c r="FR8" s="131"/>
      <c r="FS8" s="12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249</v>
      </c>
      <c r="GH8" s="3">
        <f>IF(Trim_and_fill="Off",'Publication Bias Analysis'!I29,'Publication Bias Analysis'!I37)</f>
        <v>-0.43237505265661935</v>
      </c>
      <c r="GI8" s="3">
        <f>IF(Trim_and_fill="Off",GH17,GH22)</f>
        <v>0.36809345944833344</v>
      </c>
      <c r="GK8" s="114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4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4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4"/>
      <c r="HX8" s="20">
        <v>7</v>
      </c>
      <c r="HY8" s="3">
        <f t="shared" si="123"/>
        <v>0.30000000000000004</v>
      </c>
      <c r="HZ8" s="35">
        <f>HZ7+HY14</f>
        <v>0.5</v>
      </c>
      <c r="IB8" s="114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4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249</v>
      </c>
      <c r="IR8" s="2" t="s">
        <v>245</v>
      </c>
      <c r="IS8" s="2" t="s">
        <v>246</v>
      </c>
      <c r="IU8" s="114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4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1"/>
      <c r="I9" s="12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1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1"/>
      <c r="BE9" s="12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0.64896593463836627</v>
      </c>
      <c r="BO9" s="11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4"/>
      <c r="CQ9" s="52" t="str">
        <f t="shared" si="52"/>
        <v/>
      </c>
      <c r="CS9" s="112" t="s">
        <v>152</v>
      </c>
      <c r="CT9" s="112"/>
      <c r="CU9" s="112"/>
      <c r="CV9" s="112"/>
      <c r="CX9" s="131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1"/>
      <c r="FS9" s="12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2" t="s">
        <v>105</v>
      </c>
      <c r="GW9" s="11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4"/>
      <c r="HX9" s="20">
        <v>8</v>
      </c>
      <c r="HY9" s="3">
        <f t="shared" si="123"/>
        <v>0.5</v>
      </c>
      <c r="HZ9" s="35">
        <f>HZ8+HY14</f>
        <v>0.7</v>
      </c>
      <c r="IB9" s="11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2.776445105197793</v>
      </c>
      <c r="IU9" s="11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1"/>
      <c r="I10" s="12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4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4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4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1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1"/>
      <c r="BE10" s="12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4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306</v>
      </c>
      <c r="CB10" s="3">
        <f>IF(Meta_analysis_model="Fixed effect model",SUMPRODUCT(Weightf_MH,OddsRatio)/SUM(Weightf_MH),EXP(SUMPRODUCT(Weight_MH,LogOddsRatio)/SUM(Weight_MH)))</f>
        <v>0.64896593463836627</v>
      </c>
      <c r="CD10" s="114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307</v>
      </c>
      <c r="CN10" s="3">
        <f>EXP(lnCES_PetoOddsRatio)</f>
        <v>0.64190728779820772</v>
      </c>
      <c r="CP10" s="114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31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308</v>
      </c>
      <c r="FP10" s="1"/>
      <c r="FR10" s="131"/>
      <c r="FS10" s="12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2" t="s">
        <v>59</v>
      </c>
      <c r="GH10" s="112"/>
      <c r="GK10" s="114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-0.43237505265661935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4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4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4"/>
      <c r="HX10" s="54">
        <v>9</v>
      </c>
      <c r="HY10" s="32">
        <f t="shared" si="123"/>
        <v>0.7</v>
      </c>
      <c r="HZ10" s="39"/>
      <c r="IB10" s="114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4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288</v>
      </c>
      <c r="IR10" s="3">
        <f>MAX(Inverse_standard_error)</f>
        <v>6.3213918121584731</v>
      </c>
      <c r="IS10" s="3">
        <f>IR10*'Publication Bias Analysis'!AY31+IS9</f>
        <v>4.3232987552650926E-2</v>
      </c>
      <c r="IU10" s="114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4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1"/>
      <c r="I11" s="12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1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1"/>
      <c r="BE11" s="12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309</v>
      </c>
      <c r="BM11" s="3">
        <f>IF(Model_effect_size_measure="Risk Difference",CES_IV-ABS(TINV((1-Confidence_level),k_-1))*SECES_Risk_Difference,EXP(CIlnCES_LL))</f>
        <v>0.60030280235808386</v>
      </c>
      <c r="BO11" s="11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309</v>
      </c>
      <c r="CB11" s="3">
        <f>EXP(CIlnCES_LL_MH)</f>
        <v>0.60030280235808386</v>
      </c>
      <c r="CD11" s="11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309</v>
      </c>
      <c r="CN11" s="3">
        <f>EXP(CIlnCES_LL_Peto)</f>
        <v>0.596137286826806</v>
      </c>
      <c r="CP11" s="114"/>
      <c r="CQ11" s="52" t="str">
        <f t="shared" si="52"/>
        <v/>
      </c>
      <c r="CS11" s="2" t="s">
        <v>283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0.65698024923789677</v>
      </c>
      <c r="CU11" s="3">
        <f>IF(Model_effect_size_measure="Odds Ratio",CES_OddsRatio_MH/(1-MEDIAN(Control_group_risk)+(MEDIAN(Control_group_risk)*CES_OddsRatio_MH)),NA())</f>
        <v>0.65698024923789677</v>
      </c>
      <c r="CV11" s="3" t="e">
        <f>IF(Model_effect_size_measure="Peto Odds Ratio",CES_PetoOddsRatio/(1-MEDIAN(Control_group_risk)+(MEDIAN(Control_group_risk)*CES_PetoOddsRatio)),NA())</f>
        <v>#N/A</v>
      </c>
      <c r="CX11" s="131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198</v>
      </c>
      <c r="EY11" s="3" t="e">
        <f>IF(Subgroup_valid_options="Yes",IF(Subgroup_effect_size_measure="Risk Difference",EY9-ABS(TINV((1-Subgroup_confidence_level),Subgroup_k-1))*EY10,EXP(EY4)),"")</f>
        <v>#DIV/0!</v>
      </c>
      <c r="FA11" s="13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245</v>
      </c>
      <c r="FP11" s="2" t="s">
        <v>246</v>
      </c>
      <c r="FR11" s="131"/>
      <c r="FS11" s="12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0.4842316737600747</v>
      </c>
      <c r="GK11" s="11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2" t="s">
        <v>59</v>
      </c>
      <c r="GW11" s="11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4"/>
      <c r="IB11" s="11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1"/>
      <c r="I12" s="12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1"/>
      <c r="BE12" s="12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310</v>
      </c>
      <c r="BM12" s="3">
        <f>IF(Model_effect_size_measure="Risk Difference",CES_IV+ABS(TINV((1-Confidence_level),k_-1))*SECES_Risk_Difference,EXP(CIlnCES_UL))</f>
        <v>0.70157391014447734</v>
      </c>
      <c r="BO12" s="11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310</v>
      </c>
      <c r="CB12" s="3">
        <f>EXP(CIlnCES_UL_MH)</f>
        <v>0.70157391014447734</v>
      </c>
      <c r="CD12" s="11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310</v>
      </c>
      <c r="CN12" s="3">
        <f>EXP(CIlnCES_UL_Peto)</f>
        <v>0.69119140042679672</v>
      </c>
      <c r="CP12" s="114"/>
      <c r="CQ12" s="52" t="str">
        <f t="shared" si="52"/>
        <v/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0.60875833228891862</v>
      </c>
      <c r="CU12" s="3">
        <f>IF(Model_effect_size_measure="Odds Ratio",CICES_LL_MH/(1-MEDIAN(Control_group_risk)+(MEDIAN(Control_group_risk)*CICES_LL_MH)),"")</f>
        <v>0.60875833228891862</v>
      </c>
      <c r="CV12" s="3" t="str">
        <f>IF(Model_effect_size_measure="Peto Odds Ratio",CICES_LL_Peto/(1-MEDIAN(Control_group_risk)+(MEDIAN(Control_group_risk)*CICES_LL_Peto)),"")</f>
        <v/>
      </c>
      <c r="CX12" s="13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199</v>
      </c>
      <c r="EY12" s="3" t="e">
        <f>IF(Subgroup_valid_options="Yes",IF(Subgroup_effect_size_measure="Risk Difference",EY9+ABS(TINV((1-Subgroup_confidence_level),Subgroup_k-1))*EY10,EXP(EY5)),"")</f>
        <v>#DIV/0!</v>
      </c>
      <c r="FA12" s="13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1"/>
      <c r="FS12" s="12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148</v>
      </c>
      <c r="GH12" s="3">
        <f>MAX(0,(GH11-(k_-1))/((SUM(Calculations!FT:FT))-SUMPRODUCT(Calculations!FT:FT,Calculations!FT:FT)/SUM(Calculations!FT:FT)))</f>
        <v>0</v>
      </c>
      <c r="GK12" s="11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0.4842316737600747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4"/>
      <c r="HX12" s="133" t="s">
        <v>311</v>
      </c>
      <c r="HY12" s="112"/>
      <c r="IB12" s="11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1"/>
      <c r="I13" s="12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1"/>
      <c r="BE13" s="12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312</v>
      </c>
      <c r="BM13" s="3">
        <f>IF(Model_effect_size_measure="Risk Difference",CES_IV-ABS(TINV((1-Confidence_level),k_-1))*SQRT(T2_+SECES_Risk_Difference^2),EXP(PIlnCES_LL))</f>
        <v>0.60030280235808386</v>
      </c>
      <c r="BO13" s="11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312</v>
      </c>
      <c r="CB13" s="3">
        <f>EXP(PIlnCES_LL_MH)</f>
        <v>0.60030280235808386</v>
      </c>
      <c r="CD13" s="11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312</v>
      </c>
      <c r="CN13" s="3">
        <f>EXP(PIlnCES_LL_Peto)</f>
        <v>0.596137286826806</v>
      </c>
      <c r="CP13" s="114"/>
      <c r="CQ13" s="52" t="str">
        <f t="shared" si="52"/>
        <v/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0.70892585795231911</v>
      </c>
      <c r="CU13" s="3">
        <f>IF(Model_effect_size_measure="Odds Ratio",CICES_UL_MH/(1-MEDIAN(Control_group_risk)+(MEDIAN(Control_group_risk)*CICES_UL_MH)),"")</f>
        <v>0.70892585795231911</v>
      </c>
      <c r="CV13" s="3" t="str">
        <f>IF(Model_effect_size_measure="Peto Odds Ratio",CICES_UL_Peto/(1-MEDIAN(Control_group_risk)+(MEDIAN(Control_group_risk)*CICES_UL_Peto)),"")</f>
        <v/>
      </c>
      <c r="CX13" s="13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313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1"/>
      <c r="FS13" s="12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4"/>
      <c r="HX13" s="2" t="s">
        <v>314</v>
      </c>
      <c r="HY13" s="3">
        <f>MAX(MAX(Standardized_residual),ABS(MIN(Standardized_residual)))</f>
        <v>0.66495092061346461</v>
      </c>
      <c r="IB13" s="11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1"/>
      <c r="I14" s="12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1"/>
      <c r="BE14" s="12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315</v>
      </c>
      <c r="BM14" s="3">
        <f>IF(Model_effect_size_measure="Risk Difference",CES_IV+ABS(TINV((1-Confidence_level),k_-1))*SQRT(T2_+SECES_Risk_Difference^2),EXP(PIlnCES_UL))</f>
        <v>0.70157391014447734</v>
      </c>
      <c r="BO14" s="11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315</v>
      </c>
      <c r="CB14" s="3">
        <f>EXP(PIlnCES_UL_MH)</f>
        <v>0.70157391014447734</v>
      </c>
      <c r="CD14" s="11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315</v>
      </c>
      <c r="CN14" s="3">
        <f>EXP(PIlnCES_UL_Peto)</f>
        <v>0.69119140042679672</v>
      </c>
      <c r="CP14" s="114"/>
      <c r="CQ14" s="52" t="str">
        <f t="shared" si="52"/>
        <v/>
      </c>
      <c r="CS14" s="2" t="s">
        <v>296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0.60875833228891862</v>
      </c>
      <c r="CU14" s="3">
        <f>IF(Model_effect_size_measure="Odds Ratio",PICES_LL_MH/(1-MEDIAN(Control_group_risk)+(MEDIAN(Control_group_risk)*PICES_LL_MH)),"")</f>
        <v>0.60875833228891862</v>
      </c>
      <c r="CV14" s="3" t="str">
        <f>IF(Model_effect_size_measure="Peto Odds Ratio",PICES_LL_Peto/(1-MEDIAN(Control_group_risk)+(MEDIAN(Control_group_risk)*PICES_LL_Peto)),"")</f>
        <v/>
      </c>
      <c r="CX14" s="13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316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1"/>
      <c r="FS14" s="12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2" t="s">
        <v>317</v>
      </c>
      <c r="GH14" s="112"/>
      <c r="GK14" s="11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302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4"/>
      <c r="HX14" s="2" t="s">
        <v>311</v>
      </c>
      <c r="HY14" s="21">
        <f>ROUND(HY13/4,1)</f>
        <v>0.2</v>
      </c>
      <c r="IB14" s="11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1"/>
      <c r="I15" s="12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1"/>
      <c r="BE15" s="12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4"/>
      <c r="CQ15" s="52" t="str">
        <f t="shared" si="52"/>
        <v/>
      </c>
      <c r="CS15" s="2" t="s">
        <v>301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0.70892585795231911</v>
      </c>
      <c r="CU15" s="3">
        <f>IF(Model_effect_size_measure="Odds Ratio",PICES_UL_MH/(1-MEDIAN(Control_group_risk)+(MEDIAN(Control_group_risk)*PICES_UL_MH)),"")</f>
        <v>0.70892585795231911</v>
      </c>
      <c r="CV15" s="3" t="str">
        <f>IF(Model_effect_size_measure="Peto Odds Ratio",PICES_UL_Peto/(1-MEDIAN(Control_group_risk)+(MEDIAN(Control_group_risk)*PICES_UL_Peto)),"")</f>
        <v/>
      </c>
      <c r="CX15" s="13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1"/>
      <c r="FS15" s="12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318</v>
      </c>
      <c r="GH15" s="3">
        <f>IF(Additional_valid_options="Yes",'Publication Bias Analysis'!I29-'Publication Bias Analysis'!I31,NA())</f>
        <v>0.22402546482785812</v>
      </c>
      <c r="GK15" s="11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4"/>
      <c r="IB15" s="11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1"/>
      <c r="I16" s="12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1"/>
      <c r="BE16" s="12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-15.401241502554024</v>
      </c>
      <c r="BO16" s="11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-15.401241502554024</v>
      </c>
      <c r="CD16" s="11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-16.638929337793115</v>
      </c>
      <c r="CP16" s="114"/>
      <c r="CQ16" s="52" t="str">
        <f t="shared" si="52"/>
        <v/>
      </c>
      <c r="CX16" s="13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2" t="s">
        <v>319</v>
      </c>
      <c r="EY16" s="112"/>
      <c r="FA16" s="13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1"/>
      <c r="FS16" s="12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320</v>
      </c>
      <c r="GH16" s="3">
        <f>IF(Additional_valid_options="Yes",'Publication Bias Analysis'!I29-'Publication Bias Analysis'!I33,NA())</f>
        <v>0.22402546482785812</v>
      </c>
      <c r="GK16" s="11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2" t="s">
        <v>105</v>
      </c>
      <c r="GW16" s="11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4"/>
      <c r="IB16" s="11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1"/>
      <c r="I17" s="12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1"/>
      <c r="BE17" s="12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4"/>
      <c r="CQ17" s="52" t="str">
        <f t="shared" si="52"/>
        <v/>
      </c>
      <c r="CS17" s="112" t="s">
        <v>171</v>
      </c>
      <c r="CT17" s="112"/>
      <c r="CU17" s="112"/>
      <c r="CV17" s="112"/>
      <c r="CX17" s="13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 t="e">
        <f>SUMPRODUCT(Subgroup_weightf,Subgroup_effect_size,Subgroup_effect_size)-SUMPRODUCT(Subgroup_weightf,Subgroup_effect_size)^2/SUM(Subgroup_weightf)</f>
        <v>#DIV/0!</v>
      </c>
      <c r="FA17" s="13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1"/>
      <c r="FS17" s="12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321</v>
      </c>
      <c r="GH17" s="3">
        <f>IF(Additional_valid_options="Yes",MAX('Publication Bias Analysis'!F:F)*1.1,NA())</f>
        <v>0.33741900449430567</v>
      </c>
      <c r="GK17" s="11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-0.43237505265661935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4"/>
      <c r="IB17" s="11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1"/>
      <c r="I18" s="12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1"/>
      <c r="BE18" s="12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1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2" t="s">
        <v>59</v>
      </c>
      <c r="CB18" s="112"/>
      <c r="CD18" s="11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14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 t="e">
        <f>CHIDIST(EY17,Subgroup_k-1)</f>
        <v>#DIV/0!</v>
      </c>
      <c r="FA18" s="13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1"/>
      <c r="FS18" s="12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2" t="s">
        <v>59</v>
      </c>
      <c r="GW18" s="11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4"/>
      <c r="IB18" s="11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1"/>
      <c r="I19" s="12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1"/>
      <c r="BE19" s="12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0.4842316737600747</v>
      </c>
      <c r="BO19" s="11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0.4842810144169285</v>
      </c>
      <c r="CD19" s="11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0.42212776067843905</v>
      </c>
      <c r="CP19" s="114"/>
      <c r="CQ19" s="52" t="str">
        <f t="shared" si="52"/>
        <v/>
      </c>
      <c r="CS19" s="2" t="s">
        <v>283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-1.1920210817521648E-2</v>
      </c>
      <c r="CU19" s="3">
        <f>IF(Model_effect_size_measure="Odds Ratio",CU11*MEDIAN(Control_group_risk)-MEDIAN(Control_group_risk),NA())</f>
        <v>-1.1920210817521648E-2</v>
      </c>
      <c r="CV19" s="3" t="e">
        <f>IF(Model_effect_size_measure="Peto Odds Ratio",CV11*MEDIAN(Control_group_risk)-MEDIAN(Control_group_risk),NA())</f>
        <v>#N/A</v>
      </c>
      <c r="CX19" s="13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 t="e">
        <f>MAX(0,(EY17-(Subgroup_k-1))/EY17)</f>
        <v>#DIV/0!</v>
      </c>
      <c r="FA19" s="13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1"/>
      <c r="FS19" s="12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2" t="s">
        <v>322</v>
      </c>
      <c r="GH19" s="112"/>
      <c r="GK19" s="11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0.4842316737600747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4"/>
      <c r="IB19" s="11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1"/>
      <c r="I20" s="12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1"/>
      <c r="BE20" s="12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0</v>
      </c>
      <c r="BO20" s="11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0</v>
      </c>
      <c r="CD20" s="11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0</v>
      </c>
      <c r="CP20" s="114"/>
      <c r="CQ20" s="52" t="str">
        <f t="shared" si="52"/>
        <v/>
      </c>
      <c r="CS20" s="2" t="s">
        <v>323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7.7397726771214457E-4</v>
      </c>
      <c r="CU20" s="3">
        <f>IF(Model_effect_size_measure="Odds Ratio",CU19/Z_value_MH,"")</f>
        <v>7.7397726771214457E-4</v>
      </c>
      <c r="CV20" s="3" t="str">
        <f>IF(Model_effect_size_measure="Peto Odds Ratio",CV19/Z_value_Peto,"")</f>
        <v/>
      </c>
      <c r="CX20" s="13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 t="e">
        <f>MAX(0,(EY17-(Subgroup_k-1))/(SUM(Subgroup_weightf)-(SUMPRODUCT(Subgroup_weightf,Subgroup_weightf)/SUM(Subgroup_weightf))))</f>
        <v>#DIV/0!</v>
      </c>
      <c r="FA20" s="13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1"/>
      <c r="FS20" s="12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324</v>
      </c>
      <c r="GH20" s="3">
        <f>IF(AND(Trim_and_fill="On",Additional_valid_options="Yes"),'Publication Bias Analysis'!I37-'Publication Bias Analysis'!I39,NA())</f>
        <v>0.22402546482785812</v>
      </c>
      <c r="GK20" s="11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4"/>
      <c r="IB20" s="11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1"/>
      <c r="I21" s="12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1"/>
      <c r="BE21" s="12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4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-1.4069116213995394E-2</v>
      </c>
      <c r="CU21" s="3">
        <f>IF(Model_effect_size_measure="Odds Ratio",CU19-CU20*ABS(TINV((1-Confidence_level),k_-1)),"")</f>
        <v>-1.4069116213995394E-2</v>
      </c>
      <c r="CV21" s="3" t="str">
        <f>IF(Model_effect_size_measure="Peto Odds Ratio",CV19-CV20*ABS(TINV((1-Confidence_level),k_-1)),"")</f>
        <v/>
      </c>
      <c r="CX21" s="13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 t="e">
        <f>SQRT(EY20)</f>
        <v>#DIV/0!</v>
      </c>
      <c r="FA21" s="13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1"/>
      <c r="FS21" s="12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325</v>
      </c>
      <c r="GH21" s="3">
        <f>IF(AND(Trim_and_fill="On",Additional_valid_options="Yes"),'Publication Bias Analysis'!I37-'Publication Bias Analysis'!I41,NA())</f>
        <v>0.22402546482785812</v>
      </c>
      <c r="GK21" s="11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302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4"/>
      <c r="IB21" s="11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1"/>
      <c r="I22" s="12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1"/>
      <c r="BE22" s="12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4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-9.7713054210479024E-3</v>
      </c>
      <c r="CU22" s="3">
        <f>IF(Model_effect_size_measure="Odds Ratio",CU19+CU20*ABS(TINV((1-Confidence_level),k_-1)),"")</f>
        <v>-9.7713054210479024E-3</v>
      </c>
      <c r="CV22" s="3" t="str">
        <f>IF(Model_effect_size_measure="Peto Odds Ratio",CV19+CV20*ABS(TINV((1-Confidence_level),k_-1)),"")</f>
        <v/>
      </c>
      <c r="CX22" s="13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1"/>
      <c r="FS22" s="12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326</v>
      </c>
      <c r="GH22" s="3">
        <f>IF(AND(Trim_and_fill="On",Additional_valid_options="Yes"),MAX('Publication Bias Analysis'!F:F)*1.2,NA())</f>
        <v>0.36809345944833344</v>
      </c>
      <c r="GK22" s="11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4"/>
      <c r="IB22" s="11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1"/>
      <c r="I23" s="12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1"/>
      <c r="BE23" s="12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4"/>
      <c r="CQ23" s="52" t="str">
        <f t="shared" si="52"/>
        <v/>
      </c>
      <c r="CS23" s="2" t="s">
        <v>296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-1.4069116213995394E-2</v>
      </c>
      <c r="CU23" s="3">
        <f>IF(Model_effect_size_measure="Odds Ratio",CU19-((lnCES_OddsRatio_MH-PIlnCES_LL_MH)/SElnCES_MH)*CU20,"")</f>
        <v>-1.4069116213995394E-2</v>
      </c>
      <c r="CV23" s="3" t="str">
        <f>IF(Model_effect_size_measure="Peto Odds Ratio",CV19-((lnCES_PetoOddsRatio-PIlnCES_LL_Peto)/SElnCES_Peto)*CV20,"")</f>
        <v/>
      </c>
      <c r="CX23" s="13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2" t="s">
        <v>327</v>
      </c>
      <c r="EY23" s="112"/>
      <c r="FA23" s="13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1"/>
      <c r="FS23" s="12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4"/>
      <c r="IB23" s="11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1"/>
      <c r="I24" s="12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1"/>
      <c r="BE24" s="12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4"/>
      <c r="CQ24" s="52" t="str">
        <f t="shared" si="52"/>
        <v/>
      </c>
      <c r="CS24" s="2" t="s">
        <v>301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-9.7713054210479024E-3</v>
      </c>
      <c r="CU24" s="3">
        <f>IF(Model_effect_size_measure="Odds Ratio",CU19+((lnCES_OddsRatio_MH-PIlnCES_LL_MH)/SElnCES_MH)*CU20,"")</f>
        <v>-9.7713054210479024E-3</v>
      </c>
      <c r="CV24" s="3" t="str">
        <f>IF(Model_effect_size_measure="Peto Odds Ratio",CV19+((lnCES_PetoOddsRatio-PIlnCES_LL_Peto)/SElnCES_Peto)*CV20,"")</f>
        <v/>
      </c>
      <c r="CX24" s="13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264</v>
      </c>
      <c r="EY24" s="3" t="e">
        <f>EY9</f>
        <v>#DIV/0!</v>
      </c>
      <c r="FA24" s="13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1"/>
      <c r="FS24" s="12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4"/>
      <c r="IB24" s="11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1"/>
      <c r="I25" s="12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1"/>
      <c r="BE25" s="12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4"/>
      <c r="CQ25" s="52" t="str">
        <f t="shared" si="52"/>
        <v/>
      </c>
      <c r="CX25" s="13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281</v>
      </c>
      <c r="EY25" s="6">
        <f>IF(Subgroup_valid_options="Yes",MAX(DP:DP)+1,"")</f>
        <v>1</v>
      </c>
      <c r="FA25" s="13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1"/>
      <c r="FS25" s="12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4"/>
      <c r="IB25" s="11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1"/>
      <c r="I26" s="12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1"/>
      <c r="BE26" s="12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4"/>
      <c r="CQ26" s="52" t="str">
        <f t="shared" si="52"/>
        <v/>
      </c>
      <c r="CX26" s="13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328</v>
      </c>
      <c r="EY26" s="6">
        <f>IF(Subgroup_valid_options="Yes",MAX(DR:DR)+1,"")</f>
        <v>1</v>
      </c>
      <c r="FA26" s="13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1"/>
      <c r="FS26" s="12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4"/>
      <c r="IB26" s="11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1"/>
      <c r="I27" s="12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1"/>
      <c r="BE27" s="12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4"/>
      <c r="CQ27" s="52" t="str">
        <f t="shared" si="52"/>
        <v/>
      </c>
      <c r="CX27" s="13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286</v>
      </c>
      <c r="EY27" s="3" t="e">
        <f>IF(Subgroup_valid_options="Yes",EY9-EY11,"")</f>
        <v>#DIV/0!</v>
      </c>
      <c r="FA27" s="13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1"/>
      <c r="FS27" s="12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4"/>
      <c r="IB27" s="11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1"/>
      <c r="I28" s="12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1"/>
      <c r="BE28" s="12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4"/>
      <c r="CQ28" s="52" t="str">
        <f t="shared" si="52"/>
        <v/>
      </c>
      <c r="CX28" s="13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289</v>
      </c>
      <c r="EY28" s="3" t="e">
        <f>IF(Subgroup_valid_options="Yes",EY12-EY9,"")</f>
        <v>#DIV/0!</v>
      </c>
      <c r="FA28" s="13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1"/>
      <c r="FS28" s="12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4"/>
      <c r="IB28" s="11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1"/>
      <c r="I29" s="12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1"/>
      <c r="BE29" s="12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4"/>
      <c r="CQ29" s="52" t="str">
        <f t="shared" si="52"/>
        <v/>
      </c>
      <c r="CX29" s="13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294</v>
      </c>
      <c r="EY29" s="3" t="e">
        <f>IF(Subgroup_valid_options="Yes",EY9-EY13,"")</f>
        <v>#DIV/0!</v>
      </c>
      <c r="FA29" s="13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1"/>
      <c r="FS29" s="12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4"/>
      <c r="IB29" s="11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1"/>
      <c r="I30" s="12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1"/>
      <c r="BE30" s="12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4"/>
      <c r="CQ30" s="52" t="str">
        <f t="shared" si="52"/>
        <v/>
      </c>
      <c r="CX30" s="13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299</v>
      </c>
      <c r="EY30" s="3" t="e">
        <f>IF(Subgroup_valid_options="Yes",EY14-EY9,"")</f>
        <v>#DIV/0!</v>
      </c>
      <c r="FA30" s="13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1"/>
      <c r="FS30" s="12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4"/>
      <c r="IB30" s="11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1"/>
      <c r="I31" s="12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1"/>
      <c r="BE31" s="12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4"/>
      <c r="CQ31" s="52" t="str">
        <f t="shared" si="52"/>
        <v/>
      </c>
      <c r="CX31" s="13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329</v>
      </c>
      <c r="EY31" s="3">
        <f>IF(Subgroup_valid_options="Yes",MAX(ER:ER),"")</f>
        <v>0</v>
      </c>
      <c r="FA31" s="13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1"/>
      <c r="FS31" s="12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4"/>
      <c r="IB31" s="11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1"/>
      <c r="I32" s="12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1"/>
      <c r="BE32" s="12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4"/>
      <c r="CQ32" s="52" t="str">
        <f t="shared" si="52"/>
        <v/>
      </c>
      <c r="CX32" s="13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1"/>
      <c r="FS32" s="12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4"/>
      <c r="IB32" s="11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1"/>
      <c r="I33" s="12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1"/>
      <c r="BE33" s="12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4"/>
      <c r="CQ33" s="52" t="str">
        <f t="shared" si="52"/>
        <v/>
      </c>
      <c r="CX33" s="13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2" t="s">
        <v>330</v>
      </c>
      <c r="EY33" s="112"/>
      <c r="FA33" s="13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1"/>
      <c r="FS33" s="12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4"/>
      <c r="IB33" s="11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1"/>
      <c r="I34" s="12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1"/>
      <c r="BE34" s="12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4"/>
      <c r="CQ34" s="52" t="str">
        <f t="shared" ref="CQ34:CQ97" si="175">IF(AND(Sufficient_data="Yes",Include_study?="Yes"),c_/(c_+d_),"")</f>
        <v/>
      </c>
      <c r="CX34" s="13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331</v>
      </c>
      <c r="EY34" s="3" t="e">
        <f>IF(Subgroup_valid_options="Yes",SUMPRODUCT(ES:ES,DZ:DZ,DZ:DZ)-SUMPRODUCT(ES:ES,DZ:DZ)^2/SUM(ES:ES),"")</f>
        <v>#DIV/0!</v>
      </c>
      <c r="FA34" s="13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1"/>
      <c r="FS34" s="12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4"/>
      <c r="IB34" s="11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1"/>
      <c r="I35" s="12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1"/>
      <c r="BE35" s="12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4"/>
      <c r="CQ35" s="52" t="str">
        <f t="shared" si="175"/>
        <v/>
      </c>
      <c r="CX35" s="13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 t="e">
        <f>IF(Subgroup_valid_options="Yes",MAX(0,(EY34-(COUNT(DT:DT)-1))/(SUM(ES:ES)-(SUMPRODUCT(ES:ES,ES:ES)/SUM(ES:ES)))),"")</f>
        <v>#DIV/0!</v>
      </c>
      <c r="FA35" s="13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1"/>
      <c r="FS35" s="12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4"/>
      <c r="IB35" s="11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1"/>
      <c r="I36" s="12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1"/>
      <c r="BE36" s="12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4"/>
      <c r="CQ36" s="52" t="str">
        <f t="shared" si="175"/>
        <v/>
      </c>
      <c r="CX36" s="13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1"/>
      <c r="FS36" s="12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4"/>
      <c r="IB36" s="11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1"/>
      <c r="I37" s="12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1"/>
      <c r="BE37" s="12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4"/>
      <c r="CQ37" s="52" t="str">
        <f t="shared" si="175"/>
        <v/>
      </c>
      <c r="CX37" s="13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2" t="s">
        <v>332</v>
      </c>
      <c r="EY37" s="112"/>
      <c r="FA37" s="13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1"/>
      <c r="FS37" s="12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4"/>
      <c r="IB37" s="11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1"/>
      <c r="I38" s="12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1"/>
      <c r="BE38" s="12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4"/>
      <c r="CQ38" s="52" t="str">
        <f t="shared" si="175"/>
        <v/>
      </c>
      <c r="CX38" s="13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3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1"/>
      <c r="FS38" s="12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4"/>
      <c r="IB38" s="11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1"/>
      <c r="I39" s="12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1"/>
      <c r="BE39" s="12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4"/>
      <c r="CQ39" s="52" t="str">
        <f t="shared" si="175"/>
        <v/>
      </c>
      <c r="CX39" s="13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1"/>
      <c r="FS39" s="12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4"/>
      <c r="IB39" s="11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1"/>
      <c r="I40" s="12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1"/>
      <c r="BE40" s="12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4"/>
      <c r="CQ40" s="52" t="str">
        <f t="shared" si="175"/>
        <v/>
      </c>
      <c r="CX40" s="13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1"/>
      <c r="FS40" s="12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4"/>
      <c r="IB40" s="11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1"/>
      <c r="I41" s="12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1"/>
      <c r="BE41" s="12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4"/>
      <c r="CQ41" s="52" t="str">
        <f t="shared" si="175"/>
        <v/>
      </c>
      <c r="CX41" s="13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2" t="s">
        <v>333</v>
      </c>
      <c r="EY41" s="112"/>
      <c r="FA41" s="13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1"/>
      <c r="FS41" s="12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4"/>
      <c r="IB41" s="11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1"/>
      <c r="I42" s="12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1"/>
      <c r="BE42" s="12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4"/>
      <c r="CQ42" s="52" t="str">
        <f t="shared" si="175"/>
        <v/>
      </c>
      <c r="CX42" s="13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3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1"/>
      <c r="FS42" s="12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4"/>
      <c r="IB42" s="11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1"/>
      <c r="I43" s="12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1"/>
      <c r="BE43" s="12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4"/>
      <c r="CQ43" s="52" t="str">
        <f t="shared" si="175"/>
        <v/>
      </c>
      <c r="CX43" s="13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1"/>
      <c r="FS43" s="12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4"/>
      <c r="IB43" s="11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1"/>
      <c r="I44" s="12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1"/>
      <c r="BE44" s="12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4"/>
      <c r="CQ44" s="52" t="str">
        <f t="shared" si="175"/>
        <v/>
      </c>
      <c r="CX44" s="13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334</v>
      </c>
      <c r="EY44" s="31"/>
      <c r="FA44" s="13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1"/>
      <c r="FS44" s="12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4"/>
      <c r="IB44" s="11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1"/>
      <c r="I45" s="12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1"/>
      <c r="BE45" s="12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4"/>
      <c r="CQ45" s="52" t="str">
        <f t="shared" si="175"/>
        <v/>
      </c>
      <c r="CX45" s="13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1"/>
      <c r="FS45" s="12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4"/>
      <c r="IB45" s="11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1"/>
      <c r="I46" s="12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1"/>
      <c r="BE46" s="12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4"/>
      <c r="CQ46" s="52" t="str">
        <f t="shared" si="175"/>
        <v/>
      </c>
      <c r="CX46" s="13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1"/>
      <c r="FS46" s="12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4"/>
      <c r="IB46" s="11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1"/>
      <c r="I47" s="12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1"/>
      <c r="BE47" s="12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4"/>
      <c r="CQ47" s="52" t="str">
        <f t="shared" si="175"/>
        <v/>
      </c>
      <c r="CX47" s="13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1"/>
      <c r="FS47" s="12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4"/>
      <c r="IB47" s="11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1"/>
      <c r="I48" s="12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1"/>
      <c r="BE48" s="12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4"/>
      <c r="CQ48" s="52" t="str">
        <f t="shared" si="175"/>
        <v/>
      </c>
      <c r="CX48" s="13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1"/>
      <c r="FS48" s="12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4"/>
      <c r="IB48" s="11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1"/>
      <c r="I49" s="12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1"/>
      <c r="BE49" s="12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4"/>
      <c r="CQ49" s="52" t="str">
        <f t="shared" si="175"/>
        <v/>
      </c>
      <c r="CX49" s="13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1"/>
      <c r="FS49" s="12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4"/>
      <c r="IB49" s="11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1"/>
      <c r="I50" s="12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1"/>
      <c r="BE50" s="12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4"/>
      <c r="CQ50" s="52" t="str">
        <f t="shared" si="175"/>
        <v/>
      </c>
      <c r="CX50" s="13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1"/>
      <c r="FS50" s="12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4"/>
      <c r="IB50" s="11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1"/>
      <c r="I51" s="12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1"/>
      <c r="BE51" s="12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4"/>
      <c r="CQ51" s="52" t="str">
        <f t="shared" si="175"/>
        <v/>
      </c>
      <c r="CX51" s="13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1"/>
      <c r="FS51" s="12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4"/>
      <c r="IB51" s="11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1"/>
      <c r="I52" s="12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1"/>
      <c r="BE52" s="12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4"/>
      <c r="CQ52" s="52" t="str">
        <f t="shared" si="175"/>
        <v/>
      </c>
      <c r="CX52" s="13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1"/>
      <c r="FS52" s="12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4"/>
      <c r="IB52" s="11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1"/>
      <c r="I53" s="12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1"/>
      <c r="BE53" s="12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4"/>
      <c r="CQ53" s="52" t="str">
        <f t="shared" si="175"/>
        <v/>
      </c>
      <c r="CX53" s="13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1"/>
      <c r="FS53" s="12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4"/>
      <c r="IB53" s="11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1"/>
      <c r="I54" s="12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1"/>
      <c r="BE54" s="12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4"/>
      <c r="CQ54" s="52" t="str">
        <f t="shared" si="175"/>
        <v/>
      </c>
      <c r="CX54" s="13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1"/>
      <c r="FS54" s="12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4"/>
      <c r="IB54" s="11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1"/>
      <c r="I55" s="12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1"/>
      <c r="BE55" s="12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4"/>
      <c r="CQ55" s="52" t="str">
        <f t="shared" si="175"/>
        <v/>
      </c>
      <c r="CX55" s="13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1"/>
      <c r="FS55" s="12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4"/>
      <c r="IB55" s="11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1"/>
      <c r="I56" s="12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1"/>
      <c r="BE56" s="12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4"/>
      <c r="CQ56" s="52" t="str">
        <f t="shared" si="175"/>
        <v/>
      </c>
      <c r="CX56" s="13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1"/>
      <c r="FS56" s="12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4"/>
      <c r="IB56" s="11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1"/>
      <c r="I57" s="12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1"/>
      <c r="BE57" s="12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4"/>
      <c r="CQ57" s="52" t="str">
        <f t="shared" si="175"/>
        <v/>
      </c>
      <c r="CX57" s="13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1"/>
      <c r="FS57" s="12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4"/>
      <c r="IB57" s="11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1"/>
      <c r="I58" s="12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1"/>
      <c r="BE58" s="12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4"/>
      <c r="CQ58" s="52" t="str">
        <f t="shared" si="175"/>
        <v/>
      </c>
      <c r="CX58" s="13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1"/>
      <c r="FS58" s="12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4"/>
      <c r="IB58" s="11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1"/>
      <c r="I59" s="12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1"/>
      <c r="BE59" s="12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4"/>
      <c r="CQ59" s="52" t="str">
        <f t="shared" si="175"/>
        <v/>
      </c>
      <c r="CX59" s="13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1"/>
      <c r="FS59" s="12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4"/>
      <c r="IB59" s="11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1"/>
      <c r="I60" s="12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1"/>
      <c r="BE60" s="12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4"/>
      <c r="CQ60" s="52" t="str">
        <f t="shared" si="175"/>
        <v/>
      </c>
      <c r="CX60" s="13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1"/>
      <c r="FS60" s="12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4"/>
      <c r="IB60" s="11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1"/>
      <c r="I61" s="12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1"/>
      <c r="BE61" s="12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4"/>
      <c r="CQ61" s="52" t="str">
        <f t="shared" si="175"/>
        <v/>
      </c>
      <c r="CX61" s="13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1"/>
      <c r="FS61" s="12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4"/>
      <c r="IB61" s="11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1"/>
      <c r="I62" s="12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1"/>
      <c r="BE62" s="12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4"/>
      <c r="CQ62" s="52" t="str">
        <f t="shared" si="175"/>
        <v/>
      </c>
      <c r="CX62" s="13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1"/>
      <c r="FS62" s="12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4"/>
      <c r="IB62" s="11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1"/>
      <c r="I63" s="12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1"/>
      <c r="BE63" s="12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4"/>
      <c r="CQ63" s="52" t="str">
        <f t="shared" si="175"/>
        <v/>
      </c>
      <c r="CX63" s="13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1"/>
      <c r="FS63" s="12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4"/>
      <c r="IB63" s="11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1"/>
      <c r="I64" s="12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1"/>
      <c r="BE64" s="12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4"/>
      <c r="CQ64" s="52" t="str">
        <f t="shared" si="175"/>
        <v/>
      </c>
      <c r="CX64" s="13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1"/>
      <c r="FS64" s="12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4"/>
      <c r="IB64" s="11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1"/>
      <c r="I65" s="12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1"/>
      <c r="BE65" s="12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4"/>
      <c r="CQ65" s="52" t="str">
        <f t="shared" si="175"/>
        <v/>
      </c>
      <c r="CX65" s="13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1"/>
      <c r="FS65" s="12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4"/>
      <c r="IB65" s="11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1"/>
      <c r="I66" s="12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1"/>
      <c r="BE66" s="12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4"/>
      <c r="CQ66" s="52" t="str">
        <f t="shared" si="175"/>
        <v/>
      </c>
      <c r="CX66" s="13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1"/>
      <c r="FS66" s="12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4"/>
      <c r="IB66" s="11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1"/>
      <c r="I67" s="12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1"/>
      <c r="BE67" s="12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4"/>
      <c r="CQ67" s="52" t="str">
        <f t="shared" si="175"/>
        <v/>
      </c>
      <c r="CX67" s="13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1"/>
      <c r="FS67" s="12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4"/>
      <c r="IB67" s="11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1"/>
      <c r="I68" s="12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1"/>
      <c r="BE68" s="12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4"/>
      <c r="CQ68" s="52" t="str">
        <f t="shared" si="175"/>
        <v/>
      </c>
      <c r="CX68" s="13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1"/>
      <c r="FS68" s="12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4"/>
      <c r="IB68" s="11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1"/>
      <c r="I69" s="12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1"/>
      <c r="BE69" s="12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4"/>
      <c r="CQ69" s="52" t="str">
        <f t="shared" si="175"/>
        <v/>
      </c>
      <c r="CX69" s="13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1"/>
      <c r="FS69" s="12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4"/>
      <c r="IB69" s="11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1"/>
      <c r="I70" s="12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1"/>
      <c r="BE70" s="12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4"/>
      <c r="CQ70" s="52" t="str">
        <f t="shared" si="175"/>
        <v/>
      </c>
      <c r="CX70" s="13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1"/>
      <c r="FS70" s="12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4"/>
      <c r="IB70" s="11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1"/>
      <c r="I71" s="12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1"/>
      <c r="BE71" s="12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4"/>
      <c r="CQ71" s="52" t="str">
        <f t="shared" si="175"/>
        <v/>
      </c>
      <c r="CX71" s="13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1"/>
      <c r="FS71" s="12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4"/>
      <c r="IB71" s="11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1"/>
      <c r="I72" s="12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1"/>
      <c r="BE72" s="12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4"/>
      <c r="CQ72" s="52" t="str">
        <f t="shared" si="175"/>
        <v/>
      </c>
      <c r="CX72" s="13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1"/>
      <c r="FS72" s="12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4"/>
      <c r="IB72" s="11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1"/>
      <c r="I73" s="12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1"/>
      <c r="BE73" s="12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4"/>
      <c r="CQ73" s="52" t="str">
        <f t="shared" si="175"/>
        <v/>
      </c>
      <c r="CX73" s="13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1"/>
      <c r="FS73" s="12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4"/>
      <c r="IB73" s="11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1"/>
      <c r="I74" s="12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1"/>
      <c r="BE74" s="12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4"/>
      <c r="CQ74" s="52" t="str">
        <f t="shared" si="175"/>
        <v/>
      </c>
      <c r="CX74" s="13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1"/>
      <c r="FS74" s="12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4"/>
      <c r="IB74" s="11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1"/>
      <c r="I75" s="12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1"/>
      <c r="BE75" s="12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4"/>
      <c r="CQ75" s="52" t="str">
        <f t="shared" si="175"/>
        <v/>
      </c>
      <c r="CX75" s="13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1"/>
      <c r="FS75" s="12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4"/>
      <c r="IB75" s="11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1"/>
      <c r="I76" s="12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1"/>
      <c r="BE76" s="12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4"/>
      <c r="CQ76" s="52" t="str">
        <f t="shared" si="175"/>
        <v/>
      </c>
      <c r="CX76" s="13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1"/>
      <c r="FS76" s="12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4"/>
      <c r="IB76" s="11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1"/>
      <c r="I77" s="12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1"/>
      <c r="BE77" s="12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4"/>
      <c r="CQ77" s="52" t="str">
        <f t="shared" si="175"/>
        <v/>
      </c>
      <c r="CX77" s="13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1"/>
      <c r="FS77" s="12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4"/>
      <c r="IB77" s="11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1"/>
      <c r="I78" s="12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1"/>
      <c r="BE78" s="12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4"/>
      <c r="CQ78" s="52" t="str">
        <f t="shared" si="175"/>
        <v/>
      </c>
      <c r="CX78" s="13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1"/>
      <c r="FS78" s="12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4"/>
      <c r="IB78" s="11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1"/>
      <c r="I79" s="12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1"/>
      <c r="BE79" s="12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4"/>
      <c r="CQ79" s="52" t="str">
        <f t="shared" si="175"/>
        <v/>
      </c>
      <c r="CX79" s="13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1"/>
      <c r="FS79" s="12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4"/>
      <c r="IB79" s="11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1"/>
      <c r="I80" s="12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1"/>
      <c r="BE80" s="12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4"/>
      <c r="CQ80" s="52" t="str">
        <f t="shared" si="175"/>
        <v/>
      </c>
      <c r="CX80" s="13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1"/>
      <c r="FS80" s="12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4"/>
      <c r="IB80" s="11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1"/>
      <c r="I81" s="12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1"/>
      <c r="BE81" s="12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4"/>
      <c r="CQ81" s="52" t="str">
        <f t="shared" si="175"/>
        <v/>
      </c>
      <c r="CX81" s="13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1"/>
      <c r="FS81" s="12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4"/>
      <c r="IB81" s="11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1"/>
      <c r="I82" s="12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1"/>
      <c r="BE82" s="12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4"/>
      <c r="CQ82" s="52" t="str">
        <f t="shared" si="175"/>
        <v/>
      </c>
      <c r="CX82" s="13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1"/>
      <c r="FS82" s="12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4"/>
      <c r="IB82" s="11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1"/>
      <c r="I83" s="12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1"/>
      <c r="BE83" s="12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4"/>
      <c r="CQ83" s="52" t="str">
        <f t="shared" si="175"/>
        <v/>
      </c>
      <c r="CX83" s="13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1"/>
      <c r="FS83" s="12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4"/>
      <c r="IB83" s="11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1"/>
      <c r="I84" s="12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1"/>
      <c r="BE84" s="12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4"/>
      <c r="CQ84" s="52" t="str">
        <f t="shared" si="175"/>
        <v/>
      </c>
      <c r="CX84" s="13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1"/>
      <c r="FS84" s="12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4"/>
      <c r="IB84" s="11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1"/>
      <c r="I85" s="12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1"/>
      <c r="BE85" s="12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4"/>
      <c r="CQ85" s="52" t="str">
        <f t="shared" si="175"/>
        <v/>
      </c>
      <c r="CX85" s="13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1"/>
      <c r="FS85" s="12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4"/>
      <c r="IB85" s="11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1"/>
      <c r="I86" s="12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1"/>
      <c r="BE86" s="12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4"/>
      <c r="CQ86" s="52" t="str">
        <f t="shared" si="175"/>
        <v/>
      </c>
      <c r="CX86" s="13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1"/>
      <c r="FS86" s="12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4"/>
      <c r="IB86" s="11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1"/>
      <c r="I87" s="12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1"/>
      <c r="BE87" s="12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4"/>
      <c r="CQ87" s="52" t="str">
        <f t="shared" si="175"/>
        <v/>
      </c>
      <c r="CX87" s="13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1"/>
      <c r="FS87" s="12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4"/>
      <c r="IB87" s="11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1"/>
      <c r="I88" s="12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1"/>
      <c r="BE88" s="12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4"/>
      <c r="CQ88" s="52" t="str">
        <f t="shared" si="175"/>
        <v/>
      </c>
      <c r="CX88" s="13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1"/>
      <c r="FS88" s="12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4"/>
      <c r="IB88" s="11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1"/>
      <c r="I89" s="12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1"/>
      <c r="BE89" s="12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4"/>
      <c r="CQ89" s="52" t="str">
        <f t="shared" si="175"/>
        <v/>
      </c>
      <c r="CX89" s="13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1"/>
      <c r="FS89" s="12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4"/>
      <c r="IB89" s="11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1"/>
      <c r="I90" s="12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1"/>
      <c r="BE90" s="12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4"/>
      <c r="CQ90" s="52" t="str">
        <f t="shared" si="175"/>
        <v/>
      </c>
      <c r="CX90" s="13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1"/>
      <c r="FS90" s="12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4"/>
      <c r="IB90" s="11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1"/>
      <c r="I91" s="12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1"/>
      <c r="BE91" s="12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4"/>
      <c r="CQ91" s="52" t="str">
        <f t="shared" si="175"/>
        <v/>
      </c>
      <c r="CX91" s="13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1"/>
      <c r="FS91" s="12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4"/>
      <c r="IB91" s="11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1"/>
      <c r="I92" s="12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1"/>
      <c r="BE92" s="12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4"/>
      <c r="CQ92" s="52" t="str">
        <f t="shared" si="175"/>
        <v/>
      </c>
      <c r="CX92" s="13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1"/>
      <c r="FS92" s="12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4"/>
      <c r="IB92" s="11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1"/>
      <c r="I93" s="12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1"/>
      <c r="BE93" s="12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4"/>
      <c r="CQ93" s="52" t="str">
        <f t="shared" si="175"/>
        <v/>
      </c>
      <c r="CX93" s="13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1"/>
      <c r="FS93" s="12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4"/>
      <c r="IB93" s="11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1"/>
      <c r="I94" s="12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1"/>
      <c r="BE94" s="12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4"/>
      <c r="CQ94" s="52" t="str">
        <f t="shared" si="175"/>
        <v/>
      </c>
      <c r="CX94" s="13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1"/>
      <c r="FS94" s="12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4"/>
      <c r="IB94" s="11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1"/>
      <c r="I95" s="12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1"/>
      <c r="BE95" s="12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4"/>
      <c r="CQ95" s="52" t="str">
        <f t="shared" si="175"/>
        <v/>
      </c>
      <c r="CX95" s="13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1"/>
      <c r="FS95" s="12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4"/>
      <c r="IB95" s="11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1"/>
      <c r="I96" s="12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1"/>
      <c r="BE96" s="12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4"/>
      <c r="CQ96" s="52" t="str">
        <f t="shared" si="175"/>
        <v/>
      </c>
      <c r="CX96" s="13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1"/>
      <c r="FS96" s="12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4"/>
      <c r="IB96" s="11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1"/>
      <c r="I97" s="12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1"/>
      <c r="BE97" s="12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4"/>
      <c r="CQ97" s="52" t="str">
        <f t="shared" si="175"/>
        <v/>
      </c>
      <c r="CX97" s="13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1"/>
      <c r="FS97" s="12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4"/>
      <c r="IB97" s="11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1"/>
      <c r="I98" s="12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1"/>
      <c r="BE98" s="12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4"/>
      <c r="CQ98" s="52" t="str">
        <f t="shared" ref="CQ98:CQ161" si="383">IF(AND(Sufficient_data="Yes",Include_study?="Yes"),c_/(c_+d_),"")</f>
        <v/>
      </c>
      <c r="CX98" s="13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1"/>
      <c r="FS98" s="12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4"/>
      <c r="IB98" s="11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1"/>
      <c r="I99" s="12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1"/>
      <c r="BE99" s="12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4"/>
      <c r="CQ99" s="52" t="str">
        <f t="shared" si="383"/>
        <v/>
      </c>
      <c r="CX99" s="13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1"/>
      <c r="FS99" s="12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4"/>
      <c r="IB99" s="11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1"/>
      <c r="I100" s="12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1"/>
      <c r="BE100" s="12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4"/>
      <c r="CQ100" s="52" t="str">
        <f t="shared" si="383"/>
        <v/>
      </c>
      <c r="CX100" s="13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1"/>
      <c r="FS100" s="12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4"/>
      <c r="IB100" s="11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1"/>
      <c r="I101" s="12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1"/>
      <c r="BE101" s="12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4"/>
      <c r="CQ101" s="52" t="str">
        <f t="shared" si="383"/>
        <v/>
      </c>
      <c r="CX101" s="13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1"/>
      <c r="FS101" s="12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4"/>
      <c r="IB101" s="11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1"/>
      <c r="I102" s="12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1"/>
      <c r="BE102" s="12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4"/>
      <c r="CQ102" s="52" t="str">
        <f t="shared" si="383"/>
        <v/>
      </c>
      <c r="CX102" s="13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1"/>
      <c r="FS102" s="12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4"/>
      <c r="IB102" s="11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1"/>
      <c r="I103" s="12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1"/>
      <c r="BE103" s="12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4"/>
      <c r="CQ103" s="52" t="str">
        <f t="shared" si="383"/>
        <v/>
      </c>
      <c r="CX103" s="13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1"/>
      <c r="FS103" s="12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4"/>
      <c r="IB103" s="11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1"/>
      <c r="I104" s="12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1"/>
      <c r="BE104" s="12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4"/>
      <c r="CQ104" s="52" t="str">
        <f t="shared" si="383"/>
        <v/>
      </c>
      <c r="CX104" s="13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1"/>
      <c r="FS104" s="12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4"/>
      <c r="IB104" s="11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1"/>
      <c r="I105" s="12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1"/>
      <c r="BE105" s="12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4"/>
      <c r="CQ105" s="52" t="str">
        <f t="shared" si="383"/>
        <v/>
      </c>
      <c r="CX105" s="13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1"/>
      <c r="FS105" s="12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4"/>
      <c r="IB105" s="11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1"/>
      <c r="I106" s="12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1"/>
      <c r="BE106" s="12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4"/>
      <c r="CQ106" s="52" t="str">
        <f t="shared" si="383"/>
        <v/>
      </c>
      <c r="CX106" s="13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1"/>
      <c r="FS106" s="12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4"/>
      <c r="IB106" s="11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1"/>
      <c r="I107" s="12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1"/>
      <c r="BE107" s="12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4"/>
      <c r="CQ107" s="52" t="str">
        <f t="shared" si="383"/>
        <v/>
      </c>
      <c r="CX107" s="13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1"/>
      <c r="FS107" s="12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4"/>
      <c r="IB107" s="11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1"/>
      <c r="I108" s="12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1"/>
      <c r="BE108" s="12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4"/>
      <c r="CQ108" s="52" t="str">
        <f t="shared" si="383"/>
        <v/>
      </c>
      <c r="CX108" s="13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1"/>
      <c r="FS108" s="12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4"/>
      <c r="IB108" s="11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1"/>
      <c r="I109" s="12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1"/>
      <c r="BE109" s="12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4"/>
      <c r="CQ109" s="52" t="str">
        <f t="shared" si="383"/>
        <v/>
      </c>
      <c r="CX109" s="13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1"/>
      <c r="FS109" s="12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4"/>
      <c r="IB109" s="11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1"/>
      <c r="I110" s="12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1"/>
      <c r="BE110" s="12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4"/>
      <c r="CQ110" s="52" t="str">
        <f t="shared" si="383"/>
        <v/>
      </c>
      <c r="CX110" s="13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1"/>
      <c r="FS110" s="12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4"/>
      <c r="IB110" s="11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1"/>
      <c r="I111" s="12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1"/>
      <c r="BE111" s="12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4"/>
      <c r="CQ111" s="52" t="str">
        <f t="shared" si="383"/>
        <v/>
      </c>
      <c r="CX111" s="13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1"/>
      <c r="FS111" s="12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4"/>
      <c r="IB111" s="11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1"/>
      <c r="I112" s="12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1"/>
      <c r="BE112" s="12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4"/>
      <c r="CQ112" s="52" t="str">
        <f t="shared" si="383"/>
        <v/>
      </c>
      <c r="CX112" s="13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1"/>
      <c r="FS112" s="12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4"/>
      <c r="IB112" s="11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1"/>
      <c r="I113" s="12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1"/>
      <c r="BE113" s="12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4"/>
      <c r="CQ113" s="52" t="str">
        <f t="shared" si="383"/>
        <v/>
      </c>
      <c r="CX113" s="13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1"/>
      <c r="FS113" s="12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4"/>
      <c r="IB113" s="11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1"/>
      <c r="I114" s="12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1"/>
      <c r="BE114" s="12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4"/>
      <c r="CQ114" s="52" t="str">
        <f t="shared" si="383"/>
        <v/>
      </c>
      <c r="CX114" s="13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1"/>
      <c r="FS114" s="12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4"/>
      <c r="IB114" s="11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1"/>
      <c r="I115" s="12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1"/>
      <c r="BE115" s="12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4"/>
      <c r="CQ115" s="52" t="str">
        <f t="shared" si="383"/>
        <v/>
      </c>
      <c r="CX115" s="13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1"/>
      <c r="FS115" s="12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4"/>
      <c r="IB115" s="11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1"/>
      <c r="I116" s="12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1"/>
      <c r="BE116" s="12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4"/>
      <c r="CQ116" s="52" t="str">
        <f t="shared" si="383"/>
        <v/>
      </c>
      <c r="CX116" s="13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1"/>
      <c r="FS116" s="12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4"/>
      <c r="IB116" s="11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1"/>
      <c r="I117" s="12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1"/>
      <c r="BE117" s="12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4"/>
      <c r="CQ117" s="52" t="str">
        <f t="shared" si="383"/>
        <v/>
      </c>
      <c r="CX117" s="13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1"/>
      <c r="FS117" s="12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4"/>
      <c r="IB117" s="11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1"/>
      <c r="I118" s="12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1"/>
      <c r="BE118" s="12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4"/>
      <c r="CQ118" s="52" t="str">
        <f t="shared" si="383"/>
        <v/>
      </c>
      <c r="CX118" s="13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1"/>
      <c r="FS118" s="12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4"/>
      <c r="IB118" s="11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1"/>
      <c r="I119" s="12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1"/>
      <c r="BE119" s="12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4"/>
      <c r="CQ119" s="52" t="str">
        <f t="shared" si="383"/>
        <v/>
      </c>
      <c r="CX119" s="13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1"/>
      <c r="FS119" s="12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4"/>
      <c r="IB119" s="11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1"/>
      <c r="I120" s="12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1"/>
      <c r="BE120" s="12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4"/>
      <c r="CQ120" s="52" t="str">
        <f t="shared" si="383"/>
        <v/>
      </c>
      <c r="CX120" s="13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1"/>
      <c r="FS120" s="12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4"/>
      <c r="IB120" s="11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1"/>
      <c r="I121" s="12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1"/>
      <c r="BE121" s="12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4"/>
      <c r="CQ121" s="52" t="str">
        <f t="shared" si="383"/>
        <v/>
      </c>
      <c r="CX121" s="13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1"/>
      <c r="FS121" s="12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4"/>
      <c r="IB121" s="11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1"/>
      <c r="I122" s="12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1"/>
      <c r="BE122" s="12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4"/>
      <c r="CQ122" s="52" t="str">
        <f t="shared" si="383"/>
        <v/>
      </c>
      <c r="CX122" s="13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1"/>
      <c r="FS122" s="12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4"/>
      <c r="IB122" s="11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1"/>
      <c r="I123" s="12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1"/>
      <c r="BE123" s="12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4"/>
      <c r="CQ123" s="52" t="str">
        <f t="shared" si="383"/>
        <v/>
      </c>
      <c r="CX123" s="13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1"/>
      <c r="FS123" s="12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4"/>
      <c r="IB123" s="11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1"/>
      <c r="I124" s="12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1"/>
      <c r="BE124" s="12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4"/>
      <c r="CQ124" s="52" t="str">
        <f t="shared" si="383"/>
        <v/>
      </c>
      <c r="CX124" s="13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1"/>
      <c r="FS124" s="12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4"/>
      <c r="IB124" s="11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1"/>
      <c r="I125" s="12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1"/>
      <c r="BE125" s="12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4"/>
      <c r="CQ125" s="52" t="str">
        <f t="shared" si="383"/>
        <v/>
      </c>
      <c r="CX125" s="13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1"/>
      <c r="FS125" s="12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4"/>
      <c r="IB125" s="11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1"/>
      <c r="I126" s="12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1"/>
      <c r="BE126" s="12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4"/>
      <c r="CQ126" s="52" t="str">
        <f t="shared" si="383"/>
        <v/>
      </c>
      <c r="CX126" s="13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1"/>
      <c r="FS126" s="12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4"/>
      <c r="IB126" s="11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1"/>
      <c r="I127" s="12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1"/>
      <c r="BE127" s="12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4"/>
      <c r="CQ127" s="52" t="str">
        <f t="shared" si="383"/>
        <v/>
      </c>
      <c r="CX127" s="13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1"/>
      <c r="FS127" s="12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4"/>
      <c r="IB127" s="11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1"/>
      <c r="I128" s="12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1"/>
      <c r="BE128" s="12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4"/>
      <c r="CQ128" s="52" t="str">
        <f t="shared" si="383"/>
        <v/>
      </c>
      <c r="CX128" s="13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1"/>
      <c r="FS128" s="12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4"/>
      <c r="IB128" s="11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1"/>
      <c r="I129" s="12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1"/>
      <c r="BE129" s="12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4"/>
      <c r="CQ129" s="52" t="str">
        <f t="shared" si="383"/>
        <v/>
      </c>
      <c r="CX129" s="13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1"/>
      <c r="FS129" s="12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4"/>
      <c r="IB129" s="11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1"/>
      <c r="I130" s="12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1"/>
      <c r="BE130" s="12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4"/>
      <c r="CQ130" s="52" t="str">
        <f t="shared" si="383"/>
        <v/>
      </c>
      <c r="CX130" s="13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1"/>
      <c r="FS130" s="12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4"/>
      <c r="IB130" s="11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1"/>
      <c r="I131" s="12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1"/>
      <c r="BE131" s="12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4"/>
      <c r="CQ131" s="52" t="str">
        <f t="shared" si="383"/>
        <v/>
      </c>
      <c r="CX131" s="13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1"/>
      <c r="FS131" s="12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4"/>
      <c r="IB131" s="11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1"/>
      <c r="I132" s="12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1"/>
      <c r="BE132" s="12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4"/>
      <c r="CQ132" s="52" t="str">
        <f t="shared" si="383"/>
        <v/>
      </c>
      <c r="CX132" s="13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1"/>
      <c r="FS132" s="12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4"/>
      <c r="IB132" s="11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1"/>
      <c r="I133" s="12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1"/>
      <c r="BE133" s="12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4"/>
      <c r="CQ133" s="52" t="str">
        <f t="shared" si="383"/>
        <v/>
      </c>
      <c r="CX133" s="13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1"/>
      <c r="FS133" s="12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4"/>
      <c r="IB133" s="11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1"/>
      <c r="I134" s="12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1"/>
      <c r="BE134" s="12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4"/>
      <c r="CQ134" s="52" t="str">
        <f t="shared" si="383"/>
        <v/>
      </c>
      <c r="CX134" s="13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1"/>
      <c r="FS134" s="12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4"/>
      <c r="IB134" s="11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1"/>
      <c r="I135" s="12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1"/>
      <c r="BE135" s="12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4"/>
      <c r="CQ135" s="52" t="str">
        <f t="shared" si="383"/>
        <v/>
      </c>
      <c r="CX135" s="13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1"/>
      <c r="FS135" s="12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4"/>
      <c r="IB135" s="11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1"/>
      <c r="I136" s="12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1"/>
      <c r="BE136" s="12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4"/>
      <c r="CQ136" s="52" t="str">
        <f t="shared" si="383"/>
        <v/>
      </c>
      <c r="CX136" s="13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1"/>
      <c r="FS136" s="12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4"/>
      <c r="IB136" s="11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1"/>
      <c r="I137" s="12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1"/>
      <c r="BE137" s="12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4"/>
      <c r="CQ137" s="52" t="str">
        <f t="shared" si="383"/>
        <v/>
      </c>
      <c r="CX137" s="13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1"/>
      <c r="FS137" s="12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4"/>
      <c r="IB137" s="11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1"/>
      <c r="I138" s="12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1"/>
      <c r="BE138" s="12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4"/>
      <c r="CQ138" s="52" t="str">
        <f t="shared" si="383"/>
        <v/>
      </c>
      <c r="CX138" s="13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1"/>
      <c r="FS138" s="12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4"/>
      <c r="IB138" s="11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1"/>
      <c r="I139" s="12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1"/>
      <c r="BE139" s="12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4"/>
      <c r="CQ139" s="52" t="str">
        <f t="shared" si="383"/>
        <v/>
      </c>
      <c r="CX139" s="13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1"/>
      <c r="FS139" s="12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4"/>
      <c r="IB139" s="11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1"/>
      <c r="I140" s="12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1"/>
      <c r="BE140" s="12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4"/>
      <c r="CQ140" s="52" t="str">
        <f t="shared" si="383"/>
        <v/>
      </c>
      <c r="CX140" s="13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1"/>
      <c r="FS140" s="12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4"/>
      <c r="IB140" s="11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1"/>
      <c r="I141" s="12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1"/>
      <c r="BE141" s="12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4"/>
      <c r="CQ141" s="52" t="str">
        <f t="shared" si="383"/>
        <v/>
      </c>
      <c r="CX141" s="13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1"/>
      <c r="FS141" s="12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4"/>
      <c r="IB141" s="11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1"/>
      <c r="I142" s="12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1"/>
      <c r="BE142" s="12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4"/>
      <c r="CQ142" s="52" t="str">
        <f t="shared" si="383"/>
        <v/>
      </c>
      <c r="CX142" s="13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1"/>
      <c r="FS142" s="12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4"/>
      <c r="IB142" s="11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1"/>
      <c r="I143" s="12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1"/>
      <c r="BE143" s="12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4"/>
      <c r="CQ143" s="52" t="str">
        <f t="shared" si="383"/>
        <v/>
      </c>
      <c r="CX143" s="13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1"/>
      <c r="FS143" s="12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4"/>
      <c r="IB143" s="11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1"/>
      <c r="I144" s="12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1"/>
      <c r="BE144" s="12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4"/>
      <c r="CQ144" s="52" t="str">
        <f t="shared" si="383"/>
        <v/>
      </c>
      <c r="CX144" s="13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1"/>
      <c r="FS144" s="12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4"/>
      <c r="IB144" s="11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1"/>
      <c r="I145" s="12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1"/>
      <c r="BE145" s="12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4"/>
      <c r="CQ145" s="52" t="str">
        <f t="shared" si="383"/>
        <v/>
      </c>
      <c r="CX145" s="13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1"/>
      <c r="FS145" s="12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4"/>
      <c r="IB145" s="11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1"/>
      <c r="I146" s="12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1"/>
      <c r="BE146" s="12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4"/>
      <c r="CQ146" s="52" t="str">
        <f t="shared" si="383"/>
        <v/>
      </c>
      <c r="CX146" s="13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1"/>
      <c r="FS146" s="12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4"/>
      <c r="IB146" s="11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1"/>
      <c r="I147" s="12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1"/>
      <c r="BE147" s="12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4"/>
      <c r="CQ147" s="52" t="str">
        <f t="shared" si="383"/>
        <v/>
      </c>
      <c r="CX147" s="13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1"/>
      <c r="FS147" s="12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4"/>
      <c r="IB147" s="11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1"/>
      <c r="I148" s="12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1"/>
      <c r="BE148" s="12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4"/>
      <c r="CQ148" s="52" t="str">
        <f t="shared" si="383"/>
        <v/>
      </c>
      <c r="CX148" s="13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1"/>
      <c r="FS148" s="12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4"/>
      <c r="IB148" s="11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1"/>
      <c r="I149" s="12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1"/>
      <c r="BE149" s="12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4"/>
      <c r="CQ149" s="52" t="str">
        <f t="shared" si="383"/>
        <v/>
      </c>
      <c r="CX149" s="13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1"/>
      <c r="FS149" s="12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4"/>
      <c r="IB149" s="11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1"/>
      <c r="I150" s="12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1"/>
      <c r="BE150" s="12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4"/>
      <c r="CQ150" s="52" t="str">
        <f t="shared" si="383"/>
        <v/>
      </c>
      <c r="CX150" s="13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1"/>
      <c r="FS150" s="12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4"/>
      <c r="IB150" s="11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1"/>
      <c r="I151" s="12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1"/>
      <c r="BE151" s="12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4"/>
      <c r="CQ151" s="52" t="str">
        <f t="shared" si="383"/>
        <v/>
      </c>
      <c r="CX151" s="13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1"/>
      <c r="FS151" s="12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4"/>
      <c r="IB151" s="11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1"/>
      <c r="I152" s="12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1"/>
      <c r="BE152" s="12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4"/>
      <c r="CQ152" s="52" t="str">
        <f t="shared" si="383"/>
        <v/>
      </c>
      <c r="CX152" s="13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1"/>
      <c r="FS152" s="12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4"/>
      <c r="IB152" s="11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1"/>
      <c r="I153" s="12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1"/>
      <c r="BE153" s="12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4"/>
      <c r="CQ153" s="52" t="str">
        <f t="shared" si="383"/>
        <v/>
      </c>
      <c r="CX153" s="13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1"/>
      <c r="FS153" s="12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4"/>
      <c r="IB153" s="11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1"/>
      <c r="I154" s="12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1"/>
      <c r="BE154" s="12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4"/>
      <c r="CQ154" s="52" t="str">
        <f t="shared" si="383"/>
        <v/>
      </c>
      <c r="CX154" s="13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1"/>
      <c r="FS154" s="12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4"/>
      <c r="IB154" s="11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1"/>
      <c r="I155" s="12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1"/>
      <c r="BE155" s="12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4"/>
      <c r="CQ155" s="52" t="str">
        <f t="shared" si="383"/>
        <v/>
      </c>
      <c r="CX155" s="13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1"/>
      <c r="FS155" s="12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4"/>
      <c r="IB155" s="11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1"/>
      <c r="I156" s="12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1"/>
      <c r="BE156" s="12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4"/>
      <c r="CQ156" s="52" t="str">
        <f t="shared" si="383"/>
        <v/>
      </c>
      <c r="CX156" s="13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1"/>
      <c r="FS156" s="12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4"/>
      <c r="IB156" s="11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1"/>
      <c r="I157" s="12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1"/>
      <c r="BE157" s="12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4"/>
      <c r="CQ157" s="52" t="str">
        <f t="shared" si="383"/>
        <v/>
      </c>
      <c r="CX157" s="13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1"/>
      <c r="FS157" s="12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4"/>
      <c r="IB157" s="11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1"/>
      <c r="I158" s="12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1"/>
      <c r="BE158" s="12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4"/>
      <c r="CQ158" s="52" t="str">
        <f t="shared" si="383"/>
        <v/>
      </c>
      <c r="CX158" s="13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1"/>
      <c r="FS158" s="12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4"/>
      <c r="IB158" s="11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1"/>
      <c r="I159" s="12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1"/>
      <c r="BE159" s="12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4"/>
      <c r="CQ159" s="52" t="str">
        <f t="shared" si="383"/>
        <v/>
      </c>
      <c r="CX159" s="13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1"/>
      <c r="FS159" s="12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4"/>
      <c r="IB159" s="11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1"/>
      <c r="I160" s="12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1"/>
      <c r="BE160" s="12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4"/>
      <c r="CQ160" s="52" t="str">
        <f t="shared" si="383"/>
        <v/>
      </c>
      <c r="CX160" s="13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1"/>
      <c r="FS160" s="12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4"/>
      <c r="IB160" s="11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1"/>
      <c r="I161" s="12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1"/>
      <c r="BE161" s="12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4"/>
      <c r="CQ161" s="52" t="str">
        <f t="shared" si="383"/>
        <v/>
      </c>
      <c r="CX161" s="13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1"/>
      <c r="FS161" s="12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4"/>
      <c r="IB161" s="11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1"/>
      <c r="I162" s="12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1"/>
      <c r="BE162" s="12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4"/>
      <c r="CQ162" s="52" t="str">
        <f t="shared" ref="CQ162:CQ201" si="582">IF(AND(Sufficient_data="Yes",Include_study?="Yes"),c_/(c_+d_),"")</f>
        <v/>
      </c>
      <c r="CX162" s="13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1"/>
      <c r="FS162" s="12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4"/>
      <c r="IB162" s="11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1"/>
      <c r="I163" s="12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1"/>
      <c r="BE163" s="12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4"/>
      <c r="CQ163" s="52" t="str">
        <f t="shared" si="582"/>
        <v/>
      </c>
      <c r="CX163" s="13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1"/>
      <c r="FS163" s="12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4"/>
      <c r="IB163" s="11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1"/>
      <c r="I164" s="12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1"/>
      <c r="BE164" s="12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4"/>
      <c r="CQ164" s="52" t="str">
        <f t="shared" si="582"/>
        <v/>
      </c>
      <c r="CX164" s="13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1"/>
      <c r="FS164" s="12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4"/>
      <c r="IB164" s="11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1"/>
      <c r="I165" s="12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1"/>
      <c r="BE165" s="12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4"/>
      <c r="CQ165" s="52" t="str">
        <f t="shared" si="582"/>
        <v/>
      </c>
      <c r="CX165" s="13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1"/>
      <c r="FS165" s="12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4"/>
      <c r="IB165" s="11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1"/>
      <c r="I166" s="12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1"/>
      <c r="BE166" s="12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4"/>
      <c r="CQ166" s="52" t="str">
        <f t="shared" si="582"/>
        <v/>
      </c>
      <c r="CX166" s="13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1"/>
      <c r="FS166" s="12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4"/>
      <c r="IB166" s="11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1"/>
      <c r="I167" s="12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1"/>
      <c r="BE167" s="12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4"/>
      <c r="CQ167" s="52" t="str">
        <f t="shared" si="582"/>
        <v/>
      </c>
      <c r="CX167" s="13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1"/>
      <c r="FS167" s="12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4"/>
      <c r="IB167" s="11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1"/>
      <c r="I168" s="12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1"/>
      <c r="BE168" s="12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4"/>
      <c r="CQ168" s="52" t="str">
        <f t="shared" si="582"/>
        <v/>
      </c>
      <c r="CX168" s="13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1"/>
      <c r="FS168" s="12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4"/>
      <c r="IB168" s="11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1"/>
      <c r="I169" s="12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1"/>
      <c r="BE169" s="12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4"/>
      <c r="CQ169" s="52" t="str">
        <f t="shared" si="582"/>
        <v/>
      </c>
      <c r="CX169" s="13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1"/>
      <c r="FS169" s="12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4"/>
      <c r="IB169" s="11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1"/>
      <c r="I170" s="12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1"/>
      <c r="BE170" s="12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4"/>
      <c r="CQ170" s="52" t="str">
        <f t="shared" si="582"/>
        <v/>
      </c>
      <c r="CX170" s="13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1"/>
      <c r="FS170" s="12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4"/>
      <c r="IB170" s="11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1"/>
      <c r="I171" s="12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1"/>
      <c r="BE171" s="12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4"/>
      <c r="CQ171" s="52" t="str">
        <f t="shared" si="582"/>
        <v/>
      </c>
      <c r="CX171" s="13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1"/>
      <c r="FS171" s="12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4"/>
      <c r="IB171" s="11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1"/>
      <c r="I172" s="12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1"/>
      <c r="BE172" s="12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4"/>
      <c r="CQ172" s="52" t="str">
        <f t="shared" si="582"/>
        <v/>
      </c>
      <c r="CX172" s="13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1"/>
      <c r="FS172" s="12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4"/>
      <c r="IB172" s="11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1"/>
      <c r="I173" s="12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1"/>
      <c r="BE173" s="12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4"/>
      <c r="CQ173" s="52" t="str">
        <f t="shared" si="582"/>
        <v/>
      </c>
      <c r="CX173" s="13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1"/>
      <c r="FS173" s="12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4"/>
      <c r="IB173" s="11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1"/>
      <c r="I174" s="12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1"/>
      <c r="BE174" s="12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4"/>
      <c r="CQ174" s="52" t="str">
        <f t="shared" si="582"/>
        <v/>
      </c>
      <c r="CX174" s="13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1"/>
      <c r="FS174" s="12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4"/>
      <c r="IB174" s="11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1"/>
      <c r="I175" s="12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1"/>
      <c r="BE175" s="12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4"/>
      <c r="CQ175" s="52" t="str">
        <f t="shared" si="582"/>
        <v/>
      </c>
      <c r="CX175" s="13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1"/>
      <c r="FS175" s="12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4"/>
      <c r="IB175" s="11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1"/>
      <c r="I176" s="12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1"/>
      <c r="BE176" s="12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4"/>
      <c r="CQ176" s="52" t="str">
        <f t="shared" si="582"/>
        <v/>
      </c>
      <c r="CX176" s="13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1"/>
      <c r="FS176" s="12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4"/>
      <c r="IB176" s="11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1"/>
      <c r="I177" s="12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1"/>
      <c r="BE177" s="12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4"/>
      <c r="CQ177" s="52" t="str">
        <f t="shared" si="582"/>
        <v/>
      </c>
      <c r="CX177" s="13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1"/>
      <c r="FS177" s="12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4"/>
      <c r="IB177" s="11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1"/>
      <c r="I178" s="12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1"/>
      <c r="BE178" s="12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4"/>
      <c r="CQ178" s="52" t="str">
        <f t="shared" si="582"/>
        <v/>
      </c>
      <c r="CX178" s="13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1"/>
      <c r="FS178" s="12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4"/>
      <c r="IB178" s="11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1"/>
      <c r="I179" s="12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1"/>
      <c r="BE179" s="12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4"/>
      <c r="CQ179" s="52" t="str">
        <f t="shared" si="582"/>
        <v/>
      </c>
      <c r="CX179" s="13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1"/>
      <c r="FS179" s="12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4"/>
      <c r="IB179" s="11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1"/>
      <c r="I180" s="12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1"/>
      <c r="BE180" s="12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4"/>
      <c r="CQ180" s="52" t="str">
        <f t="shared" si="582"/>
        <v/>
      </c>
      <c r="CX180" s="13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1"/>
      <c r="FS180" s="12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4"/>
      <c r="IB180" s="11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1"/>
      <c r="I181" s="12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1"/>
      <c r="BE181" s="12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4"/>
      <c r="CQ181" s="52" t="str">
        <f t="shared" si="582"/>
        <v/>
      </c>
      <c r="CX181" s="13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1"/>
      <c r="FS181" s="12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4"/>
      <c r="IB181" s="11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1"/>
      <c r="I182" s="12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1"/>
      <c r="BE182" s="12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4"/>
      <c r="CQ182" s="52" t="str">
        <f t="shared" si="582"/>
        <v/>
      </c>
      <c r="CX182" s="13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1"/>
      <c r="FS182" s="12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4"/>
      <c r="IB182" s="11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1"/>
      <c r="I183" s="12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1"/>
      <c r="BE183" s="12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4"/>
      <c r="CQ183" s="52" t="str">
        <f t="shared" si="582"/>
        <v/>
      </c>
      <c r="CX183" s="13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1"/>
      <c r="FS183" s="12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4"/>
      <c r="IB183" s="11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1"/>
      <c r="I184" s="12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1"/>
      <c r="BE184" s="12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4"/>
      <c r="CQ184" s="52" t="str">
        <f t="shared" si="582"/>
        <v/>
      </c>
      <c r="CX184" s="13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1"/>
      <c r="FS184" s="12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4"/>
      <c r="IB184" s="11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1"/>
      <c r="I185" s="12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1"/>
      <c r="BE185" s="12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4"/>
      <c r="CQ185" s="52" t="str">
        <f t="shared" si="582"/>
        <v/>
      </c>
      <c r="CX185" s="13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1"/>
      <c r="FS185" s="12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4"/>
      <c r="IB185" s="11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1"/>
      <c r="I186" s="12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1"/>
      <c r="BE186" s="12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4"/>
      <c r="CQ186" s="52" t="str">
        <f t="shared" si="582"/>
        <v/>
      </c>
      <c r="CX186" s="13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1"/>
      <c r="FS186" s="12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4"/>
      <c r="IB186" s="11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1"/>
      <c r="I187" s="12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1"/>
      <c r="BE187" s="12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4"/>
      <c r="CQ187" s="52" t="str">
        <f t="shared" si="582"/>
        <v/>
      </c>
      <c r="CX187" s="13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1"/>
      <c r="FS187" s="12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4"/>
      <c r="IB187" s="11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1"/>
      <c r="I188" s="12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1"/>
      <c r="BE188" s="12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4"/>
      <c r="CQ188" s="52" t="str">
        <f t="shared" si="582"/>
        <v/>
      </c>
      <c r="CX188" s="13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1"/>
      <c r="FS188" s="12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4"/>
      <c r="IB188" s="11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1"/>
      <c r="I189" s="12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1"/>
      <c r="BE189" s="12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4"/>
      <c r="CQ189" s="52" t="str">
        <f t="shared" si="582"/>
        <v/>
      </c>
      <c r="CX189" s="13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1"/>
      <c r="FS189" s="12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4"/>
      <c r="IB189" s="11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1"/>
      <c r="I190" s="12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1"/>
      <c r="BE190" s="12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4"/>
      <c r="CQ190" s="52" t="str">
        <f t="shared" si="582"/>
        <v/>
      </c>
      <c r="CX190" s="13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1"/>
      <c r="FS190" s="12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4"/>
      <c r="IB190" s="11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1"/>
      <c r="I191" s="12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1"/>
      <c r="BE191" s="12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4"/>
      <c r="CQ191" s="52" t="str">
        <f t="shared" si="582"/>
        <v/>
      </c>
      <c r="CX191" s="13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1"/>
      <c r="FS191" s="12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4"/>
      <c r="IB191" s="11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1"/>
      <c r="I192" s="12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1"/>
      <c r="BE192" s="12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4"/>
      <c r="CQ192" s="52" t="str">
        <f t="shared" si="582"/>
        <v/>
      </c>
      <c r="CX192" s="13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1"/>
      <c r="FS192" s="12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4"/>
      <c r="IB192" s="11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1"/>
      <c r="I193" s="12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1"/>
      <c r="BE193" s="12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4"/>
      <c r="CQ193" s="52" t="str">
        <f t="shared" si="582"/>
        <v/>
      </c>
      <c r="CX193" s="13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1"/>
      <c r="FS193" s="12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4"/>
      <c r="IB193" s="11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1"/>
      <c r="I194" s="12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1"/>
      <c r="BE194" s="12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4"/>
      <c r="CQ194" s="52" t="str">
        <f t="shared" si="582"/>
        <v/>
      </c>
      <c r="CX194" s="13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1"/>
      <c r="FS194" s="12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4"/>
      <c r="IB194" s="11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1"/>
      <c r="I195" s="12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1"/>
      <c r="BE195" s="12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4"/>
      <c r="CQ195" s="52" t="str">
        <f t="shared" si="582"/>
        <v/>
      </c>
      <c r="CX195" s="13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1"/>
      <c r="FS195" s="12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4"/>
      <c r="IB195" s="11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1"/>
      <c r="I196" s="12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1"/>
      <c r="BE196" s="12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4"/>
      <c r="CQ196" s="52" t="str">
        <f t="shared" si="582"/>
        <v/>
      </c>
      <c r="CX196" s="13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1"/>
      <c r="FS196" s="12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4"/>
      <c r="IB196" s="11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1"/>
      <c r="I197" s="12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1"/>
      <c r="BE197" s="12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4"/>
      <c r="CQ197" s="52" t="str">
        <f t="shared" si="582"/>
        <v/>
      </c>
      <c r="CX197" s="13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1"/>
      <c r="FS197" s="12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4"/>
      <c r="IB197" s="11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1"/>
      <c r="I198" s="12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1"/>
      <c r="BE198" s="12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4"/>
      <c r="CQ198" s="52" t="str">
        <f t="shared" si="582"/>
        <v/>
      </c>
      <c r="CX198" s="13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1"/>
      <c r="FS198" s="12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4"/>
      <c r="IB198" s="11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1"/>
      <c r="I199" s="12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1"/>
      <c r="BE199" s="12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4"/>
      <c r="CQ199" s="52" t="str">
        <f t="shared" si="582"/>
        <v/>
      </c>
      <c r="CX199" s="13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1"/>
      <c r="FS199" s="12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4"/>
      <c r="IB199" s="11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1"/>
      <c r="I200" s="12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1"/>
      <c r="BE200" s="12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4"/>
      <c r="CQ200" s="52" t="str">
        <f t="shared" si="582"/>
        <v/>
      </c>
      <c r="CX200" s="13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1"/>
      <c r="FS200" s="12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4"/>
      <c r="IB200" s="11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2"/>
      <c r="I201" s="12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2"/>
      <c r="BE201" s="12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5"/>
      <c r="CQ201" s="53" t="str">
        <f t="shared" si="582"/>
        <v/>
      </c>
      <c r="CX201" s="13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2"/>
      <c r="FS201" s="12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5"/>
      <c r="IB201" s="11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20"/>
  <sheetViews>
    <sheetView showGridLines="0" tabSelected="1" workbookViewId="0">
      <selection activeCell="L12" sqref="L12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36"/>
      <c r="G3" s="136"/>
      <c r="H3" s="136"/>
      <c r="I3" s="136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335</v>
      </c>
      <c r="G4" s="105" t="s">
        <v>336</v>
      </c>
      <c r="H4" s="105" t="s">
        <v>337</v>
      </c>
      <c r="I4" s="106" t="s">
        <v>30</v>
      </c>
      <c r="J4" s="95" t="s">
        <v>338</v>
      </c>
      <c r="K4" s="95"/>
      <c r="L4" s="96" t="s">
        <v>1</v>
      </c>
      <c r="M4" s="105" t="s">
        <v>93</v>
      </c>
      <c r="N4" s="105" t="s">
        <v>339</v>
      </c>
    </row>
    <row r="5" spans="5:14" x14ac:dyDescent="0.3">
      <c r="E5" s="102" t="s">
        <v>12</v>
      </c>
      <c r="F5" s="103">
        <v>0.62857717688717207</v>
      </c>
      <c r="G5" s="103">
        <v>0.45425312102677895</v>
      </c>
      <c r="H5" s="103">
        <v>0.86979978565772997</v>
      </c>
      <c r="I5" s="104">
        <v>0.2371698967149076</v>
      </c>
      <c r="J5" s="95" t="s">
        <v>338</v>
      </c>
      <c r="K5" s="95"/>
      <c r="L5" s="102" t="s">
        <v>12</v>
      </c>
      <c r="M5" s="103">
        <v>-0.46429646312513978</v>
      </c>
      <c r="N5" s="103">
        <v>0.16568321517430662</v>
      </c>
    </row>
    <row r="6" spans="5:14" x14ac:dyDescent="0.3">
      <c r="E6" s="102" t="s">
        <v>21</v>
      </c>
      <c r="F6" s="103">
        <v>0.65337955587467555</v>
      </c>
      <c r="G6" s="103">
        <v>0.47916150808292762</v>
      </c>
      <c r="H6" s="103">
        <v>0.89094144006472376</v>
      </c>
      <c r="I6" s="104">
        <v>0.26016089082347649</v>
      </c>
      <c r="J6" s="95" t="s">
        <v>338</v>
      </c>
      <c r="K6" s="95"/>
      <c r="L6" s="102" t="s">
        <v>21</v>
      </c>
      <c r="M6" s="103">
        <v>-0.42559706914049256</v>
      </c>
      <c r="N6" s="103">
        <v>0.15819301029191302</v>
      </c>
    </row>
    <row r="7" spans="5:14" x14ac:dyDescent="0.3">
      <c r="E7" s="102" t="s">
        <v>22</v>
      </c>
      <c r="F7" s="103">
        <v>0.64687822637613435</v>
      </c>
      <c r="G7" s="103">
        <v>0.45282833998976635</v>
      </c>
      <c r="H7" s="103">
        <v>0.92408403539626094</v>
      </c>
      <c r="I7" s="104">
        <v>0.19670612731083356</v>
      </c>
      <c r="J7" s="95" t="s">
        <v>338</v>
      </c>
      <c r="K7" s="95"/>
      <c r="L7" s="102" t="s">
        <v>22</v>
      </c>
      <c r="M7" s="103">
        <v>-0.43559721490623754</v>
      </c>
      <c r="N7" s="103">
        <v>0.18192791899446659</v>
      </c>
    </row>
    <row r="8" spans="5:14" x14ac:dyDescent="0.3">
      <c r="E8" s="102" t="s">
        <v>24</v>
      </c>
      <c r="F8" s="103">
        <v>0.79010602984305001</v>
      </c>
      <c r="G8" s="103">
        <v>0.43307277484477652</v>
      </c>
      <c r="H8" s="103">
        <v>1.4414841445946327</v>
      </c>
      <c r="I8" s="104">
        <v>6.9193115016761869E-2</v>
      </c>
      <c r="J8" s="95" t="s">
        <v>338</v>
      </c>
      <c r="K8" s="95"/>
      <c r="L8" s="102" t="s">
        <v>24</v>
      </c>
      <c r="M8" s="103">
        <v>-0.23558812753589345</v>
      </c>
      <c r="N8" s="103">
        <v>0.30674454954027786</v>
      </c>
    </row>
    <row r="9" spans="5:14" x14ac:dyDescent="0.3">
      <c r="E9" s="102" t="s">
        <v>25</v>
      </c>
      <c r="F9" s="103">
        <v>0.62959473936975874</v>
      </c>
      <c r="G9" s="103">
        <v>0.454858297217622</v>
      </c>
      <c r="H9" s="103">
        <v>0.87145719505788455</v>
      </c>
      <c r="I9" s="104">
        <v>0.23676997013402054</v>
      </c>
      <c r="J9" s="95" t="s">
        <v>338</v>
      </c>
      <c r="K9" s="95"/>
      <c r="L9" s="102" t="s">
        <v>25</v>
      </c>
      <c r="M9" s="103">
        <v>-0.46267893742567012</v>
      </c>
      <c r="N9" s="103">
        <v>0.16582308334470497</v>
      </c>
    </row>
    <row r="10" spans="5:14" x14ac:dyDescent="0.3">
      <c r="E10" s="102"/>
      <c r="F10" s="103"/>
      <c r="G10" s="103"/>
      <c r="H10" s="103"/>
      <c r="I10" s="104"/>
      <c r="J10" s="95" t="s">
        <v>338</v>
      </c>
      <c r="K10" s="95"/>
      <c r="L10" s="102"/>
      <c r="M10" s="103"/>
      <c r="N10" s="103"/>
    </row>
    <row r="11" spans="5:14" x14ac:dyDescent="0.3">
      <c r="E11" s="135"/>
      <c r="F11" s="103"/>
      <c r="G11" s="103"/>
      <c r="H11" s="103"/>
      <c r="I11" s="137"/>
      <c r="L11" s="135"/>
      <c r="M11" s="103"/>
      <c r="N11" s="103"/>
    </row>
    <row r="12" spans="5:14" x14ac:dyDescent="0.3">
      <c r="E12" s="135"/>
      <c r="F12" s="103"/>
      <c r="G12" s="103"/>
      <c r="H12" s="103"/>
      <c r="I12" s="137"/>
      <c r="L12" s="135"/>
      <c r="M12" s="103"/>
      <c r="N12" s="103"/>
    </row>
    <row r="13" spans="5:14" x14ac:dyDescent="0.3">
      <c r="E13" s="135"/>
      <c r="F13" s="103"/>
      <c r="G13" s="103"/>
      <c r="H13" s="103"/>
      <c r="I13" s="137"/>
      <c r="L13" s="135"/>
      <c r="M13" s="103"/>
      <c r="N13" s="103"/>
    </row>
    <row r="14" spans="5:14" x14ac:dyDescent="0.3">
      <c r="E14" s="135"/>
      <c r="F14" s="103"/>
      <c r="G14" s="103"/>
      <c r="H14" s="103"/>
      <c r="I14" s="137"/>
      <c r="L14" s="135"/>
      <c r="M14" s="103"/>
      <c r="N14" s="103"/>
    </row>
    <row r="15" spans="5:14" x14ac:dyDescent="0.3">
      <c r="E15" s="135"/>
      <c r="F15" s="103"/>
      <c r="G15" s="103"/>
      <c r="H15" s="103"/>
      <c r="I15" s="137"/>
      <c r="L15" s="135"/>
      <c r="M15" s="103"/>
      <c r="N15" s="103"/>
    </row>
    <row r="16" spans="5:14" x14ac:dyDescent="0.3">
      <c r="E16" s="135"/>
      <c r="F16" s="103"/>
      <c r="G16" s="103"/>
      <c r="H16" s="103"/>
      <c r="I16" s="137"/>
      <c r="L16" s="135"/>
      <c r="M16" s="103"/>
      <c r="N16" s="103"/>
    </row>
    <row r="17" spans="5:14" x14ac:dyDescent="0.3">
      <c r="E17" s="135"/>
      <c r="F17" s="103"/>
      <c r="G17" s="103"/>
      <c r="H17" s="103"/>
      <c r="I17" s="137"/>
      <c r="L17" s="135"/>
      <c r="M17" s="103"/>
      <c r="N17" s="103"/>
    </row>
    <row r="18" spans="5:14" x14ac:dyDescent="0.3">
      <c r="E18" s="135"/>
      <c r="F18" s="103"/>
      <c r="G18" s="103"/>
      <c r="H18" s="103"/>
      <c r="I18" s="137"/>
      <c r="L18" s="135"/>
      <c r="M18" s="103"/>
      <c r="N18" s="103"/>
    </row>
    <row r="19" spans="5:14" x14ac:dyDescent="0.3">
      <c r="E19" s="135"/>
      <c r="F19" s="103"/>
      <c r="G19" s="103"/>
      <c r="H19" s="103"/>
      <c r="I19" s="137"/>
      <c r="L19" s="135"/>
      <c r="M19" s="103"/>
      <c r="N19" s="103"/>
    </row>
    <row r="20" spans="5:14" x14ac:dyDescent="0.3">
      <c r="E20" s="135"/>
      <c r="F20" s="103"/>
      <c r="G20" s="103"/>
      <c r="H20" s="103"/>
      <c r="I20" s="137"/>
      <c r="L20" s="135"/>
      <c r="M20" s="103"/>
      <c r="N20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</cp:lastModifiedBy>
  <cp:revision/>
  <dcterms:created xsi:type="dcterms:W3CDTF">2013-09-05T11:10:04Z</dcterms:created>
  <dcterms:modified xsi:type="dcterms:W3CDTF">2023-06-23T06:58:55Z</dcterms:modified>
  <cp:category/>
  <cp:contentStatus/>
</cp:coreProperties>
</file>