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datasettype\"/>
    </mc:Choice>
  </mc:AlternateContent>
  <bookViews>
    <workbookView xWindow="-110" yWindow="-110" windowWidth="19420" windowHeight="10300" tabRatio="819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9" i="1"/>
  <c r="J8" i="1" l="1"/>
  <c r="J9" i="1"/>
  <c r="J5" i="1" l="1"/>
  <c r="B4" i="8"/>
  <c r="J2" i="1"/>
  <c r="A2" i="1" s="1"/>
  <c r="J3" i="1"/>
  <c r="A3" i="1" s="1"/>
  <c r="J4" i="1"/>
  <c r="J6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CH31" i="2" s="1"/>
  <c r="J32" i="1"/>
  <c r="J33" i="1"/>
  <c r="J34" i="1"/>
  <c r="J35" i="1"/>
  <c r="J36" i="1"/>
  <c r="J37" i="1"/>
  <c r="J38" i="1"/>
  <c r="J39" i="1"/>
  <c r="AC39" i="2" s="1"/>
  <c r="J40" i="1"/>
  <c r="J41" i="1"/>
  <c r="J42" i="1"/>
  <c r="J43" i="1"/>
  <c r="J44" i="1"/>
  <c r="J45" i="1"/>
  <c r="J46" i="1"/>
  <c r="J47" i="1"/>
  <c r="HT47" i="2" s="1"/>
  <c r="J48" i="1"/>
  <c r="J49" i="1"/>
  <c r="J50" i="1"/>
  <c r="J51" i="1"/>
  <c r="J52" i="1"/>
  <c r="J53" i="1"/>
  <c r="AR53" i="2" s="1"/>
  <c r="J54" i="1"/>
  <c r="J55" i="1"/>
  <c r="FB55" i="2" s="1"/>
  <c r="J56" i="1"/>
  <c r="J57" i="1"/>
  <c r="J58" i="1"/>
  <c r="J59" i="1"/>
  <c r="J60" i="1"/>
  <c r="J61" i="1"/>
  <c r="GD61" i="2" s="1"/>
  <c r="J62" i="1"/>
  <c r="J63" i="1"/>
  <c r="J64" i="1"/>
  <c r="J65" i="1"/>
  <c r="J66" i="1"/>
  <c r="J67" i="1"/>
  <c r="J68" i="1"/>
  <c r="D65" i="8" s="1"/>
  <c r="J69" i="1"/>
  <c r="GD69" i="2" s="1"/>
  <c r="J70" i="1"/>
  <c r="J71" i="1"/>
  <c r="DM71" i="2" s="1"/>
  <c r="J72" i="1"/>
  <c r="J73" i="1"/>
  <c r="J74" i="1"/>
  <c r="J75" i="1"/>
  <c r="J76" i="1"/>
  <c r="CF73" i="2" s="1"/>
  <c r="J77" i="1"/>
  <c r="ID77" i="2" s="1"/>
  <c r="J78" i="1"/>
  <c r="J79" i="1"/>
  <c r="L79" i="2" s="1"/>
  <c r="J80" i="1"/>
  <c r="J81" i="1"/>
  <c r="J82" i="1"/>
  <c r="J83" i="1"/>
  <c r="J84" i="1"/>
  <c r="J85" i="1"/>
  <c r="IC85" i="2" s="1"/>
  <c r="J86" i="1"/>
  <c r="J87" i="1"/>
  <c r="GE87" i="2" s="1"/>
  <c r="J88" i="1"/>
  <c r="J89" i="1"/>
  <c r="J90" i="1"/>
  <c r="J91" i="1"/>
  <c r="J92" i="1"/>
  <c r="DA89" i="2" s="1"/>
  <c r="J93" i="1"/>
  <c r="IC93" i="2" s="1"/>
  <c r="J94" i="1"/>
  <c r="J95" i="1"/>
  <c r="FZ95" i="2" s="1"/>
  <c r="J96" i="1"/>
  <c r="J97" i="1"/>
  <c r="J98" i="1"/>
  <c r="J99" i="1"/>
  <c r="J100" i="1"/>
  <c r="JA97" i="2" s="1"/>
  <c r="J101" i="1"/>
  <c r="AI101" i="8" s="1"/>
  <c r="J102" i="1"/>
  <c r="J103" i="1"/>
  <c r="J104" i="1"/>
  <c r="J105" i="1"/>
  <c r="J106" i="1"/>
  <c r="J107" i="1"/>
  <c r="J108" i="1"/>
  <c r="J109" i="1"/>
  <c r="J110" i="1"/>
  <c r="J111" i="1"/>
  <c r="BE111" i="8" s="1"/>
  <c r="J112" i="1"/>
  <c r="J113" i="1"/>
  <c r="J114" i="1"/>
  <c r="J115" i="1"/>
  <c r="J116" i="1"/>
  <c r="G116" i="10" s="1"/>
  <c r="J117" i="1"/>
  <c r="AM117" i="2" s="1"/>
  <c r="J118" i="1"/>
  <c r="J119" i="1"/>
  <c r="IC119" i="2" s="1"/>
  <c r="J120" i="1"/>
  <c r="J121" i="1"/>
  <c r="J122" i="1"/>
  <c r="J123" i="1"/>
  <c r="J124" i="1"/>
  <c r="AN121" i="2" s="1"/>
  <c r="J125" i="1"/>
  <c r="L125" i="2" s="1"/>
  <c r="J126" i="1"/>
  <c r="J127" i="1"/>
  <c r="X127" i="2" s="1"/>
  <c r="J128" i="1"/>
  <c r="J129" i="1"/>
  <c r="J130" i="1"/>
  <c r="J131" i="1"/>
  <c r="J132" i="1"/>
  <c r="J133" i="1"/>
  <c r="R133" i="2" s="1"/>
  <c r="J134" i="1"/>
  <c r="J135" i="1"/>
  <c r="FB135" i="2" s="1"/>
  <c r="J136" i="1"/>
  <c r="J137" i="1"/>
  <c r="J138" i="1"/>
  <c r="J139" i="1"/>
  <c r="J140" i="1"/>
  <c r="AG137" i="8" s="1"/>
  <c r="J141" i="1"/>
  <c r="FZ141" i="2" s="1"/>
  <c r="J142" i="1"/>
  <c r="J143" i="1"/>
  <c r="CZ143" i="2" s="1"/>
  <c r="J144" i="1"/>
  <c r="J145" i="1"/>
  <c r="J146" i="1"/>
  <c r="J147" i="1"/>
  <c r="J148" i="1"/>
  <c r="J149" i="1"/>
  <c r="AI149" i="8" s="1"/>
  <c r="J150" i="1"/>
  <c r="J151" i="1"/>
  <c r="J152" i="1"/>
  <c r="J153" i="1"/>
  <c r="J154" i="1"/>
  <c r="J155" i="1"/>
  <c r="J156" i="1"/>
  <c r="J157" i="1"/>
  <c r="R157" i="2" s="1"/>
  <c r="J158" i="1"/>
  <c r="J159" i="1"/>
  <c r="J160" i="1"/>
  <c r="J161" i="1"/>
  <c r="J162" i="1"/>
  <c r="J163" i="1"/>
  <c r="J164" i="1"/>
  <c r="J165" i="1"/>
  <c r="AT165" i="8" s="1"/>
  <c r="J166" i="1"/>
  <c r="J167" i="1"/>
  <c r="J168" i="1"/>
  <c r="J169" i="1"/>
  <c r="J170" i="1"/>
  <c r="J171" i="1"/>
  <c r="J172" i="1"/>
  <c r="J173" i="1"/>
  <c r="IE173" i="2" s="1"/>
  <c r="J174" i="1"/>
  <c r="J175" i="1"/>
  <c r="HU175" i="2" s="1"/>
  <c r="J176" i="1"/>
  <c r="J177" i="1"/>
  <c r="J178" i="1"/>
  <c r="J179" i="1"/>
  <c r="J180" i="1"/>
  <c r="J181" i="1"/>
  <c r="AJ181" i="2" s="1"/>
  <c r="AK181" i="2" s="1"/>
  <c r="J182" i="1"/>
  <c r="J183" i="1"/>
  <c r="AI183" i="8" s="1"/>
  <c r="J184" i="1"/>
  <c r="J185" i="1"/>
  <c r="J186" i="1"/>
  <c r="J187" i="1"/>
  <c r="J188" i="1"/>
  <c r="J189" i="1"/>
  <c r="GD189" i="2" s="1"/>
  <c r="J190" i="1"/>
  <c r="J191" i="1"/>
  <c r="IE191" i="2" s="1"/>
  <c r="J192" i="1"/>
  <c r="J193" i="1"/>
  <c r="J194" i="1"/>
  <c r="J195" i="1"/>
  <c r="J196" i="1"/>
  <c r="L193" i="2" s="1"/>
  <c r="J197" i="1"/>
  <c r="DN197" i="2" s="1"/>
  <c r="J198" i="1"/>
  <c r="J199" i="1"/>
  <c r="D199" i="10" s="1"/>
  <c r="J200" i="1"/>
  <c r="J201" i="1"/>
  <c r="J202" i="1"/>
  <c r="J203" i="1"/>
  <c r="J204" i="1"/>
  <c r="E1" i="8"/>
  <c r="GM66" i="2"/>
  <c r="GM71" i="2"/>
  <c r="GN58" i="2"/>
  <c r="GB114" i="2"/>
  <c r="GQ82" i="2"/>
  <c r="GV3" i="2"/>
  <c r="HA1" i="2"/>
  <c r="FT58" i="2"/>
  <c r="FT138" i="2"/>
  <c r="FT155" i="2"/>
  <c r="W163" i="8"/>
  <c r="EP1" i="2"/>
  <c r="GT170" i="2"/>
  <c r="B4" i="9"/>
  <c r="DD66" i="2"/>
  <c r="DB1" i="2"/>
  <c r="DB50" i="2"/>
  <c r="DL50" i="2" s="1"/>
  <c r="DE194" i="2"/>
  <c r="B21" i="9"/>
  <c r="J32" i="10"/>
  <c r="DJ146" i="2"/>
  <c r="EG1" i="2"/>
  <c r="EE1" i="2"/>
  <c r="EF1" i="2"/>
  <c r="DG1" i="2"/>
  <c r="DI34" i="2"/>
  <c r="DI146" i="2"/>
  <c r="DH34" i="2"/>
  <c r="DH138" i="2"/>
  <c r="DH170" i="2"/>
  <c r="DZ1" i="2"/>
  <c r="B9" i="5"/>
  <c r="FX194" i="2"/>
  <c r="AU179" i="2"/>
  <c r="FY83" i="2"/>
  <c r="FY67" i="2"/>
  <c r="FY51" i="2"/>
  <c r="AU35" i="2"/>
  <c r="AU34" i="2"/>
  <c r="BF42" i="2"/>
  <c r="BF91" i="2"/>
  <c r="BF146" i="2"/>
  <c r="BF195" i="2"/>
  <c r="BF1" i="2"/>
  <c r="AQ34" i="2"/>
  <c r="AQ66" i="2"/>
  <c r="AQ147" i="2"/>
  <c r="BV83" i="2"/>
  <c r="BV99" i="2"/>
  <c r="BV131" i="2"/>
  <c r="BV147" i="2"/>
  <c r="BV170" i="2"/>
  <c r="BX170" i="2" s="1"/>
  <c r="J51" i="2"/>
  <c r="BW34" i="2"/>
  <c r="BW43" i="2"/>
  <c r="BW58" i="2"/>
  <c r="BW75" i="2"/>
  <c r="BW115" i="2"/>
  <c r="BW131" i="2"/>
  <c r="BW147" i="2"/>
  <c r="BW162" i="2"/>
  <c r="BW163" i="2"/>
  <c r="BW179" i="2"/>
  <c r="BW195" i="2"/>
  <c r="K76" i="2"/>
  <c r="K139" i="2"/>
  <c r="K155" i="2"/>
  <c r="K171" i="2"/>
  <c r="K187" i="2"/>
  <c r="BM10" i="2"/>
  <c r="CI35" i="2"/>
  <c r="CK35" i="2" s="1"/>
  <c r="CI51" i="2"/>
  <c r="CJ51" i="2" s="1"/>
  <c r="CI58" i="2"/>
  <c r="CK58" i="2" s="1"/>
  <c r="CI82" i="2"/>
  <c r="CJ82" i="2" s="1"/>
  <c r="CI83" i="2"/>
  <c r="CI107" i="2"/>
  <c r="CI123" i="2"/>
  <c r="CI162" i="2"/>
  <c r="CJ162" i="2" s="1"/>
  <c r="CG42" i="2"/>
  <c r="CG83" i="2"/>
  <c r="CG99" i="2"/>
  <c r="CG123" i="2"/>
  <c r="CG179" i="2"/>
  <c r="CG195" i="2"/>
  <c r="B4" i="10"/>
  <c r="G195" i="10"/>
  <c r="G179" i="10"/>
  <c r="G163" i="10"/>
  <c r="G147" i="10"/>
  <c r="G131" i="10"/>
  <c r="G107" i="10"/>
  <c r="G91" i="10"/>
  <c r="G51" i="10"/>
  <c r="FE19" i="2"/>
  <c r="FE58" i="2"/>
  <c r="FE83" i="2"/>
  <c r="FE99" i="2"/>
  <c r="FE130" i="2"/>
  <c r="FE187" i="2"/>
  <c r="F19" i="10"/>
  <c r="F35" i="10"/>
  <c r="F51" i="10"/>
  <c r="F76" i="10"/>
  <c r="F91" i="10"/>
  <c r="F115" i="10"/>
  <c r="F131" i="10"/>
  <c r="F147" i="10"/>
  <c r="F163" i="10"/>
  <c r="F170" i="10"/>
  <c r="F179" i="10"/>
  <c r="F1" i="10"/>
  <c r="FF19" i="2"/>
  <c r="FF35" i="2"/>
  <c r="FF50" i="2"/>
  <c r="FF51" i="2"/>
  <c r="FF75" i="2"/>
  <c r="FF91" i="2"/>
  <c r="FF115" i="2"/>
  <c r="FF131" i="2"/>
  <c r="FF146" i="2"/>
  <c r="FF147" i="2"/>
  <c r="FF163" i="2"/>
  <c r="FF179" i="2"/>
  <c r="E10" i="10"/>
  <c r="FB10" i="2" s="1"/>
  <c r="E11" i="10"/>
  <c r="FB11" i="2" s="1"/>
  <c r="FG42" i="2"/>
  <c r="FG83" i="2"/>
  <c r="FG107" i="2"/>
  <c r="FG123" i="2"/>
  <c r="FG186" i="2"/>
  <c r="FG195" i="2"/>
  <c r="FH43" i="2"/>
  <c r="FH50" i="2"/>
  <c r="FH83" i="2"/>
  <c r="FH107" i="2"/>
  <c r="FH131" i="2"/>
  <c r="FH146" i="2"/>
  <c r="FH147" i="2"/>
  <c r="FH163" i="2"/>
  <c r="FH179" i="2"/>
  <c r="FJ19" i="2"/>
  <c r="FJ51" i="2"/>
  <c r="FJ91" i="2"/>
  <c r="FJ107" i="2"/>
  <c r="FJ131" i="2"/>
  <c r="FJ132" i="2"/>
  <c r="FJ147" i="2"/>
  <c r="FJ162" i="2"/>
  <c r="FJ163" i="2"/>
  <c r="FJ179" i="2"/>
  <c r="E19" i="10"/>
  <c r="E35" i="10"/>
  <c r="E59" i="10"/>
  <c r="E75" i="10"/>
  <c r="E91" i="10"/>
  <c r="E98" i="10"/>
  <c r="E115" i="10"/>
  <c r="E131" i="10"/>
  <c r="E147" i="10"/>
  <c r="E156" i="10"/>
  <c r="E171" i="10"/>
  <c r="E194" i="10"/>
  <c r="E195" i="10"/>
  <c r="FK19" i="2"/>
  <c r="FK34" i="2"/>
  <c r="FK50" i="2"/>
  <c r="FK51" i="2"/>
  <c r="FK67" i="2"/>
  <c r="FK82" i="2"/>
  <c r="FK90" i="2"/>
  <c r="FK91" i="2"/>
  <c r="FK107" i="2"/>
  <c r="FK114" i="2"/>
  <c r="FK122" i="2"/>
  <c r="FK130" i="2"/>
  <c r="FK131" i="2"/>
  <c r="FK147" i="2"/>
  <c r="FK163" i="2"/>
  <c r="FK170" i="2"/>
  <c r="FK171" i="2"/>
  <c r="FK179" i="2"/>
  <c r="FK194" i="2"/>
  <c r="FK195" i="2"/>
  <c r="FM18" i="2"/>
  <c r="FM19" i="2"/>
  <c r="FM42" i="2"/>
  <c r="FM43" i="2"/>
  <c r="FM50" i="2"/>
  <c r="FM51" i="2"/>
  <c r="FM58" i="2"/>
  <c r="FM66" i="2"/>
  <c r="FM82" i="2"/>
  <c r="FM90" i="2"/>
  <c r="FM91" i="2"/>
  <c r="FM98" i="2"/>
  <c r="FM107" i="2"/>
  <c r="FM114" i="2"/>
  <c r="FM122" i="2"/>
  <c r="FM130" i="2"/>
  <c r="FM131" i="2"/>
  <c r="FM138" i="2"/>
  <c r="FM139" i="2"/>
  <c r="FM146" i="2"/>
  <c r="FM147" i="2"/>
  <c r="FM154" i="2"/>
  <c r="FM155" i="2"/>
  <c r="FM162" i="2"/>
  <c r="FM163" i="2"/>
  <c r="FM170" i="2"/>
  <c r="FM171" i="2"/>
  <c r="FM178" i="2"/>
  <c r="FM179" i="2"/>
  <c r="FM186" i="2"/>
  <c r="FM194" i="2"/>
  <c r="FM195" i="2"/>
  <c r="G34" i="10"/>
  <c r="FL18" i="2"/>
  <c r="FL19" i="2"/>
  <c r="FL34" i="2"/>
  <c r="FL35" i="2"/>
  <c r="FL42" i="2"/>
  <c r="FL50" i="2"/>
  <c r="FL51" i="2"/>
  <c r="FL58" i="2"/>
  <c r="FL66" i="2"/>
  <c r="FL67" i="2"/>
  <c r="FL75" i="2"/>
  <c r="FL82" i="2"/>
  <c r="FL90" i="2"/>
  <c r="FL91" i="2"/>
  <c r="FL92" i="2"/>
  <c r="FL98" i="2"/>
  <c r="FL99" i="2"/>
  <c r="FL107" i="2"/>
  <c r="FL114" i="2"/>
  <c r="FL115" i="2"/>
  <c r="FL122" i="2"/>
  <c r="FL130" i="2"/>
  <c r="FL138" i="2"/>
  <c r="FL146" i="2"/>
  <c r="FL154" i="2"/>
  <c r="FL162" i="2"/>
  <c r="FL170" i="2"/>
  <c r="FL178" i="2"/>
  <c r="FL186" i="2"/>
  <c r="FL187" i="2"/>
  <c r="FL194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43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4" i="1"/>
  <c r="C187" i="2"/>
  <c r="D187" i="2"/>
  <c r="E187" i="2"/>
  <c r="B187" i="2"/>
  <c r="A19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A186" i="1"/>
  <c r="E179" i="2"/>
  <c r="B179" i="2"/>
  <c r="C179" i="2"/>
  <c r="D179" i="2"/>
  <c r="A18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A178" i="1"/>
  <c r="E171" i="2"/>
  <c r="B171" i="2"/>
  <c r="C171" i="2"/>
  <c r="D171" i="2"/>
  <c r="A17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A170" i="1"/>
  <c r="E163" i="2"/>
  <c r="C163" i="2"/>
  <c r="D163" i="2"/>
  <c r="B163" i="2"/>
  <c r="A16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A162" i="1"/>
  <c r="E155" i="2"/>
  <c r="C155" i="2"/>
  <c r="D155" i="2"/>
  <c r="B155" i="2"/>
  <c r="A15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A154" i="1"/>
  <c r="E147" i="2"/>
  <c r="C147" i="2"/>
  <c r="D147" i="2"/>
  <c r="B147" i="2"/>
  <c r="A15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A146" i="1"/>
  <c r="E139" i="2"/>
  <c r="C139" i="2"/>
  <c r="D139" i="2"/>
  <c r="B139" i="2"/>
  <c r="A14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A138" i="1"/>
  <c r="E131" i="2"/>
  <c r="C131" i="2"/>
  <c r="D131" i="2"/>
  <c r="B131" i="2"/>
  <c r="A13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130" i="1"/>
  <c r="E123" i="2"/>
  <c r="C123" i="2"/>
  <c r="D123" i="2"/>
  <c r="B123" i="2"/>
  <c r="A12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A122" i="1"/>
  <c r="E115" i="2"/>
  <c r="C115" i="2"/>
  <c r="D115" i="2"/>
  <c r="B115" i="2"/>
  <c r="A11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A114" i="1"/>
  <c r="E107" i="2"/>
  <c r="C107" i="2"/>
  <c r="D107" i="2"/>
  <c r="B107" i="2"/>
  <c r="A11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A106" i="1"/>
  <c r="B99" i="2"/>
  <c r="E99" i="2"/>
  <c r="C99" i="2"/>
  <c r="D99" i="2"/>
  <c r="A10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A98" i="1"/>
  <c r="B91" i="2"/>
  <c r="D91" i="2"/>
  <c r="E91" i="2"/>
  <c r="C91" i="2"/>
  <c r="A9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90" i="1"/>
  <c r="B83" i="2"/>
  <c r="C83" i="2"/>
  <c r="D83" i="2"/>
  <c r="E83" i="2"/>
  <c r="A8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A82" i="1"/>
  <c r="B75" i="2"/>
  <c r="C75" i="2"/>
  <c r="D75" i="2"/>
  <c r="E75" i="2"/>
  <c r="A7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A74" i="1"/>
  <c r="B67" i="2"/>
  <c r="C67" i="2"/>
  <c r="D67" i="2"/>
  <c r="E67" i="2"/>
  <c r="A7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A66" i="1"/>
  <c r="B59" i="2"/>
  <c r="C59" i="2"/>
  <c r="D59" i="2"/>
  <c r="E59" i="2"/>
  <c r="A6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A58" i="1"/>
  <c r="B51" i="2"/>
  <c r="C51" i="2"/>
  <c r="D51" i="2"/>
  <c r="E51" i="2"/>
  <c r="A5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A50" i="1"/>
  <c r="E43" i="2"/>
  <c r="D43" i="2"/>
  <c r="B43" i="2"/>
  <c r="C43" i="2"/>
  <c r="A46" i="1"/>
  <c r="A42" i="1"/>
  <c r="E35" i="2"/>
  <c r="D35" i="2"/>
  <c r="B35" i="2"/>
  <c r="C35" i="2"/>
  <c r="A38" i="1"/>
  <c r="A34" i="1"/>
  <c r="E19" i="2"/>
  <c r="D19" i="2"/>
  <c r="B19" i="2"/>
  <c r="C19" i="2"/>
  <c r="D195" i="2"/>
  <c r="E195" i="2"/>
  <c r="C195" i="2"/>
  <c r="B195" i="2"/>
  <c r="A19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200" i="1"/>
  <c r="A192" i="1"/>
  <c r="A184" i="1"/>
  <c r="A176" i="1"/>
  <c r="A168" i="1"/>
  <c r="A160" i="1"/>
  <c r="A152" i="1"/>
  <c r="A144" i="1"/>
  <c r="BG141" i="8"/>
  <c r="IY141" i="2" s="1"/>
  <c r="A136" i="1"/>
  <c r="A128" i="1"/>
  <c r="A120" i="1"/>
  <c r="A112" i="1"/>
  <c r="A104" i="1"/>
  <c r="A96" i="1"/>
  <c r="A88" i="1"/>
  <c r="A80" i="1"/>
  <c r="A72" i="1"/>
  <c r="A64" i="1"/>
  <c r="AV61" i="8"/>
  <c r="A56" i="1"/>
  <c r="A48" i="1"/>
  <c r="A4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AV39" i="8"/>
  <c r="F35" i="2"/>
  <c r="FD35" i="2"/>
  <c r="CY35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5" i="2"/>
  <c r="BU195" i="2"/>
  <c r="BT187" i="2"/>
  <c r="BU187" i="2"/>
  <c r="BT179" i="2"/>
  <c r="BU179" i="2"/>
  <c r="BT171" i="2"/>
  <c r="BU171" i="2"/>
  <c r="BT163" i="2"/>
  <c r="BU163" i="2"/>
  <c r="BT155" i="2"/>
  <c r="BU155" i="2"/>
  <c r="BT147" i="2"/>
  <c r="BU147" i="2"/>
  <c r="BT139" i="2"/>
  <c r="BU139" i="2"/>
  <c r="BT131" i="2"/>
  <c r="BU131" i="2"/>
  <c r="BT123" i="2"/>
  <c r="BU123" i="2"/>
  <c r="BT115" i="2"/>
  <c r="BU115" i="2"/>
  <c r="BT107" i="2"/>
  <c r="BU107" i="2"/>
  <c r="BT99" i="2"/>
  <c r="BU99" i="2"/>
  <c r="BT91" i="2"/>
  <c r="BU91" i="2"/>
  <c r="BT83" i="2"/>
  <c r="BU83" i="2"/>
  <c r="BT75" i="2"/>
  <c r="BU75" i="2"/>
  <c r="BT67" i="2"/>
  <c r="BU67" i="2"/>
  <c r="BT59" i="2"/>
  <c r="BU59" i="2"/>
  <c r="BT51" i="2"/>
  <c r="BU51" i="2"/>
  <c r="BT43" i="2"/>
  <c r="BU43" i="2"/>
  <c r="BR195" i="2"/>
  <c r="BS195" i="2"/>
  <c r="BR187" i="2"/>
  <c r="BS187" i="2"/>
  <c r="BR179" i="2"/>
  <c r="BS179" i="2"/>
  <c r="BR171" i="2"/>
  <c r="BS171" i="2"/>
  <c r="BR163" i="2"/>
  <c r="BS163" i="2"/>
  <c r="BR155" i="2"/>
  <c r="BS155" i="2"/>
  <c r="BR147" i="2"/>
  <c r="BS147" i="2"/>
  <c r="BR139" i="2"/>
  <c r="BS139" i="2"/>
  <c r="BR131" i="2"/>
  <c r="BS131" i="2"/>
  <c r="BR123" i="2"/>
  <c r="BS123" i="2"/>
  <c r="BR115" i="2"/>
  <c r="BS115" i="2"/>
  <c r="BR107" i="2"/>
  <c r="BS107" i="2"/>
  <c r="BR99" i="2"/>
  <c r="BS99" i="2"/>
  <c r="BR91" i="2"/>
  <c r="BS91" i="2"/>
  <c r="BR83" i="2"/>
  <c r="BS83" i="2"/>
  <c r="BR75" i="2"/>
  <c r="BS75" i="2"/>
  <c r="BR67" i="2"/>
  <c r="BS67" i="2"/>
  <c r="BR59" i="2"/>
  <c r="BS59" i="2"/>
  <c r="BR51" i="2"/>
  <c r="BS51" i="2"/>
  <c r="BS47" i="2"/>
  <c r="BR43" i="2"/>
  <c r="BS43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1" i="2"/>
  <c r="BQ171" i="2"/>
  <c r="BP163" i="2"/>
  <c r="BQ163" i="2"/>
  <c r="BP155" i="2"/>
  <c r="BQ155" i="2"/>
  <c r="BP147" i="2"/>
  <c r="BQ147" i="2"/>
  <c r="BP139" i="2"/>
  <c r="BQ139" i="2"/>
  <c r="BP131" i="2"/>
  <c r="BQ131" i="2"/>
  <c r="BP123" i="2"/>
  <c r="BQ123" i="2"/>
  <c r="BP115" i="2"/>
  <c r="BQ115" i="2"/>
  <c r="BP107" i="2"/>
  <c r="BQ107" i="2"/>
  <c r="BP99" i="2"/>
  <c r="BQ99" i="2"/>
  <c r="BP91" i="2"/>
  <c r="BQ91" i="2"/>
  <c r="BP83" i="2"/>
  <c r="BQ83" i="2"/>
  <c r="BP75" i="2"/>
  <c r="BQ75" i="2"/>
  <c r="BP67" i="2"/>
  <c r="BQ67" i="2"/>
  <c r="BP59" i="2"/>
  <c r="BQ59" i="2"/>
  <c r="BP51" i="2"/>
  <c r="BQ51" i="2"/>
  <c r="BP43" i="2"/>
  <c r="BQ43" i="2"/>
  <c r="BP195" i="2"/>
  <c r="BQ195" i="2"/>
  <c r="BP187" i="2"/>
  <c r="BQ187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5" i="2"/>
  <c r="AT195" i="2"/>
  <c r="AP195" i="2"/>
  <c r="AS195" i="2"/>
  <c r="IE195" i="2"/>
  <c r="AM187" i="2"/>
  <c r="AT187" i="2"/>
  <c r="AP187" i="2"/>
  <c r="AS187" i="2"/>
  <c r="IE187" i="2"/>
  <c r="AM179" i="2"/>
  <c r="AT179" i="2"/>
  <c r="AP179" i="2"/>
  <c r="AS179" i="2"/>
  <c r="IE179" i="2"/>
  <c r="AM171" i="2"/>
  <c r="AT171" i="2"/>
  <c r="AP171" i="2"/>
  <c r="AS171" i="2"/>
  <c r="IE171" i="2"/>
  <c r="AM163" i="2"/>
  <c r="AT163" i="2"/>
  <c r="AP163" i="2"/>
  <c r="AS163" i="2"/>
  <c r="IE163" i="2"/>
  <c r="AM155" i="2"/>
  <c r="AT155" i="2"/>
  <c r="AP155" i="2"/>
  <c r="AS155" i="2"/>
  <c r="IE155" i="2"/>
  <c r="AM147" i="2"/>
  <c r="AT147" i="2"/>
  <c r="AP147" i="2"/>
  <c r="AS147" i="2"/>
  <c r="IE147" i="2"/>
  <c r="AM139" i="2"/>
  <c r="AT139" i="2"/>
  <c r="AP139" i="2"/>
  <c r="AS139" i="2"/>
  <c r="IE139" i="2"/>
  <c r="AM131" i="2"/>
  <c r="AT131" i="2"/>
  <c r="AP131" i="2"/>
  <c r="AS131" i="2"/>
  <c r="IE131" i="2"/>
  <c r="AM123" i="2"/>
  <c r="AT123" i="2"/>
  <c r="AP123" i="2"/>
  <c r="AS123" i="2"/>
  <c r="IE123" i="2"/>
  <c r="AM115" i="2"/>
  <c r="AT115" i="2"/>
  <c r="AP115" i="2"/>
  <c r="AS115" i="2"/>
  <c r="IE115" i="2"/>
  <c r="AM107" i="2"/>
  <c r="AT107" i="2"/>
  <c r="AP107" i="2"/>
  <c r="AS107" i="2"/>
  <c r="IE107" i="2"/>
  <c r="AM99" i="2"/>
  <c r="AT99" i="2"/>
  <c r="AP99" i="2"/>
  <c r="AS99" i="2"/>
  <c r="IE99" i="2"/>
  <c r="IE93" i="2"/>
  <c r="AM91" i="2"/>
  <c r="AT91" i="2"/>
  <c r="AP91" i="2"/>
  <c r="AS91" i="2"/>
  <c r="IE91" i="2"/>
  <c r="AM83" i="2"/>
  <c r="AT83" i="2"/>
  <c r="AP83" i="2"/>
  <c r="AS83" i="2"/>
  <c r="IE83" i="2"/>
  <c r="AM75" i="2"/>
  <c r="AT75" i="2"/>
  <c r="AP75" i="2"/>
  <c r="AS75" i="2"/>
  <c r="IE75" i="2"/>
  <c r="AM67" i="2"/>
  <c r="AT67" i="2"/>
  <c r="AP67" i="2"/>
  <c r="AS67" i="2"/>
  <c r="IE67" i="2"/>
  <c r="AM59" i="2"/>
  <c r="AP59" i="2"/>
  <c r="AT59" i="2"/>
  <c r="AS59" i="2"/>
  <c r="IE59" i="2"/>
  <c r="AM51" i="2"/>
  <c r="AP51" i="2"/>
  <c r="AT51" i="2"/>
  <c r="AS51" i="2"/>
  <c r="IE51" i="2"/>
  <c r="AT45" i="2"/>
  <c r="AP43" i="2"/>
  <c r="AM35" i="2"/>
  <c r="AM19" i="2"/>
  <c r="D19" i="8" s="1"/>
  <c r="AM11" i="2"/>
  <c r="D11" i="8" s="1"/>
  <c r="AM43" i="2"/>
  <c r="AM42" i="2"/>
  <c r="F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BG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AE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CE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HP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V127" i="8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CF119" i="2"/>
  <c r="DA115" i="2"/>
  <c r="CZ115" i="2"/>
  <c r="DA107" i="2"/>
  <c r="CZ107" i="2"/>
  <c r="D103" i="8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CZ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B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GD79" i="2"/>
  <c r="HL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AD71" i="2"/>
  <c r="H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BF63" i="8"/>
  <c r="IX63" i="2" s="1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JA55" i="2"/>
  <c r="D195" i="10"/>
  <c r="D187" i="10"/>
  <c r="D179" i="10"/>
  <c r="D171" i="10"/>
  <c r="D163" i="10"/>
  <c r="D155" i="10"/>
  <c r="D147" i="10"/>
  <c r="D139" i="10"/>
  <c r="D131" i="10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AG197" i="8"/>
  <c r="Q197" i="2"/>
  <c r="HQ197" i="2"/>
  <c r="V189" i="8"/>
  <c r="DA189" i="2"/>
  <c r="HT189" i="2"/>
  <c r="CF181" i="2"/>
  <c r="FB181" i="2"/>
  <c r="BG181" i="2"/>
  <c r="AE173" i="2"/>
  <c r="IO173" i="2"/>
  <c r="HL173" i="2"/>
  <c r="L165" i="2"/>
  <c r="DN165" i="2"/>
  <c r="AH157" i="8"/>
  <c r="GE157" i="2"/>
  <c r="BE157" i="8"/>
  <c r="CQ157" i="2"/>
  <c r="W149" i="2"/>
  <c r="AN149" i="2"/>
  <c r="IZ149" i="2"/>
  <c r="IN149" i="2"/>
  <c r="AD141" i="2"/>
  <c r="FC141" i="2"/>
  <c r="BF141" i="8"/>
  <c r="IX141" i="2" s="1"/>
  <c r="HM141" i="2"/>
  <c r="AT137" i="8"/>
  <c r="AG133" i="8"/>
  <c r="Q133" i="2"/>
  <c r="D133" i="8"/>
  <c r="HL133" i="2"/>
  <c r="AI125" i="8"/>
  <c r="CF125" i="2"/>
  <c r="CZ125" i="2"/>
  <c r="BE125" i="8"/>
  <c r="CQ125" i="2"/>
  <c r="IZ121" i="2"/>
  <c r="AH117" i="8"/>
  <c r="AG117" i="8"/>
  <c r="L117" i="2"/>
  <c r="FC117" i="2"/>
  <c r="DA117" i="2"/>
  <c r="IO117" i="2"/>
  <c r="BF117" i="8"/>
  <c r="IX117" i="2" s="1"/>
  <c r="HU117" i="2"/>
  <c r="HP117" i="2"/>
  <c r="HM117" i="2"/>
  <c r="BG117" i="2"/>
  <c r="HS117" i="2"/>
  <c r="DA113" i="2"/>
  <c r="CZ109" i="2"/>
  <c r="AH101" i="8"/>
  <c r="IC101" i="2"/>
  <c r="X101" i="2"/>
  <c r="AC101" i="2"/>
  <c r="CF101" i="2"/>
  <c r="CE101" i="2"/>
  <c r="FB101" i="2"/>
  <c r="AD101" i="2"/>
  <c r="DN101" i="2"/>
  <c r="DA101" i="2"/>
  <c r="JA101" i="2"/>
  <c r="AT101" i="8"/>
  <c r="HT101" i="2"/>
  <c r="IN101" i="2"/>
  <c r="CQ101" i="2"/>
  <c r="IZ101" i="2"/>
  <c r="HM101" i="2"/>
  <c r="HP97" i="2"/>
  <c r="FZ93" i="2"/>
  <c r="AI93" i="8"/>
  <c r="ID93" i="2"/>
  <c r="X93" i="2"/>
  <c r="AC93" i="2"/>
  <c r="AE93" i="2"/>
  <c r="Q93" i="2"/>
  <c r="AD93" i="2"/>
  <c r="L93" i="2"/>
  <c r="CZ93" i="2"/>
  <c r="AN93" i="2"/>
  <c r="IO93" i="2"/>
  <c r="BE93" i="8"/>
  <c r="HU93" i="2"/>
  <c r="HP93" i="2"/>
  <c r="HR93" i="2"/>
  <c r="HS93" i="2"/>
  <c r="BG93" i="2"/>
  <c r="FZ89" i="2"/>
  <c r="BE89" i="8"/>
  <c r="FZ85" i="2"/>
  <c r="AI85" i="8"/>
  <c r="ID85" i="2"/>
  <c r="X85" i="2"/>
  <c r="AC85" i="2"/>
  <c r="CF85" i="2"/>
  <c r="Q85" i="2"/>
  <c r="FB85" i="2"/>
  <c r="L85" i="2"/>
  <c r="CZ85" i="2"/>
  <c r="AN85" i="2"/>
  <c r="IO85" i="2"/>
  <c r="BE85" i="8"/>
  <c r="HU85" i="2"/>
  <c r="HP85" i="2"/>
  <c r="HR85" i="2"/>
  <c r="HS85" i="2"/>
  <c r="BG85" i="2"/>
  <c r="JA81" i="2"/>
  <c r="AG77" i="8"/>
  <c r="IC77" i="2"/>
  <c r="V77" i="8"/>
  <c r="X77" i="2"/>
  <c r="AC77" i="2"/>
  <c r="W77" i="2"/>
  <c r="FB77" i="2"/>
  <c r="AD77" i="2"/>
  <c r="DM77" i="2"/>
  <c r="AJ77" i="2"/>
  <c r="AK77" i="2" s="1"/>
  <c r="JA77" i="2"/>
  <c r="D77" i="8"/>
  <c r="BF77" i="8"/>
  <c r="IX77" i="2" s="1"/>
  <c r="IN77" i="2"/>
  <c r="HQ77" i="2"/>
  <c r="HL77" i="2"/>
  <c r="HM77" i="2"/>
  <c r="R73" i="2"/>
  <c r="AH69" i="8"/>
  <c r="ID69" i="2"/>
  <c r="CE69" i="2"/>
  <c r="CF69" i="2"/>
  <c r="CH69" i="2"/>
  <c r="W69" i="2"/>
  <c r="FB69" i="2"/>
  <c r="L69" i="2"/>
  <c r="DN69" i="2"/>
  <c r="DA69" i="2"/>
  <c r="IO69" i="2"/>
  <c r="AT69" i="8"/>
  <c r="HT69" i="2"/>
  <c r="HP69" i="2"/>
  <c r="CQ69" i="2"/>
  <c r="IZ69" i="2"/>
  <c r="BG69" i="2"/>
  <c r="W65" i="2"/>
  <c r="FZ61" i="2"/>
  <c r="AI61" i="8"/>
  <c r="V61" i="8"/>
  <c r="CE61" i="2"/>
  <c r="CF61" i="2"/>
  <c r="AE61" i="2"/>
  <c r="Q61" i="2"/>
  <c r="AD61" i="2"/>
  <c r="DM61" i="2"/>
  <c r="CZ61" i="2"/>
  <c r="AN61" i="2"/>
  <c r="D61" i="8"/>
  <c r="BE61" i="8"/>
  <c r="HU61" i="2"/>
  <c r="HQ61" i="2"/>
  <c r="HR61" i="2"/>
  <c r="HS61" i="2"/>
  <c r="CE57" i="2"/>
  <c r="HR57" i="2"/>
  <c r="DA53" i="2"/>
  <c r="D189" i="10"/>
  <c r="D165" i="10"/>
  <c r="D149" i="10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3" i="2"/>
  <c r="FB52" i="2"/>
  <c r="AI52" i="8"/>
  <c r="D53" i="10"/>
  <c r="FB109" i="2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AT105" i="8"/>
  <c r="BE107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5" i="10"/>
  <c r="D109" i="10"/>
  <c r="CQ110" i="2"/>
  <c r="CQ106" i="2"/>
  <c r="CQ114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CE107" i="2"/>
  <c r="CE106" i="2"/>
  <c r="Q53" i="2"/>
  <c r="CH53" i="2"/>
  <c r="R53" i="2"/>
  <c r="BG109" i="2"/>
  <c r="BG106" i="2"/>
  <c r="BG108" i="2"/>
  <c r="GE106" i="2"/>
  <c r="Q106" i="2"/>
  <c r="AD53" i="2"/>
  <c r="AD107" i="2"/>
  <c r="CH110" i="2"/>
  <c r="R110" i="2"/>
  <c r="Q107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FB13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CQ46" i="2"/>
  <c r="ID46" i="2"/>
  <c r="ID45" i="2"/>
  <c r="ID44" i="2"/>
  <c r="ID43" i="2"/>
  <c r="ID42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41" i="2"/>
  <c r="X43" i="2"/>
  <c r="ID31" i="2"/>
  <c r="AJ45" i="2"/>
  <c r="AK45" i="2" s="1"/>
  <c r="AJ108" i="2"/>
  <c r="AK108" i="2" s="1"/>
  <c r="AJ53" i="2"/>
  <c r="AK53" i="2" s="1"/>
  <c r="V30" i="8"/>
  <c r="CZ34" i="2"/>
  <c r="AG46" i="8"/>
  <c r="AG50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V35" i="8"/>
  <c r="AJ51" i="2"/>
  <c r="AK51" i="2" s="1"/>
  <c r="AG36" i="8"/>
  <c r="V40" i="8"/>
  <c r="AJ44" i="2"/>
  <c r="AK44" i="2" s="1"/>
  <c r="V38" i="8"/>
  <c r="AJ46" i="2"/>
  <c r="AK46" i="2" s="1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37" i="2"/>
  <c r="CE43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9" i="2"/>
  <c r="DN109" i="2"/>
  <c r="DM106" i="2"/>
  <c r="DN106" i="2"/>
  <c r="AT35" i="8"/>
  <c r="D49" i="8"/>
  <c r="D45" i="10"/>
  <c r="D35" i="10"/>
  <c r="CQ35" i="2"/>
  <c r="BE45" i="8"/>
  <c r="D31" i="8"/>
  <c r="BE35" i="8"/>
  <c r="D35" i="8"/>
  <c r="BE40" i="8"/>
  <c r="AT45" i="8"/>
  <c r="D45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L33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45" i="2"/>
  <c r="AD50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45" i="2"/>
  <c r="BG43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T41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FC46" i="2"/>
  <c r="FC36" i="2"/>
  <c r="FC45" i="2"/>
  <c r="Q35" i="2"/>
  <c r="GE30" i="2"/>
  <c r="FC38" i="2"/>
  <c r="GD45" i="2"/>
  <c r="BG35" i="2"/>
  <c r="GD37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N30" i="2"/>
  <c r="DM30" i="2"/>
  <c r="DN37" i="2"/>
  <c r="DM37" i="2"/>
  <c r="DN46" i="2"/>
  <c r="DM46" i="2"/>
  <c r="DN43" i="2"/>
  <c r="DM43" i="2"/>
  <c r="DM44" i="2"/>
  <c r="DN44" i="2"/>
  <c r="FC35" i="2"/>
  <c r="DN35" i="2"/>
  <c r="GD35" i="2"/>
  <c r="DM35" i="2"/>
  <c r="HQ51" i="2"/>
  <c r="HQ37" i="2"/>
  <c r="HQ42" i="2"/>
  <c r="HP42" i="2"/>
  <c r="HQ43" i="2"/>
  <c r="HP51" i="2"/>
  <c r="HQ47" i="2"/>
  <c r="HQ50" i="2"/>
  <c r="HP50" i="2"/>
  <c r="HQ52" i="2"/>
  <c r="HP52" i="2"/>
  <c r="HQ53" i="2"/>
  <c r="HP53" i="2"/>
  <c r="HQ36" i="2"/>
  <c r="HP36" i="2"/>
  <c r="HQ33" i="2"/>
  <c r="HQ30" i="2"/>
  <c r="HP30" i="2"/>
  <c r="HQ38" i="2"/>
  <c r="HP38" i="2"/>
  <c r="HQ46" i="2"/>
  <c r="HP46" i="2"/>
  <c r="HQ45" i="2"/>
  <c r="HQ35" i="2"/>
  <c r="HP37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4" i="2"/>
  <c r="HP114" i="2"/>
  <c r="AU36" i="8"/>
  <c r="IM36" i="2"/>
  <c r="AU34" i="8"/>
  <c r="IM34" i="2"/>
  <c r="AU30" i="8"/>
  <c r="IM30" i="2"/>
  <c r="AU33" i="8"/>
  <c r="AU35" i="8"/>
  <c r="IM35" i="2"/>
  <c r="HS51" i="2"/>
  <c r="HS34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45" i="2"/>
  <c r="HP45" i="2"/>
  <c r="HS37" i="2"/>
  <c r="HS44" i="2"/>
  <c r="HS46" i="2"/>
  <c r="HS110" i="2"/>
  <c r="HS114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IN37" i="2"/>
  <c r="HL37" i="2"/>
  <c r="HL44" i="2"/>
  <c r="IN44" i="2"/>
  <c r="HR30" i="2"/>
  <c r="HR36" i="2"/>
  <c r="HR52" i="2"/>
  <c r="HR34" i="2"/>
  <c r="HR35" i="2"/>
  <c r="HL34" i="2"/>
  <c r="IN34" i="2"/>
  <c r="IN38" i="2"/>
  <c r="HL38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44" i="2"/>
  <c r="HM45" i="2"/>
  <c r="HT33" i="2"/>
  <c r="HT34" i="2"/>
  <c r="HU34" i="2"/>
  <c r="HT30" i="2"/>
  <c r="HU30" i="2"/>
  <c r="HM36" i="2"/>
  <c r="HU43" i="2"/>
  <c r="HT43" i="2"/>
  <c r="HM50" i="2"/>
  <c r="HT45" i="2"/>
  <c r="HU45" i="2"/>
  <c r="HT42" i="2"/>
  <c r="HU42" i="2"/>
  <c r="HU50" i="2"/>
  <c r="HT50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U35" i="2"/>
  <c r="HT35" i="2"/>
  <c r="HT36" i="2"/>
  <c r="HU36" i="2"/>
  <c r="HM30" i="2"/>
  <c r="HM37" i="2"/>
  <c r="IO114" i="2"/>
  <c r="IO108" i="2"/>
  <c r="IO110" i="2"/>
  <c r="IO115" i="2"/>
  <c r="IO106" i="2"/>
  <c r="IO105" i="2"/>
  <c r="IO109" i="2"/>
  <c r="IO107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34" i="2"/>
  <c r="FZ52" i="2"/>
  <c r="FZ33" i="2"/>
  <c r="FZ45" i="2"/>
  <c r="FZ51" i="2"/>
  <c r="FZ115" i="2"/>
  <c r="FZ42" i="2"/>
  <c r="FZ114" i="2"/>
  <c r="FZ30" i="2"/>
  <c r="FZ110" i="2"/>
  <c r="FZ46" i="2"/>
  <c r="FZ43" i="2"/>
  <c r="FZ44" i="2"/>
  <c r="FZ53" i="2"/>
  <c r="FZ37" i="2"/>
  <c r="IO50" i="2"/>
  <c r="IO51" i="2"/>
  <c r="IO42" i="2"/>
  <c r="IO37" i="2"/>
  <c r="IO30" i="2"/>
  <c r="IO36" i="2"/>
  <c r="IO47" i="2"/>
  <c r="IO38" i="2"/>
  <c r="IO53" i="2"/>
  <c r="IO35" i="2"/>
  <c r="IO43" i="2"/>
  <c r="IO46" i="2"/>
  <c r="IO52" i="2"/>
  <c r="IO45" i="2"/>
  <c r="IO44" i="2"/>
  <c r="IO34" i="2"/>
  <c r="CV20" i="2"/>
  <c r="BF43" i="8"/>
  <c r="IX43" i="2" s="1"/>
  <c r="BF41" i="8"/>
  <c r="IX41" i="2" s="1"/>
  <c r="BF42" i="8"/>
  <c r="IX42" i="2" s="1"/>
  <c r="BF38" i="8"/>
  <c r="IX38" i="2" s="1"/>
  <c r="BF33" i="8"/>
  <c r="IX33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8" i="2"/>
  <c r="IZ42" i="2"/>
  <c r="IZ51" i="2"/>
  <c r="IZ53" i="2"/>
  <c r="IZ37" i="2"/>
  <c r="IZ46" i="2"/>
  <c r="IZ30" i="2"/>
  <c r="IZ50" i="2"/>
  <c r="IZ36" i="2"/>
  <c r="IZ44" i="2"/>
  <c r="IZ43" i="2"/>
  <c r="IZ35" i="2"/>
  <c r="IZ52" i="2"/>
  <c r="IZ45" i="2"/>
  <c r="IZ41" i="2"/>
  <c r="IZ109" i="2"/>
  <c r="IZ107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46" i="2"/>
  <c r="JA45" i="2"/>
  <c r="JA107" i="2"/>
  <c r="JA106" i="2"/>
  <c r="JA108" i="2"/>
  <c r="AJ38" i="2"/>
  <c r="AK38" i="2" s="1"/>
  <c r="AJ42" i="2"/>
  <c r="AK42" i="2" s="1"/>
  <c r="AJ41" i="2"/>
  <c r="AK41" i="2" s="1"/>
  <c r="AJ43" i="2"/>
  <c r="AK43" i="2" s="1"/>
  <c r="AJ30" i="2"/>
  <c r="AK30" i="2" s="1"/>
  <c r="AJ36" i="2"/>
  <c r="AK36" i="2" s="1"/>
  <c r="AJ33" i="2"/>
  <c r="AK33" i="2" s="1"/>
  <c r="AJ34" i="2"/>
  <c r="AK34" i="2" s="1"/>
  <c r="AJ35" i="2"/>
  <c r="AK35" i="2" s="1"/>
  <c r="A4" i="1" l="1"/>
  <c r="A5" i="1" s="1"/>
  <c r="A6" i="1" s="1"/>
  <c r="FC15" i="2"/>
  <c r="C11" i="2"/>
  <c r="B4" i="2"/>
  <c r="B3" i="2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A151" i="2" s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IY63" i="2" s="1"/>
  <c r="DC63" i="2"/>
  <c r="BQ63" i="2"/>
  <c r="Z63" i="2"/>
  <c r="A63" i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A87" i="2" s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A55" i="2" s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A183" i="2" s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A135" i="2" s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111" i="2" s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A71" i="2" s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175" i="2" s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AW127" i="2" s="1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AY95" i="2" s="1"/>
  <c r="BU95" i="2"/>
  <c r="AT95" i="2"/>
  <c r="A95" i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A79" i="2" s="1"/>
  <c r="D79" i="2"/>
  <c r="IL79" i="2"/>
  <c r="AO79" i="2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AY181" i="2" s="1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165" i="2" s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A141" i="2" s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A133" i="2" s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AL125" i="2" s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A117" i="2" s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A101" i="2" s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A93" i="2" s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AL77" i="2" s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AL69" i="2" s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AX69" i="2" s="1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61" i="2" s="1"/>
  <c r="AU61" i="8"/>
  <c r="IL61" i="2"/>
  <c r="FD61" i="2"/>
  <c r="BT61" i="2"/>
  <c r="AG61" i="2"/>
  <c r="BG61" i="8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AL53" i="2" s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A37" i="2" s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37" i="2"/>
  <c r="AL181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J7" i="1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59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AL35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ID15" i="2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CY106" i="2"/>
  <c r="A109" i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AH15" i="8"/>
  <c r="FB12" i="2"/>
  <c r="AM12" i="2"/>
  <c r="BE12" i="8" s="1"/>
  <c r="BJ56" i="2"/>
  <c r="DA12" i="2"/>
  <c r="E12" i="2"/>
  <c r="CQ12" i="2" s="1"/>
  <c r="DA11" i="2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51" i="2"/>
  <c r="E7" i="2"/>
  <c r="D7" i="2"/>
  <c r="C7" i="2"/>
  <c r="AT9" i="8"/>
  <c r="BE11" i="8"/>
  <c r="D12" i="10"/>
  <c r="CZ11" i="2"/>
  <c r="V10" i="8"/>
  <c r="IY186" i="2"/>
  <c r="A39" i="2"/>
  <c r="BY88" i="2"/>
  <c r="BY48" i="2"/>
  <c r="D6" i="2"/>
  <c r="AW107" i="2"/>
  <c r="DP34" i="2"/>
  <c r="AX180" i="2"/>
  <c r="AX155" i="2"/>
  <c r="AW100" i="2"/>
  <c r="AX123" i="2"/>
  <c r="A48" i="2"/>
  <c r="AX131" i="2"/>
  <c r="AW77" i="2"/>
  <c r="IV58" i="2"/>
  <c r="IW58" i="2" s="1"/>
  <c r="AY131" i="2"/>
  <c r="IV154" i="2"/>
  <c r="IW154" i="2" s="1"/>
  <c r="IY130" i="2"/>
  <c r="IV82" i="2"/>
  <c r="IW82" i="2" s="1"/>
  <c r="AX107" i="2"/>
  <c r="BJ135" i="2"/>
  <c r="BI95" i="2"/>
  <c r="AY100" i="2"/>
  <c r="AW139" i="2"/>
  <c r="AX139" i="2"/>
  <c r="IY43" i="2"/>
  <c r="AW59" i="2"/>
  <c r="BJ127" i="2"/>
  <c r="AY179" i="2"/>
  <c r="BJ79" i="2"/>
  <c r="DR34" i="2"/>
  <c r="AX163" i="2"/>
  <c r="AW51" i="2"/>
  <c r="AX59" i="2"/>
  <c r="C6" i="2"/>
  <c r="AX42" i="2"/>
  <c r="AW75" i="2"/>
  <c r="E6" i="2"/>
  <c r="D10" i="10"/>
  <c r="AT10" i="8"/>
  <c r="D9" i="8"/>
  <c r="D10" i="8"/>
  <c r="AG10" i="8"/>
  <c r="CZ10" i="2"/>
  <c r="BE9" i="8"/>
  <c r="V9" i="8"/>
  <c r="D9" i="10"/>
  <c r="AG9" i="8"/>
  <c r="IY167" i="2"/>
  <c r="IY151" i="2"/>
  <c r="IV135" i="2"/>
  <c r="IW135" i="2" s="1"/>
  <c r="AX60" i="2"/>
  <c r="AY117" i="2"/>
  <c r="AY149" i="2"/>
  <c r="AW76" i="2"/>
  <c r="AY51" i="2"/>
  <c r="AW42" i="2"/>
  <c r="AW67" i="2"/>
  <c r="AX179" i="2"/>
  <c r="AX67" i="2"/>
  <c r="AW148" i="2"/>
  <c r="AY52" i="2"/>
  <c r="AY132" i="2"/>
  <c r="A197" i="2"/>
  <c r="AW83" i="2"/>
  <c r="AX83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71" i="2"/>
  <c r="AX148" i="2"/>
  <c r="AW123" i="2"/>
  <c r="AW147" i="2"/>
  <c r="AX135" i="2"/>
  <c r="DR111" i="2"/>
  <c r="AX52" i="2"/>
  <c r="AX75" i="2"/>
  <c r="AY187" i="2"/>
  <c r="BJ170" i="2"/>
  <c r="BI178" i="2"/>
  <c r="BJ58" i="2"/>
  <c r="E5" i="2"/>
  <c r="D5" i="2"/>
  <c r="DA5" i="2"/>
  <c r="C5" i="2"/>
  <c r="AI5" i="8" s="1"/>
  <c r="AY167" i="2"/>
  <c r="CK143" i="2"/>
  <c r="AX143" i="2"/>
  <c r="DR120" i="2"/>
  <c r="AL52" i="2"/>
  <c r="AX167" i="2"/>
  <c r="BI45" i="2"/>
  <c r="AX151" i="2"/>
  <c r="BY199" i="2"/>
  <c r="AX114" i="2"/>
  <c r="A80" i="2"/>
  <c r="BJ53" i="2"/>
  <c r="IY42" i="2"/>
  <c r="IV114" i="2"/>
  <c r="IW114" i="2" s="1"/>
  <c r="AY39" i="2"/>
  <c r="AY109" i="2"/>
  <c r="IY66" i="2"/>
  <c r="IY162" i="2"/>
  <c r="DP120" i="2"/>
  <c r="A88" i="2"/>
  <c r="AW101" i="2"/>
  <c r="AM4" i="2"/>
  <c r="V4" i="8" s="1"/>
  <c r="BY53" i="2"/>
  <c r="A47" i="2"/>
  <c r="AW156" i="2"/>
  <c r="IY178" i="2"/>
  <c r="IY122" i="2"/>
  <c r="AX156" i="2"/>
  <c r="BJ196" i="2"/>
  <c r="BJ69" i="2"/>
  <c r="BY85" i="2"/>
  <c r="BX69" i="2"/>
  <c r="AL34" i="2"/>
  <c r="DR48" i="2"/>
  <c r="IV146" i="2"/>
  <c r="IW146" i="2" s="1"/>
  <c r="IV98" i="2"/>
  <c r="IW98" i="2" s="1"/>
  <c r="AX77" i="2"/>
  <c r="AL104" i="2"/>
  <c r="AW117" i="2"/>
  <c r="BJ117" i="2"/>
  <c r="BX174" i="2"/>
  <c r="DP48" i="2"/>
  <c r="AW109" i="2"/>
  <c r="A56" i="2"/>
  <c r="IV74" i="2"/>
  <c r="IW74" i="2" s="1"/>
  <c r="IV59" i="2"/>
  <c r="IW59" i="2" s="1"/>
  <c r="IV170" i="2"/>
  <c r="IW170" i="2" s="1"/>
  <c r="E4" i="10"/>
  <c r="FB4" i="2" s="1"/>
  <c r="IV50" i="2"/>
  <c r="IW50" i="2" s="1"/>
  <c r="A120" i="2"/>
  <c r="AY140" i="2"/>
  <c r="IV194" i="2"/>
  <c r="IW194" i="2" s="1"/>
  <c r="IV138" i="2"/>
  <c r="IW138" i="2" s="1"/>
  <c r="IV90" i="2"/>
  <c r="IW90" i="2" s="1"/>
  <c r="AW140" i="2"/>
  <c r="DA4" i="2"/>
  <c r="BJ85" i="2"/>
  <c r="BX93" i="2"/>
  <c r="IY52" i="2"/>
  <c r="AY50" i="2"/>
  <c r="AW50" i="2"/>
  <c r="IV91" i="2"/>
  <c r="IW91" i="2" s="1"/>
  <c r="IY92" i="2"/>
  <c r="IV117" i="2"/>
  <c r="IW117" i="2" s="1"/>
  <c r="AL130" i="2"/>
  <c r="IV60" i="2"/>
  <c r="IW60" i="2" s="1"/>
  <c r="A58" i="2"/>
  <c r="BX130" i="2"/>
  <c r="IY187" i="2"/>
  <c r="AX178" i="2"/>
  <c r="AW34" i="2"/>
  <c r="DP31" i="2"/>
  <c r="AW114" i="2"/>
  <c r="AW151" i="2"/>
  <c r="AY119" i="2"/>
  <c r="CJ37" i="2"/>
  <c r="BI36" i="2"/>
  <c r="IY163" i="2"/>
  <c r="IY124" i="2"/>
  <c r="AY178" i="2"/>
  <c r="AW143" i="2"/>
  <c r="AL74" i="2"/>
  <c r="CJ35" i="2"/>
  <c r="IV148" i="2"/>
  <c r="IW148" i="2" s="1"/>
  <c r="IV40" i="2"/>
  <c r="IW40" i="2" s="1"/>
  <c r="IV108" i="2"/>
  <c r="IW108" i="2" s="1"/>
  <c r="AY186" i="2"/>
  <c r="AL186" i="2"/>
  <c r="CK61" i="2"/>
  <c r="A42" i="2"/>
  <c r="AL178" i="2"/>
  <c r="BY138" i="2"/>
  <c r="V11" i="8"/>
  <c r="D11" i="10"/>
  <c r="AT11" i="8"/>
  <c r="AG11" i="8"/>
  <c r="AX90" i="2"/>
  <c r="A114" i="2"/>
  <c r="IV116" i="2"/>
  <c r="IW116" i="2" s="1"/>
  <c r="A170" i="2"/>
  <c r="IV115" i="2"/>
  <c r="IW115" i="2" s="1"/>
  <c r="IV179" i="2"/>
  <c r="IW179" i="2" s="1"/>
  <c r="IY155" i="2"/>
  <c r="IY131" i="2"/>
  <c r="IV83" i="2"/>
  <c r="IW83" i="2" s="1"/>
  <c r="IV84" i="2"/>
  <c r="IW84" i="2" s="1"/>
  <c r="IY172" i="2"/>
  <c r="A138" i="2"/>
  <c r="A90" i="2"/>
  <c r="AL162" i="2"/>
  <c r="BJ194" i="2"/>
  <c r="CK51" i="2"/>
  <c r="IV107" i="2"/>
  <c r="IW107" i="2" s="1"/>
  <c r="DR45" i="2"/>
  <c r="IV123" i="2"/>
  <c r="IW123" i="2" s="1"/>
  <c r="IV164" i="2"/>
  <c r="IW164" i="2" s="1"/>
  <c r="IV140" i="2"/>
  <c r="IW140" i="2" s="1"/>
  <c r="A66" i="2"/>
  <c r="AL154" i="2"/>
  <c r="BY127" i="2"/>
  <c r="A50" i="2"/>
  <c r="DP45" i="2"/>
  <c r="IV171" i="2"/>
  <c r="IW171" i="2" s="1"/>
  <c r="IV147" i="2"/>
  <c r="IW147" i="2" s="1"/>
  <c r="IV76" i="2"/>
  <c r="IW76" i="2" s="1"/>
  <c r="IV75" i="2"/>
  <c r="IW75" i="2" s="1"/>
  <c r="BJ66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Y9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BY184" i="2"/>
  <c r="CK155" i="2"/>
  <c r="A82" i="2"/>
  <c r="BY200" i="2"/>
  <c r="BY112" i="2"/>
  <c r="BI34" i="2"/>
  <c r="CK93" i="2"/>
  <c r="CJ149" i="2"/>
  <c r="E4" i="2"/>
  <c r="D4" i="2"/>
  <c r="C4" i="2"/>
  <c r="AI4" i="8" s="1"/>
  <c r="BY125" i="2"/>
  <c r="BY178" i="2"/>
  <c r="BY42" i="2"/>
  <c r="CJ55" i="2"/>
  <c r="AX34" i="2"/>
  <c r="BY146" i="2"/>
  <c r="BX101" i="2"/>
  <c r="BY77" i="2"/>
  <c r="BY50" i="2"/>
  <c r="BY37" i="2"/>
  <c r="CK175" i="2"/>
  <c r="BX194" i="2"/>
  <c r="BY172" i="2"/>
  <c r="BY116" i="2"/>
  <c r="CJ135" i="2"/>
  <c r="BY170" i="2"/>
  <c r="BI64" i="2"/>
  <c r="A35" i="2"/>
  <c r="AY191" i="2"/>
  <c r="A91" i="2"/>
  <c r="BY175" i="2"/>
  <c r="BY151" i="2"/>
  <c r="BY71" i="2"/>
  <c r="BY47" i="2"/>
  <c r="A200" i="2"/>
  <c r="AL83" i="2"/>
  <c r="BJ104" i="2"/>
  <c r="AY47" i="2"/>
  <c r="BY103" i="2"/>
  <c r="BY79" i="2"/>
  <c r="BI112" i="2"/>
  <c r="IY36" i="2"/>
  <c r="BY159" i="2"/>
  <c r="BY31" i="2"/>
  <c r="CJ58" i="2"/>
  <c r="AY90" i="2"/>
  <c r="BY111" i="2"/>
  <c r="BY87" i="2"/>
  <c r="BY39" i="2"/>
  <c r="IY34" i="2"/>
  <c r="CK114" i="2"/>
  <c r="IV30" i="2"/>
  <c r="IW30" i="2" s="1"/>
  <c r="BX163" i="2"/>
  <c r="BY131" i="2"/>
  <c r="BX131" i="2"/>
  <c r="IY61" i="2"/>
  <c r="IV61" i="2"/>
  <c r="IW61" i="2" s="1"/>
  <c r="IY69" i="2"/>
  <c r="IV69" i="2"/>
  <c r="IW69" i="2" s="1"/>
  <c r="AY55" i="2"/>
  <c r="AX55" i="2"/>
  <c r="AX63" i="2"/>
  <c r="AY79" i="2"/>
  <c r="AX79" i="2"/>
  <c r="AW103" i="2"/>
  <c r="AW79" i="2"/>
  <c r="AW58" i="2"/>
  <c r="AY58" i="2"/>
  <c r="AY154" i="2"/>
  <c r="AW154" i="2"/>
  <c r="AY195" i="2"/>
  <c r="AX195" i="2"/>
  <c r="AL67" i="2"/>
  <c r="A67" i="2"/>
  <c r="A59" i="2"/>
  <c r="AW191" i="2"/>
  <c r="AW195" i="2"/>
  <c r="CK123" i="2"/>
  <c r="CJ123" i="2"/>
  <c r="CJ107" i="2"/>
  <c r="CK107" i="2"/>
  <c r="CJ83" i="2"/>
  <c r="CK83" i="2"/>
  <c r="IY55" i="2"/>
  <c r="BX58" i="2"/>
  <c r="E3" i="2"/>
  <c r="BJ138" i="2"/>
  <c r="BY186" i="2"/>
  <c r="BY122" i="2"/>
  <c r="D3" i="2"/>
  <c r="BJ82" i="2"/>
  <c r="C3" i="2"/>
  <c r="BY34" i="2"/>
  <c r="CK82" i="2"/>
  <c r="D13" i="8"/>
  <c r="BE13" i="8"/>
  <c r="CZ7" i="2"/>
  <c r="AT13" i="8"/>
  <c r="D13" i="10"/>
  <c r="AG13" i="8"/>
  <c r="D7" i="8"/>
  <c r="V13" i="8"/>
  <c r="AX108" i="2"/>
  <c r="AX84" i="2"/>
  <c r="IV72" i="2"/>
  <c r="IW72" i="2" s="1"/>
  <c r="A69" i="2"/>
  <c r="AW60" i="2"/>
  <c r="AW124" i="2"/>
  <c r="AY44" i="2"/>
  <c r="AY92" i="2"/>
  <c r="IV87" i="2"/>
  <c r="IW87" i="2" s="1"/>
  <c r="DR180" i="2"/>
  <c r="AY172" i="2"/>
  <c r="AX162" i="2"/>
  <c r="AW82" i="2"/>
  <c r="AW84" i="2"/>
  <c r="AW164" i="2"/>
  <c r="AW98" i="2"/>
  <c r="CJ119" i="2"/>
  <c r="AX44" i="2"/>
  <c r="AX36" i="2"/>
  <c r="IV191" i="2"/>
  <c r="IW191" i="2" s="1"/>
  <c r="A157" i="2"/>
  <c r="A181" i="2"/>
  <c r="DP180" i="2"/>
  <c r="AX98" i="2"/>
  <c r="CJ184" i="2"/>
  <c r="CJ87" i="2"/>
  <c r="CJ63" i="2"/>
  <c r="AX43" i="2"/>
  <c r="AY116" i="2"/>
  <c r="IV127" i="2"/>
  <c r="IW127" i="2" s="1"/>
  <c r="AY164" i="2"/>
  <c r="AW92" i="2"/>
  <c r="AW116" i="2"/>
  <c r="AY82" i="2"/>
  <c r="CK151" i="2"/>
  <c r="AY43" i="2"/>
  <c r="AY36" i="2"/>
  <c r="AW108" i="2"/>
  <c r="AX124" i="2"/>
  <c r="AX76" i="2"/>
  <c r="AY162" i="2"/>
  <c r="AW172" i="2"/>
  <c r="IV79" i="2"/>
  <c r="IW79" i="2" s="1"/>
  <c r="CJ192" i="2"/>
  <c r="CJ56" i="2"/>
  <c r="IY35" i="2"/>
  <c r="A63" i="2"/>
  <c r="AX149" i="2"/>
  <c r="AX125" i="2"/>
  <c r="AL95" i="2"/>
  <c r="IV39" i="2"/>
  <c r="IW39" i="2" s="1"/>
  <c r="IV51" i="2"/>
  <c r="IW51" i="2" s="1"/>
  <c r="A127" i="2"/>
  <c r="A167" i="2"/>
  <c r="A103" i="2"/>
  <c r="CJ172" i="2"/>
  <c r="CK172" i="2"/>
  <c r="CJ100" i="2"/>
  <c r="A143" i="2"/>
  <c r="AL143" i="2"/>
  <c r="AY35" i="2"/>
  <c r="AW35" i="2"/>
  <c r="BX187" i="2"/>
  <c r="BY179" i="2"/>
  <c r="BY171" i="2"/>
  <c r="BX171" i="2"/>
  <c r="BX155" i="2"/>
  <c r="BY147" i="2"/>
  <c r="BX147" i="2"/>
  <c r="BY123" i="2"/>
  <c r="BX123" i="2"/>
  <c r="BX99" i="2"/>
  <c r="BY99" i="2"/>
  <c r="BY83" i="2"/>
  <c r="BX83" i="2"/>
  <c r="BY75" i="2"/>
  <c r="BX75" i="2"/>
  <c r="BY51" i="2"/>
  <c r="BX51" i="2"/>
  <c r="BY43" i="2"/>
  <c r="BX43" i="2"/>
  <c r="BY35" i="2"/>
  <c r="BX35" i="2"/>
  <c r="AY125" i="2"/>
  <c r="BX195" i="2"/>
  <c r="CK45" i="2"/>
  <c r="CK194" i="2"/>
  <c r="CK162" i="2"/>
  <c r="CK98" i="2"/>
  <c r="CK34" i="2"/>
  <c r="CJ53" i="2"/>
  <c r="CJ197" i="2"/>
  <c r="AY30" i="2"/>
  <c r="AX30" i="2"/>
  <c r="B2" i="2"/>
  <c r="AM2" i="2"/>
  <c r="E2" i="10"/>
  <c r="DQ9" i="2"/>
  <c r="FP8" i="2"/>
  <c r="DQ6" i="2"/>
  <c r="DS6" i="2" s="1"/>
  <c r="BJ126" i="2"/>
  <c r="BJ118" i="2"/>
  <c r="BI118" i="2"/>
  <c r="AY122" i="2"/>
  <c r="AX194" i="2"/>
  <c r="AW194" i="2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31" i="2"/>
  <c r="E2" i="2"/>
  <c r="D2" i="2"/>
  <c r="C2" i="2"/>
  <c r="BY143" i="2" l="1"/>
  <c r="BJ77" i="2"/>
  <c r="BJ154" i="2"/>
  <c r="BI52" i="2"/>
  <c r="BX66" i="2"/>
  <c r="BY56" i="2"/>
  <c r="BI114" i="2"/>
  <c r="BJ109" i="2"/>
  <c r="BY119" i="2"/>
  <c r="BI37" i="2"/>
  <c r="BI39" i="2"/>
  <c r="A7" i="1"/>
  <c r="BY140" i="2"/>
  <c r="BJ140" i="2"/>
  <c r="AX53" i="2"/>
  <c r="CJ69" i="2"/>
  <c r="DP138" i="2"/>
  <c r="IV53" i="2"/>
  <c r="IW53" i="2" s="1"/>
  <c r="DR82" i="2"/>
  <c r="DR138" i="2"/>
  <c r="CK66" i="2"/>
  <c r="DP82" i="2"/>
  <c r="AX199" i="2"/>
  <c r="AW31" i="2"/>
  <c r="AY111" i="2"/>
  <c r="CK108" i="2"/>
  <c r="IV165" i="2"/>
  <c r="IW165" i="2" s="1"/>
  <c r="DR141" i="2"/>
  <c r="AW111" i="2"/>
  <c r="AY199" i="2"/>
  <c r="IV71" i="2"/>
  <c r="IW71" i="2" s="1"/>
  <c r="IV133" i="2"/>
  <c r="IW133" i="2" s="1"/>
  <c r="AY69" i="2"/>
  <c r="CJ101" i="2"/>
  <c r="DR69" i="2"/>
  <c r="IV95" i="2"/>
  <c r="IW95" i="2" s="1"/>
  <c r="CJ48" i="2"/>
  <c r="IV159" i="2"/>
  <c r="IW159" i="2" s="1"/>
  <c r="AX71" i="2"/>
  <c r="CK157" i="2"/>
  <c r="AY71" i="2"/>
  <c r="CJ117" i="2"/>
  <c r="AX31" i="2"/>
  <c r="IY183" i="2"/>
  <c r="AW69" i="2"/>
  <c r="IY125" i="2"/>
  <c r="A179" i="2"/>
  <c r="CJ44" i="2"/>
  <c r="DR164" i="2"/>
  <c r="CJ200" i="2"/>
  <c r="CK171" i="2"/>
  <c r="A75" i="2"/>
  <c r="IV201" i="2"/>
  <c r="IW201" i="2" s="1"/>
  <c r="DR101" i="2"/>
  <c r="DR119" i="2"/>
  <c r="DP143" i="2"/>
  <c r="DP119" i="2"/>
  <c r="DR122" i="2"/>
  <c r="DP69" i="2"/>
  <c r="DP101" i="2"/>
  <c r="DP141" i="2"/>
  <c r="DR143" i="2"/>
  <c r="CQ15" i="2"/>
  <c r="A8" i="1"/>
  <c r="CK95" i="2"/>
  <c r="IY197" i="2"/>
  <c r="DS109" i="2"/>
  <c r="AW87" i="2"/>
  <c r="DR61" i="2"/>
  <c r="CK173" i="2"/>
  <c r="AY85" i="2"/>
  <c r="AX85" i="2"/>
  <c r="CJ116" i="2"/>
  <c r="CJ127" i="2"/>
  <c r="DP53" i="2"/>
  <c r="AL156" i="2"/>
  <c r="CJ77" i="2"/>
  <c r="DR127" i="2"/>
  <c r="AY184" i="2"/>
  <c r="IV143" i="2"/>
  <c r="IW143" i="2" s="1"/>
  <c r="CK178" i="2"/>
  <c r="CJ148" i="2"/>
  <c r="DR109" i="2"/>
  <c r="AL195" i="2"/>
  <c r="CJ31" i="2"/>
  <c r="AX184" i="2"/>
  <c r="DP61" i="2"/>
  <c r="IV120" i="2"/>
  <c r="IW120" i="2" s="1"/>
  <c r="DP127" i="2"/>
  <c r="AX87" i="2"/>
  <c r="CJ159" i="2"/>
  <c r="DR53" i="2"/>
  <c r="DP104" i="2"/>
  <c r="AL76" i="2"/>
  <c r="A131" i="2"/>
  <c r="AY64" i="2"/>
  <c r="AL93" i="2"/>
  <c r="AL60" i="2"/>
  <c r="A187" i="2"/>
  <c r="A148" i="2"/>
  <c r="AL101" i="2"/>
  <c r="AL45" i="2"/>
  <c r="A53" i="2"/>
  <c r="A155" i="2"/>
  <c r="A108" i="2"/>
  <c r="A125" i="2"/>
  <c r="A173" i="2"/>
  <c r="AL84" i="2"/>
  <c r="AL133" i="2"/>
  <c r="AL147" i="2"/>
  <c r="A147" i="2"/>
  <c r="A77" i="2"/>
  <c r="AL115" i="2"/>
  <c r="AL165" i="2"/>
  <c r="AL68" i="2"/>
  <c r="A132" i="2"/>
  <c r="A171" i="2"/>
  <c r="AY101" i="2"/>
  <c r="IV31" i="2"/>
  <c r="IW31" i="2" s="1"/>
  <c r="DP19" i="2"/>
  <c r="AY48" i="2"/>
  <c r="A180" i="2"/>
  <c r="AW135" i="2"/>
  <c r="AX39" i="2"/>
  <c r="AL61" i="2"/>
  <c r="AW189" i="2"/>
  <c r="AW173" i="2"/>
  <c r="AL141" i="2"/>
  <c r="CK43" i="2"/>
  <c r="CK163" i="2"/>
  <c r="IY47" i="2"/>
  <c r="CK92" i="2"/>
  <c r="CJ85" i="2"/>
  <c r="DP96" i="2"/>
  <c r="DP122" i="2"/>
  <c r="AW183" i="2"/>
  <c r="CK71" i="2"/>
  <c r="CK189" i="2"/>
  <c r="DR183" i="2"/>
  <c r="AY173" i="2"/>
  <c r="AY196" i="2"/>
  <c r="DR170" i="2"/>
  <c r="DR146" i="2"/>
  <c r="AY192" i="2"/>
  <c r="IV88" i="2"/>
  <c r="IW88" i="2" s="1"/>
  <c r="AX183" i="2"/>
  <c r="IY189" i="2"/>
  <c r="CJ181" i="2"/>
  <c r="CK68" i="2"/>
  <c r="CJ132" i="2"/>
  <c r="A116" i="2"/>
  <c r="DS116" i="2"/>
  <c r="DP71" i="2"/>
  <c r="AW175" i="2"/>
  <c r="AW181" i="2"/>
  <c r="IV103" i="2"/>
  <c r="IW103" i="2" s="1"/>
  <c r="AX192" i="2"/>
  <c r="DP111" i="2"/>
  <c r="AY189" i="2"/>
  <c r="AW196" i="2"/>
  <c r="CK130" i="2"/>
  <c r="DS71" i="2"/>
  <c r="AX175" i="2"/>
  <c r="AX181" i="2"/>
  <c r="IV48" i="2"/>
  <c r="IW48" i="2" s="1"/>
  <c r="A163" i="2"/>
  <c r="AX48" i="2"/>
  <c r="DR96" i="2"/>
  <c r="DP183" i="2"/>
  <c r="AW93" i="2"/>
  <c r="AW53" i="2"/>
  <c r="IV109" i="2"/>
  <c r="IW109" i="2" s="1"/>
  <c r="AL172" i="2"/>
  <c r="DP170" i="2"/>
  <c r="DP146" i="2"/>
  <c r="AY93" i="2"/>
  <c r="CJ40" i="2"/>
  <c r="CK199" i="2"/>
  <c r="CJ104" i="2"/>
  <c r="AX127" i="2"/>
  <c r="AY61" i="2"/>
  <c r="AL117" i="2"/>
  <c r="CK109" i="2"/>
  <c r="CJ120" i="2"/>
  <c r="AY127" i="2"/>
  <c r="DR42" i="2"/>
  <c r="IV111" i="2"/>
  <c r="IW111" i="2" s="1"/>
  <c r="IV63" i="2"/>
  <c r="IW63" i="2" s="1"/>
  <c r="AX61" i="2"/>
  <c r="IV119" i="2"/>
  <c r="IW119" i="2" s="1"/>
  <c r="DR130" i="2"/>
  <c r="AY133" i="2"/>
  <c r="DP42" i="2"/>
  <c r="CJ103" i="2"/>
  <c r="CK146" i="2"/>
  <c r="AX64" i="2"/>
  <c r="A123" i="2"/>
  <c r="AW95" i="2"/>
  <c r="CJ141" i="2"/>
  <c r="AW37" i="2"/>
  <c r="AW133" i="2"/>
  <c r="CJ133" i="2"/>
  <c r="CK186" i="2"/>
  <c r="AX95" i="2"/>
  <c r="CK111" i="2"/>
  <c r="CK115" i="2"/>
  <c r="DP130" i="2"/>
  <c r="IV149" i="2"/>
  <c r="IW149" i="2" s="1"/>
  <c r="CK124" i="2"/>
  <c r="AX37" i="2"/>
  <c r="DR19" i="2"/>
  <c r="BE5" i="8"/>
  <c r="AT5" i="8"/>
  <c r="D5" i="8"/>
  <c r="V5" i="8"/>
  <c r="CZ5" i="2"/>
  <c r="DR66" i="2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G7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A9" i="1" l="1"/>
  <c r="AO7" i="2"/>
  <c r="AW7" i="2" s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N12" i="2" l="1"/>
  <c r="AT12" i="2" s="1"/>
  <c r="M12" i="2"/>
  <c r="AS12" i="2" s="1"/>
  <c r="BG12" i="2"/>
  <c r="F12" i="8"/>
  <c r="FV12" i="2" s="1"/>
  <c r="BH12" i="2"/>
  <c r="AP12" i="2" s="1"/>
  <c r="AF12" i="2"/>
  <c r="A10" i="1"/>
  <c r="A11" i="1" s="1"/>
  <c r="A12" i="1" s="1"/>
  <c r="A13" i="1" s="1"/>
  <c r="N7" i="2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AX13" i="2" l="1"/>
  <c r="A14" i="1"/>
  <c r="A15" i="1" s="1"/>
  <c r="FY13" i="2"/>
  <c r="BG13" i="8" s="1"/>
  <c r="S7" i="2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L22" i="2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16" i="1" l="1"/>
  <c r="A17" i="1" s="1"/>
  <c r="DT24" i="2"/>
  <c r="EC24" i="2" s="1"/>
  <c r="DT142" i="2"/>
  <c r="EP142" i="2" s="1"/>
  <c r="AV13" i="8"/>
  <c r="IL13" i="2" s="1"/>
  <c r="DT49" i="2"/>
  <c r="DT21" i="2"/>
  <c r="EQ21" i="2" s="1"/>
  <c r="DT43" i="2"/>
  <c r="DU43" i="2" s="1"/>
  <c r="DT94" i="2"/>
  <c r="DT4" i="2"/>
  <c r="EB4" i="2" s="1"/>
  <c r="DT107" i="2"/>
  <c r="EM107" i="2" s="1"/>
  <c r="DT157" i="2"/>
  <c r="DT48" i="2"/>
  <c r="EV48" i="2" s="1"/>
  <c r="DT141" i="2"/>
  <c r="DW141" i="2" s="1"/>
  <c r="DT173" i="2"/>
  <c r="DT159" i="2"/>
  <c r="ES159" i="2" s="1"/>
  <c r="EU159" i="2" s="1"/>
  <c r="DT147" i="2"/>
  <c r="DT154" i="2"/>
  <c r="DT137" i="2"/>
  <c r="EA137" i="2" s="1"/>
  <c r="ET137" i="2" s="1"/>
  <c r="DT168" i="2"/>
  <c r="DT198" i="2"/>
  <c r="DT108" i="2"/>
  <c r="EI108" i="2" s="1"/>
  <c r="DT132" i="2"/>
  <c r="DT72" i="2"/>
  <c r="DT85" i="2"/>
  <c r="EB85" i="2" s="1"/>
  <c r="DT30" i="2"/>
  <c r="DT175" i="2"/>
  <c r="ES175" i="2" s="1"/>
  <c r="EU175" i="2" s="1"/>
  <c r="DT97" i="2"/>
  <c r="DT199" i="2"/>
  <c r="DT26" i="2"/>
  <c r="DT162" i="2"/>
  <c r="EV162" i="2" s="1"/>
  <c r="DT135" i="2"/>
  <c r="DT67" i="2"/>
  <c r="DT165" i="2"/>
  <c r="EH165" i="2" s="1"/>
  <c r="DT192" i="2"/>
  <c r="EK192" i="2" s="1"/>
  <c r="DT127" i="2"/>
  <c r="DT25" i="2"/>
  <c r="DT129" i="2"/>
  <c r="DT59" i="2"/>
  <c r="DT47" i="2"/>
  <c r="EQ47" i="2" s="1"/>
  <c r="DT184" i="2"/>
  <c r="DT73" i="2"/>
  <c r="DT106" i="2"/>
  <c r="EV106" i="2" s="1"/>
  <c r="DT150" i="2"/>
  <c r="EC150" i="2" s="1"/>
  <c r="DT131" i="2"/>
  <c r="DT86" i="2"/>
  <c r="EQ86" i="2" s="1"/>
  <c r="DT75" i="2"/>
  <c r="DT155" i="2"/>
  <c r="DT158" i="2"/>
  <c r="EH158" i="2" s="1"/>
  <c r="DT197" i="2"/>
  <c r="DT80" i="2"/>
  <c r="EP80" i="2" s="1"/>
  <c r="DT124" i="2"/>
  <c r="DT23" i="2"/>
  <c r="DT22" i="2"/>
  <c r="DT93" i="2"/>
  <c r="ES93" i="2" s="1"/>
  <c r="EU93" i="2" s="1"/>
  <c r="DT62" i="2"/>
  <c r="DT50" i="2"/>
  <c r="DT174" i="2"/>
  <c r="EJ174" i="2" s="1"/>
  <c r="DT183" i="2"/>
  <c r="EV183" i="2" s="1"/>
  <c r="DT152" i="2"/>
  <c r="DT74" i="2"/>
  <c r="EP74" i="2" s="1"/>
  <c r="DT88" i="2"/>
  <c r="DT45" i="2"/>
  <c r="DT53" i="2"/>
  <c r="DT91" i="2"/>
  <c r="DT29" i="2"/>
  <c r="DT35" i="2"/>
  <c r="DW35" i="2" s="1"/>
  <c r="DT136" i="2"/>
  <c r="DT78" i="2"/>
  <c r="DT95" i="2"/>
  <c r="EQ95" i="2" s="1"/>
  <c r="DT143" i="2"/>
  <c r="DT109" i="2"/>
  <c r="DT116" i="2"/>
  <c r="EB116" i="2" s="1"/>
  <c r="DT98" i="2"/>
  <c r="DT194" i="2"/>
  <c r="EL194" i="2" s="1"/>
  <c r="DT105" i="2"/>
  <c r="EJ105" i="2" s="1"/>
  <c r="DT42" i="2"/>
  <c r="ED42" i="2" s="1"/>
  <c r="DT122" i="2"/>
  <c r="DT40" i="2"/>
  <c r="DX40" i="2" s="1"/>
  <c r="DY40" i="2" s="1"/>
  <c r="DT182" i="2"/>
  <c r="EG182" i="2" s="1"/>
  <c r="DT193" i="2"/>
  <c r="EN193" i="2" s="1"/>
  <c r="DT69" i="2"/>
  <c r="DT99" i="2"/>
  <c r="EE99" i="2" s="1"/>
  <c r="DT139" i="2"/>
  <c r="EK139" i="2" s="1"/>
  <c r="JH7" i="2"/>
  <c r="JI7" i="2" s="1"/>
  <c r="JJ7" i="2" s="1"/>
  <c r="BG7" i="8"/>
  <c r="IY7" i="2" s="1"/>
  <c r="AV7" i="8"/>
  <c r="IL7" i="2" s="1"/>
  <c r="DT58" i="2"/>
  <c r="DT201" i="2"/>
  <c r="DT171" i="2"/>
  <c r="DT103" i="2"/>
  <c r="DX103" i="2" s="1"/>
  <c r="DY103" i="2" s="1"/>
  <c r="DT181" i="2"/>
  <c r="EV181" i="2" s="1"/>
  <c r="DT191" i="2"/>
  <c r="EQ191" i="2" s="1"/>
  <c r="DT130" i="2"/>
  <c r="EA130" i="2" s="1"/>
  <c r="ET130" i="2" s="1"/>
  <c r="DT145" i="2"/>
  <c r="DT66" i="2"/>
  <c r="DT87" i="2"/>
  <c r="DV87" i="2" s="1"/>
  <c r="DT55" i="2"/>
  <c r="DT70" i="2"/>
  <c r="EP70" i="2" s="1"/>
  <c r="DT164" i="2"/>
  <c r="DW164" i="2" s="1"/>
  <c r="DT9" i="2"/>
  <c r="EA9" i="2" s="1"/>
  <c r="ET9" i="2" s="1"/>
  <c r="DT186" i="2"/>
  <c r="DT161" i="2"/>
  <c r="EJ161" i="2" s="1"/>
  <c r="DT60" i="2"/>
  <c r="DT79" i="2"/>
  <c r="DT189" i="2"/>
  <c r="DT44" i="2"/>
  <c r="EK44" i="2" s="1"/>
  <c r="DT125" i="2"/>
  <c r="ES125" i="2" s="1"/>
  <c r="EU125" i="2" s="1"/>
  <c r="DT71" i="2"/>
  <c r="EK71" i="2" s="1"/>
  <c r="DT28" i="2"/>
  <c r="DT121" i="2"/>
  <c r="DT111" i="2"/>
  <c r="DT64" i="2"/>
  <c r="DT179" i="2"/>
  <c r="DT82" i="2"/>
  <c r="DU82" i="2" s="1"/>
  <c r="DT100" i="2"/>
  <c r="DT18" i="2"/>
  <c r="DT166" i="2"/>
  <c r="DT68" i="2"/>
  <c r="DT123" i="2"/>
  <c r="DT190" i="2"/>
  <c r="EH190" i="2" s="1"/>
  <c r="DT117" i="2"/>
  <c r="DT167" i="2"/>
  <c r="DT20" i="2"/>
  <c r="DT84" i="2"/>
  <c r="DT77" i="2"/>
  <c r="DT89" i="2"/>
  <c r="DT163" i="2"/>
  <c r="DT112" i="2"/>
  <c r="DT76" i="2"/>
  <c r="EO76" i="2" s="1"/>
  <c r="DT38" i="2"/>
  <c r="DT180" i="2"/>
  <c r="DU180" i="2" s="1"/>
  <c r="DT115" i="2"/>
  <c r="EV115" i="2" s="1"/>
  <c r="DT39" i="2"/>
  <c r="DT34" i="2"/>
  <c r="DT149" i="2"/>
  <c r="DT90" i="2"/>
  <c r="DT83" i="2"/>
  <c r="DT15" i="2"/>
  <c r="EF15" i="2" s="1"/>
  <c r="DT144" i="2"/>
  <c r="ED144" i="2" s="1"/>
  <c r="DT81" i="2"/>
  <c r="DT31" i="2"/>
  <c r="DW31" i="2" s="1"/>
  <c r="DT126" i="2"/>
  <c r="DT110" i="2"/>
  <c r="DT133" i="2"/>
  <c r="EC133" i="2" s="1"/>
  <c r="DT101" i="2"/>
  <c r="DT177" i="2"/>
  <c r="DT54" i="2"/>
  <c r="EG54" i="2" s="1"/>
  <c r="DT41" i="2"/>
  <c r="DT65" i="2"/>
  <c r="DT196" i="2"/>
  <c r="EB196" i="2" s="1"/>
  <c r="DT17" i="2"/>
  <c r="DT128" i="2"/>
  <c r="DT134" i="2"/>
  <c r="EP134" i="2" s="1"/>
  <c r="DT172" i="2"/>
  <c r="DT37" i="2"/>
  <c r="EV37" i="2" s="1"/>
  <c r="DT200" i="2"/>
  <c r="DU200" i="2" s="1"/>
  <c r="DT188" i="2"/>
  <c r="DT16" i="2"/>
  <c r="DT36" i="2"/>
  <c r="EN36" i="2" s="1"/>
  <c r="DT120" i="2"/>
  <c r="DT195" i="2"/>
  <c r="DT151" i="2"/>
  <c r="EL151" i="2" s="1"/>
  <c r="DT63" i="2"/>
  <c r="ED63" i="2" s="1"/>
  <c r="DT153" i="2"/>
  <c r="DX153" i="2" s="1"/>
  <c r="DY153" i="2" s="1"/>
  <c r="DT146" i="2"/>
  <c r="EC146" i="2" s="1"/>
  <c r="DT19" i="2"/>
  <c r="DT13" i="2"/>
  <c r="DT32" i="2"/>
  <c r="DV32" i="2" s="1"/>
  <c r="DT156" i="2"/>
  <c r="DT140" i="2"/>
  <c r="EL140" i="2" s="1"/>
  <c r="DT118" i="2"/>
  <c r="EG118" i="2" s="1"/>
  <c r="DT102" i="2"/>
  <c r="DT176" i="2"/>
  <c r="DT104" i="2"/>
  <c r="DW104" i="2" s="1"/>
  <c r="DT14" i="2"/>
  <c r="DT52" i="2"/>
  <c r="DT27" i="2"/>
  <c r="EF27" i="2" s="1"/>
  <c r="DT46" i="2"/>
  <c r="EO46" i="2" s="1"/>
  <c r="DT185" i="2"/>
  <c r="ER185" i="2" s="1"/>
  <c r="DT57" i="2"/>
  <c r="DX57" i="2" s="1"/>
  <c r="DY57" i="2" s="1"/>
  <c r="DT113" i="2"/>
  <c r="DT187" i="2"/>
  <c r="DT33" i="2"/>
  <c r="EF33" i="2" s="1"/>
  <c r="DT114" i="2"/>
  <c r="DW114" i="2" s="1"/>
  <c r="DT170" i="2"/>
  <c r="DT56" i="2"/>
  <c r="DV56" i="2" s="1"/>
  <c r="DT169" i="2"/>
  <c r="DW169" i="2" s="1"/>
  <c r="DT51" i="2"/>
  <c r="EV51" i="2" s="1"/>
  <c r="DT138" i="2"/>
  <c r="DT61" i="2"/>
  <c r="EO61" i="2" s="1"/>
  <c r="DT160" i="2"/>
  <c r="EQ160" i="2" s="1"/>
  <c r="DT92" i="2"/>
  <c r="DT148" i="2"/>
  <c r="DT96" i="2"/>
  <c r="EI96" i="2" s="1"/>
  <c r="DT178" i="2"/>
  <c r="ED178" i="2" s="1"/>
  <c r="DT119" i="2"/>
  <c r="EB119" i="2" s="1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S198" i="2"/>
  <c r="EU198" i="2" s="1"/>
  <c r="EP198" i="2"/>
  <c r="ER198" i="2"/>
  <c r="EN198" i="2"/>
  <c r="EH26" i="2"/>
  <c r="ES94" i="2"/>
  <c r="EU94" i="2" s="1"/>
  <c r="EE94" i="2"/>
  <c r="EB94" i="2"/>
  <c r="ED94" i="2"/>
  <c r="DX94" i="2"/>
  <c r="DY94" i="2" s="1"/>
  <c r="EL94" i="2"/>
  <c r="EP94" i="2"/>
  <c r="DZ94" i="2"/>
  <c r="EC165" i="2"/>
  <c r="EG142" i="2"/>
  <c r="EM142" i="2"/>
  <c r="EC142" i="2"/>
  <c r="EJ142" i="2"/>
  <c r="DZ142" i="2"/>
  <c r="ED142" i="2"/>
  <c r="EA142" i="2"/>
  <c r="ET142" i="2" s="1"/>
  <c r="EB142" i="2"/>
  <c r="DV142" i="2"/>
  <c r="EO142" i="2"/>
  <c r="EE142" i="2"/>
  <c r="DW142" i="2"/>
  <c r="DU142" i="2"/>
  <c r="EL142" i="2"/>
  <c r="EF142" i="2"/>
  <c r="EK142" i="2"/>
  <c r="EH142" i="2"/>
  <c r="ES142" i="2"/>
  <c r="EU142" i="2" s="1"/>
  <c r="DX142" i="2"/>
  <c r="DY142" i="2" s="1"/>
  <c r="EH30" i="2"/>
  <c r="EF30" i="2"/>
  <c r="EO30" i="2"/>
  <c r="EK30" i="2"/>
  <c r="DZ30" i="2"/>
  <c r="EA30" i="2"/>
  <c r="ET30" i="2" s="1"/>
  <c r="EG30" i="2"/>
  <c r="EQ30" i="2"/>
  <c r="ED30" i="2"/>
  <c r="DW30" i="2"/>
  <c r="ER30" i="2"/>
  <c r="EQ182" i="2"/>
  <c r="ED136" i="2"/>
  <c r="EG78" i="2"/>
  <c r="DW69" i="2"/>
  <c r="EB129" i="2"/>
  <c r="EV169" i="2"/>
  <c r="EC51" i="2"/>
  <c r="EV61" i="2"/>
  <c r="DV61" i="2"/>
  <c r="H173" i="9"/>
  <c r="DU155" i="2"/>
  <c r="DU197" i="2"/>
  <c r="EN197" i="2"/>
  <c r="EV197" i="2"/>
  <c r="EF22" i="2"/>
  <c r="EM62" i="2"/>
  <c r="EJ62" i="2"/>
  <c r="EH174" i="2"/>
  <c r="EI127" i="2"/>
  <c r="EA127" i="2"/>
  <c r="ET127" i="2" s="1"/>
  <c r="EK127" i="2"/>
  <c r="EN184" i="2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DU73" i="2"/>
  <c r="EV73" i="2"/>
  <c r="EM73" i="2"/>
  <c r="ED73" i="2"/>
  <c r="DZ73" i="2"/>
  <c r="EP73" i="2"/>
  <c r="ER141" i="2"/>
  <c r="DX141" i="2"/>
  <c r="DY141" i="2" s="1"/>
  <c r="DV141" i="2"/>
  <c r="EG141" i="2"/>
  <c r="EM141" i="2"/>
  <c r="EH141" i="2"/>
  <c r="EP141" i="2"/>
  <c r="EA141" i="2"/>
  <c r="ET141" i="2" s="1"/>
  <c r="DU150" i="2"/>
  <c r="EI150" i="2"/>
  <c r="EH150" i="2"/>
  <c r="ER150" i="2"/>
  <c r="EJ150" i="2"/>
  <c r="EB150" i="2"/>
  <c r="EO150" i="2"/>
  <c r="ED175" i="2"/>
  <c r="DW175" i="2"/>
  <c r="EK175" i="2"/>
  <c r="DZ175" i="2"/>
  <c r="EP131" i="2"/>
  <c r="EO131" i="2"/>
  <c r="DX131" i="2"/>
  <c r="DY131" i="2" s="1"/>
  <c r="ED131" i="2"/>
  <c r="EH160" i="2"/>
  <c r="EB160" i="2"/>
  <c r="EJ160" i="2"/>
  <c r="DU160" i="2"/>
  <c r="EF55" i="2"/>
  <c r="EE55" i="2"/>
  <c r="ER55" i="2"/>
  <c r="DW55" i="2"/>
  <c r="EB55" i="2"/>
  <c r="ED55" i="2"/>
  <c r="DX55" i="2"/>
  <c r="DY55" i="2" s="1"/>
  <c r="EI55" i="2"/>
  <c r="DV55" i="2"/>
  <c r="EC55" i="2"/>
  <c r="EH55" i="2"/>
  <c r="EL55" i="2"/>
  <c r="EQ55" i="2"/>
  <c r="EG55" i="2"/>
  <c r="EM55" i="2"/>
  <c r="EO55" i="2"/>
  <c r="DW122" i="2"/>
  <c r="EE122" i="2"/>
  <c r="DX122" i="2"/>
  <c r="DY122" i="2" s="1"/>
  <c r="DU147" i="2"/>
  <c r="DW147" i="2"/>
  <c r="EH147" i="2"/>
  <c r="DV147" i="2"/>
  <c r="EB147" i="2"/>
  <c r="EV147" i="2"/>
  <c r="EQ147" i="2"/>
  <c r="EC147" i="2"/>
  <c r="EF147" i="2"/>
  <c r="EI147" i="2"/>
  <c r="EV70" i="2"/>
  <c r="EQ70" i="2"/>
  <c r="DZ70" i="2"/>
  <c r="EQ9" i="2"/>
  <c r="EC9" i="2"/>
  <c r="EK9" i="2"/>
  <c r="EL9" i="2"/>
  <c r="EF9" i="2"/>
  <c r="EP9" i="2"/>
  <c r="EC186" i="2"/>
  <c r="EK186" i="2"/>
  <c r="EG186" i="2"/>
  <c r="DV186" i="2"/>
  <c r="EN186" i="2"/>
  <c r="EB60" i="2"/>
  <c r="DU60" i="2"/>
  <c r="EC60" i="2"/>
  <c r="EH60" i="2"/>
  <c r="EQ60" i="2"/>
  <c r="EL60" i="2"/>
  <c r="EG60" i="2"/>
  <c r="DX60" i="2"/>
  <c r="DY60" i="2" s="1"/>
  <c r="ER60" i="2"/>
  <c r="DW60" i="2"/>
  <c r="EO60" i="2"/>
  <c r="EN60" i="2"/>
  <c r="DV60" i="2"/>
  <c r="EV60" i="2"/>
  <c r="DZ60" i="2"/>
  <c r="ES60" i="2"/>
  <c r="EU60" i="2" s="1"/>
  <c r="EV79" i="2"/>
  <c r="EE79" i="2"/>
  <c r="EN79" i="2"/>
  <c r="EO79" i="2"/>
  <c r="EM79" i="2"/>
  <c r="EN44" i="2"/>
  <c r="EP44" i="2"/>
  <c r="EL44" i="2"/>
  <c r="DW44" i="2"/>
  <c r="EC44" i="2"/>
  <c r="EH44" i="2"/>
  <c r="DX44" i="2"/>
  <c r="DY44" i="2" s="1"/>
  <c r="EV125" i="2"/>
  <c r="EL125" i="2"/>
  <c r="EM125" i="2"/>
  <c r="DV125" i="2"/>
  <c r="EJ125" i="2"/>
  <c r="EP125" i="2"/>
  <c r="EJ28" i="2"/>
  <c r="EQ28" i="2"/>
  <c r="ER28" i="2"/>
  <c r="EH28" i="2"/>
  <c r="DX28" i="2"/>
  <c r="DY28" i="2" s="1"/>
  <c r="ED28" i="2"/>
  <c r="EG28" i="2"/>
  <c r="DU28" i="2"/>
  <c r="EC28" i="2"/>
  <c r="EM28" i="2"/>
  <c r="EO28" i="2"/>
  <c r="EI28" i="2"/>
  <c r="EV28" i="2"/>
  <c r="ES28" i="2"/>
  <c r="EU28" i="2" s="1"/>
  <c r="EB28" i="2"/>
  <c r="DZ28" i="2"/>
  <c r="ES121" i="2"/>
  <c r="EU121" i="2" s="1"/>
  <c r="EG121" i="2"/>
  <c r="EL121" i="2"/>
  <c r="DV121" i="2"/>
  <c r="EF121" i="2"/>
  <c r="DW121" i="2"/>
  <c r="ED121" i="2"/>
  <c r="EK121" i="2"/>
  <c r="DZ121" i="2"/>
  <c r="EC121" i="2"/>
  <c r="EV121" i="2"/>
  <c r="DU64" i="2"/>
  <c r="EE64" i="2"/>
  <c r="ER64" i="2"/>
  <c r="EF64" i="2"/>
  <c r="EH64" i="2"/>
  <c r="EC64" i="2"/>
  <c r="EN64" i="2"/>
  <c r="DX64" i="2"/>
  <c r="DY64" i="2" s="1"/>
  <c r="EG64" i="2"/>
  <c r="ES64" i="2"/>
  <c r="EU64" i="2" s="1"/>
  <c r="EP64" i="2"/>
  <c r="EP179" i="2"/>
  <c r="DW179" i="2"/>
  <c r="EH179" i="2"/>
  <c r="EG179" i="2"/>
  <c r="EM179" i="2"/>
  <c r="DV179" i="2"/>
  <c r="DZ179" i="2"/>
  <c r="EJ179" i="2"/>
  <c r="ED179" i="2"/>
  <c r="EK179" i="2"/>
  <c r="EB179" i="2"/>
  <c r="EE179" i="2"/>
  <c r="EH100" i="2"/>
  <c r="EC100" i="2"/>
  <c r="EQ100" i="2"/>
  <c r="ER100" i="2"/>
  <c r="EA100" i="2"/>
  <c r="ET100" i="2" s="1"/>
  <c r="ES100" i="2"/>
  <c r="EU100" i="2" s="1"/>
  <c r="EG100" i="2"/>
  <c r="EO100" i="2"/>
  <c r="EE100" i="2"/>
  <c r="ED100" i="2"/>
  <c r="EC18" i="2"/>
  <c r="DW18" i="2"/>
  <c r="DU18" i="2"/>
  <c r="EQ18" i="2"/>
  <c r="EE18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M96" i="2"/>
  <c r="EM119" i="2"/>
  <c r="EE119" i="2"/>
  <c r="EK119" i="2"/>
  <c r="EO119" i="2"/>
  <c r="ES119" i="2"/>
  <c r="EU119" i="2" s="1"/>
  <c r="DW24" i="2"/>
  <c r="EH24" i="2"/>
  <c r="EP24" i="2"/>
  <c r="EA24" i="2"/>
  <c r="ET24" i="2" s="1"/>
  <c r="EQ24" i="2"/>
  <c r="DX24" i="2"/>
  <c r="DY24" i="2" s="1"/>
  <c r="EV24" i="2"/>
  <c r="DV24" i="2"/>
  <c r="DZ24" i="2"/>
  <c r="EM24" i="2"/>
  <c r="EG24" i="2"/>
  <c r="EN24" i="2"/>
  <c r="ES24" i="2"/>
  <c r="EU24" i="2" s="1"/>
  <c r="EF24" i="2"/>
  <c r="ER24" i="2"/>
  <c r="EI24" i="2"/>
  <c r="EK24" i="2"/>
  <c r="EB24" i="2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ED199" i="2"/>
  <c r="DV199" i="2"/>
  <c r="EB199" i="2"/>
  <c r="EE199" i="2"/>
  <c r="EV199" i="2"/>
  <c r="EM199" i="2"/>
  <c r="EF199" i="2"/>
  <c r="DU199" i="2"/>
  <c r="EJ199" i="2"/>
  <c r="EL199" i="2"/>
  <c r="EH199" i="2"/>
  <c r="DZ199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K67" i="2"/>
  <c r="ED67" i="2"/>
  <c r="EI67" i="2"/>
  <c r="EB67" i="2"/>
  <c r="ER67" i="2"/>
  <c r="EC67" i="2"/>
  <c r="EJ67" i="2"/>
  <c r="ES67" i="2"/>
  <c r="EU67" i="2" s="1"/>
  <c r="EM67" i="2"/>
  <c r="EV67" i="2"/>
  <c r="EO67" i="2"/>
  <c r="EA67" i="2"/>
  <c r="ET67" i="2" s="1"/>
  <c r="EQ67" i="2"/>
  <c r="ED168" i="2"/>
  <c r="DW168" i="2"/>
  <c r="EN168" i="2"/>
  <c r="EA168" i="2"/>
  <c r="ET168" i="2" s="1"/>
  <c r="DV168" i="2"/>
  <c r="DX168" i="2"/>
  <c r="DY168" i="2" s="1"/>
  <c r="EO168" i="2"/>
  <c r="EJ168" i="2"/>
  <c r="EE168" i="2"/>
  <c r="EI168" i="2"/>
  <c r="EV168" i="2"/>
  <c r="EG168" i="2"/>
  <c r="EB168" i="2"/>
  <c r="EM168" i="2"/>
  <c r="DU168" i="2"/>
  <c r="EC168" i="2"/>
  <c r="ES168" i="2"/>
  <c r="EU168" i="2" s="1"/>
  <c r="EP168" i="2"/>
  <c r="DZ168" i="2"/>
  <c r="EP157" i="2"/>
  <c r="EJ157" i="2"/>
  <c r="EO157" i="2"/>
  <c r="EL157" i="2"/>
  <c r="DX157" i="2"/>
  <c r="DY157" i="2" s="1"/>
  <c r="DW157" i="2"/>
  <c r="DU157" i="2"/>
  <c r="ER157" i="2"/>
  <c r="DV157" i="2"/>
  <c r="EA157" i="2"/>
  <c r="ET157" i="2" s="1"/>
  <c r="EQ157" i="2"/>
  <c r="EB157" i="2"/>
  <c r="EH157" i="2"/>
  <c r="EE157" i="2"/>
  <c r="ED157" i="2"/>
  <c r="EG157" i="2"/>
  <c r="DZ157" i="2"/>
  <c r="EC157" i="2"/>
  <c r="EI157" i="2"/>
  <c r="DX88" i="2"/>
  <c r="DY88" i="2" s="1"/>
  <c r="EV88" i="2"/>
  <c r="EE88" i="2"/>
  <c r="ES88" i="2"/>
  <c r="EU88" i="2" s="1"/>
  <c r="EN88" i="2"/>
  <c r="DU88" i="2"/>
  <c r="EA88" i="2"/>
  <c r="ET88" i="2" s="1"/>
  <c r="EO88" i="2"/>
  <c r="EG88" i="2"/>
  <c r="EB88" i="2"/>
  <c r="EL88" i="2"/>
  <c r="EJ88" i="2"/>
  <c r="DW88" i="2"/>
  <c r="DV88" i="2"/>
  <c r="EP88" i="2"/>
  <c r="DZ201" i="2"/>
  <c r="DU201" i="2"/>
  <c r="EJ201" i="2"/>
  <c r="DV201" i="2"/>
  <c r="EL201" i="2"/>
  <c r="ED201" i="2"/>
  <c r="DX201" i="2"/>
  <c r="DY201" i="2" s="1"/>
  <c r="EQ201" i="2"/>
  <c r="EP201" i="2"/>
  <c r="EM201" i="2"/>
  <c r="EK201" i="2"/>
  <c r="EC201" i="2"/>
  <c r="EO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EO91" i="2"/>
  <c r="ED91" i="2"/>
  <c r="DV91" i="2"/>
  <c r="EH91" i="2"/>
  <c r="ES91" i="2"/>
  <c r="EU91" i="2" s="1"/>
  <c r="EI91" i="2"/>
  <c r="EC91" i="2"/>
  <c r="EF91" i="2"/>
  <c r="EV91" i="2"/>
  <c r="EG91" i="2"/>
  <c r="ES99" i="2"/>
  <c r="EU99" i="2" s="1"/>
  <c r="EQ99" i="2"/>
  <c r="ER99" i="2"/>
  <c r="DW99" i="2"/>
  <c r="EC99" i="2"/>
  <c r="EF99" i="2"/>
  <c r="EI99" i="2"/>
  <c r="ED99" i="2"/>
  <c r="EP181" i="2"/>
  <c r="DX181" i="2"/>
  <c r="DY181" i="2" s="1"/>
  <c r="EN181" i="2"/>
  <c r="EF181" i="2"/>
  <c r="DV181" i="2"/>
  <c r="EL181" i="2"/>
  <c r="EK181" i="2"/>
  <c r="EI181" i="2"/>
  <c r="EG181" i="2"/>
  <c r="EC181" i="2"/>
  <c r="EB181" i="2"/>
  <c r="EE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G123" i="2"/>
  <c r="EP123" i="2"/>
  <c r="ER123" i="2"/>
  <c r="EH123" i="2"/>
  <c r="ES123" i="2"/>
  <c r="EU123" i="2" s="1"/>
  <c r="DW123" i="2"/>
  <c r="EM123" i="2"/>
  <c r="DZ123" i="2"/>
  <c r="EJ123" i="2"/>
  <c r="DU123" i="2"/>
  <c r="EI123" i="2"/>
  <c r="EB123" i="2"/>
  <c r="EF123" i="2"/>
  <c r="EE123" i="2"/>
  <c r="EC123" i="2"/>
  <c r="EC117" i="2"/>
  <c r="EN117" i="2"/>
  <c r="EO117" i="2"/>
  <c r="EB117" i="2"/>
  <c r="EM117" i="2"/>
  <c r="DX117" i="2"/>
  <c r="DY117" i="2" s="1"/>
  <c r="DV117" i="2"/>
  <c r="ER117" i="2"/>
  <c r="EH117" i="2"/>
  <c r="EK117" i="2"/>
  <c r="DW117" i="2"/>
  <c r="EJ117" i="2"/>
  <c r="EL117" i="2"/>
  <c r="ED117" i="2"/>
  <c r="EF117" i="2"/>
  <c r="EV117" i="2"/>
  <c r="EE117" i="2"/>
  <c r="EA117" i="2"/>
  <c r="ET117" i="2" s="1"/>
  <c r="EG117" i="2"/>
  <c r="ES117" i="2"/>
  <c r="EU117" i="2" s="1"/>
  <c r="EI117" i="2"/>
  <c r="DU117" i="2"/>
  <c r="EQ117" i="2"/>
  <c r="DZ117" i="2"/>
  <c r="EP117" i="2"/>
  <c r="DU167" i="2"/>
  <c r="EF167" i="2"/>
  <c r="EB167" i="2"/>
  <c r="EO167" i="2"/>
  <c r="EN167" i="2"/>
  <c r="EM167" i="2"/>
  <c r="EP167" i="2"/>
  <c r="DZ167" i="2"/>
  <c r="EP84" i="2"/>
  <c r="ED84" i="2"/>
  <c r="DV84" i="2"/>
  <c r="EA84" i="2"/>
  <c r="ET84" i="2" s="1"/>
  <c r="ER84" i="2"/>
  <c r="ES84" i="2"/>
  <c r="EU84" i="2" s="1"/>
  <c r="EF84" i="2"/>
  <c r="EC77" i="2"/>
  <c r="DW77" i="2"/>
  <c r="EV77" i="2"/>
  <c r="EE77" i="2"/>
  <c r="ER77" i="2"/>
  <c r="DX77" i="2"/>
  <c r="DY77" i="2" s="1"/>
  <c r="DU77" i="2"/>
  <c r="DV77" i="2"/>
  <c r="EG77" i="2"/>
  <c r="EH77" i="2"/>
  <c r="EB77" i="2"/>
  <c r="EA77" i="2"/>
  <c r="ET77" i="2" s="1"/>
  <c r="ES77" i="2"/>
  <c r="EU77" i="2" s="1"/>
  <c r="EK77" i="2"/>
  <c r="EL77" i="2"/>
  <c r="EP77" i="2"/>
  <c r="DU163" i="2"/>
  <c r="EJ163" i="2"/>
  <c r="EK163" i="2"/>
  <c r="EI163" i="2"/>
  <c r="EE163" i="2"/>
  <c r="DX163" i="2"/>
  <c r="DY163" i="2" s="1"/>
  <c r="EB163" i="2"/>
  <c r="ED163" i="2"/>
  <c r="ER163" i="2"/>
  <c r="EF163" i="2"/>
  <c r="EA163" i="2"/>
  <c r="ET163" i="2" s="1"/>
  <c r="EQ163" i="2"/>
  <c r="DZ163" i="2"/>
  <c r="EL163" i="2"/>
  <c r="EV163" i="2"/>
  <c r="EE112" i="2"/>
  <c r="ES112" i="2"/>
  <c r="EU112" i="2" s="1"/>
  <c r="DV112" i="2"/>
  <c r="EH112" i="2"/>
  <c r="EJ112" i="2"/>
  <c r="EI112" i="2"/>
  <c r="DW112" i="2"/>
  <c r="EV112" i="2"/>
  <c r="EM112" i="2"/>
  <c r="EL112" i="2"/>
  <c r="DZ112" i="2"/>
  <c r="EA38" i="2"/>
  <c r="ET38" i="2" s="1"/>
  <c r="EO38" i="2"/>
  <c r="EQ38" i="2"/>
  <c r="ER38" i="2"/>
  <c r="EI38" i="2"/>
  <c r="DW38" i="2"/>
  <c r="EB38" i="2"/>
  <c r="EP38" i="2"/>
  <c r="EO180" i="2"/>
  <c r="EQ180" i="2"/>
  <c r="EA180" i="2"/>
  <c r="ET180" i="2" s="1"/>
  <c r="EH180" i="2"/>
  <c r="ED180" i="2"/>
  <c r="EV180" i="2"/>
  <c r="EM180" i="2"/>
  <c r="DW180" i="2"/>
  <c r="DX39" i="2"/>
  <c r="DY39" i="2" s="1"/>
  <c r="EF39" i="2"/>
  <c r="EC39" i="2"/>
  <c r="EH39" i="2"/>
  <c r="EV39" i="2"/>
  <c r="ED39" i="2"/>
  <c r="EK39" i="2"/>
  <c r="DV39" i="2"/>
  <c r="DW39" i="2"/>
  <c r="ER39" i="2"/>
  <c r="EB39" i="2"/>
  <c r="ES39" i="2"/>
  <c r="EU39" i="2" s="1"/>
  <c r="EI39" i="2"/>
  <c r="EQ39" i="2"/>
  <c r="EN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A90" i="2"/>
  <c r="ET90" i="2" s="1"/>
  <c r="DW90" i="2"/>
  <c r="EC90" i="2"/>
  <c r="EH90" i="2"/>
  <c r="EN90" i="2"/>
  <c r="EJ90" i="2"/>
  <c r="EI90" i="2"/>
  <c r="EG90" i="2"/>
  <c r="ED90" i="2"/>
  <c r="DV90" i="2"/>
  <c r="EP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V144" i="2"/>
  <c r="EQ144" i="2"/>
  <c r="EM144" i="2"/>
  <c r="EK144" i="2"/>
  <c r="EO144" i="2"/>
  <c r="ER144" i="2"/>
  <c r="DV144" i="2"/>
  <c r="EB144" i="2"/>
  <c r="EL81" i="2"/>
  <c r="EM81" i="2"/>
  <c r="EK81" i="2"/>
  <c r="EF81" i="2"/>
  <c r="EQ81" i="2"/>
  <c r="EN81" i="2"/>
  <c r="EI81" i="2"/>
  <c r="DZ8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G139" i="2"/>
  <c r="DX139" i="2"/>
  <c r="DY139" i="2" s="1"/>
  <c r="DW139" i="2"/>
  <c r="ES139" i="2"/>
  <c r="EU139" i="2" s="1"/>
  <c r="EE139" i="2"/>
  <c r="ED139" i="2"/>
  <c r="EF139" i="2"/>
  <c r="EM139" i="2"/>
  <c r="EV139" i="2"/>
  <c r="DV139" i="2"/>
  <c r="EL139" i="2"/>
  <c r="DZ139" i="2"/>
  <c r="EP139" i="2"/>
  <c r="EQ139" i="2"/>
  <c r="EK191" i="2"/>
  <c r="EJ191" i="2"/>
  <c r="EL191" i="2"/>
  <c r="EN191" i="2"/>
  <c r="EI191" i="2"/>
  <c r="DW191" i="2"/>
  <c r="EE191" i="2"/>
  <c r="DZ191" i="2"/>
  <c r="EB109" i="2"/>
  <c r="EL109" i="2"/>
  <c r="EK109" i="2"/>
  <c r="EN109" i="2"/>
  <c r="EV109" i="2"/>
  <c r="EG109" i="2"/>
  <c r="EA109" i="2"/>
  <c r="ET109" i="2" s="1"/>
  <c r="EH109" i="2"/>
  <c r="EO109" i="2"/>
  <c r="EM109" i="2"/>
  <c r="EF109" i="2"/>
  <c r="DU109" i="2"/>
  <c r="ED109" i="2"/>
  <c r="EC109" i="2"/>
  <c r="EQ109" i="2"/>
  <c r="DZ109" i="2"/>
  <c r="DV43" i="2"/>
  <c r="EC43" i="2"/>
  <c r="EH43" i="2"/>
  <c r="DW43" i="2"/>
  <c r="EJ43" i="2"/>
  <c r="EE43" i="2"/>
  <c r="EK43" i="2"/>
  <c r="ED43" i="2"/>
  <c r="ER43" i="2"/>
  <c r="EQ43" i="2"/>
  <c r="EN43" i="2"/>
  <c r="DX43" i="2"/>
  <c r="DY43" i="2" s="1"/>
  <c r="EA43" i="2"/>
  <c r="ET43" i="2" s="1"/>
  <c r="EO43" i="2"/>
  <c r="EP43" i="2"/>
  <c r="EA135" i="2"/>
  <c r="ET135" i="2" s="1"/>
  <c r="EO135" i="2"/>
  <c r="EI135" i="2"/>
  <c r="EQ135" i="2"/>
  <c r="EJ135" i="2"/>
  <c r="ED135" i="2"/>
  <c r="DW135" i="2"/>
  <c r="DU135" i="2"/>
  <c r="EE135" i="2"/>
  <c r="EH135" i="2"/>
  <c r="DZ135" i="2"/>
  <c r="EK135" i="2"/>
  <c r="ER135" i="2"/>
  <c r="EC135" i="2"/>
  <c r="EN135" i="2"/>
  <c r="ES135" i="2"/>
  <c r="EU135" i="2" s="1"/>
  <c r="ES72" i="2"/>
  <c r="EU72" i="2" s="1"/>
  <c r="ED72" i="2"/>
  <c r="DW72" i="2"/>
  <c r="EI72" i="2"/>
  <c r="DU72" i="2"/>
  <c r="EH72" i="2"/>
  <c r="EF72" i="2"/>
  <c r="EN72" i="2"/>
  <c r="EL72" i="2"/>
  <c r="EA72" i="2"/>
  <c r="ET72" i="2" s="1"/>
  <c r="EK72" i="2"/>
  <c r="DX72" i="2"/>
  <c r="DY72" i="2" s="1"/>
  <c r="DV72" i="2"/>
  <c r="EV72" i="2"/>
  <c r="EG72" i="2"/>
  <c r="EJ72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J152" i="2"/>
  <c r="EN152" i="2"/>
  <c r="EK152" i="2"/>
  <c r="EB152" i="2"/>
  <c r="EL152" i="2"/>
  <c r="EO152" i="2"/>
  <c r="DV152" i="2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DZ194" i="2"/>
  <c r="EG194" i="2"/>
  <c r="EF194" i="2"/>
  <c r="ES194" i="2"/>
  <c r="EU194" i="2" s="1"/>
  <c r="EE194" i="2"/>
  <c r="DW194" i="2"/>
  <c r="EH194" i="2"/>
  <c r="EN194" i="2"/>
  <c r="EO194" i="2"/>
  <c r="EL66" i="2"/>
  <c r="EI66" i="2"/>
  <c r="EQ66" i="2"/>
  <c r="EE66" i="2"/>
  <c r="EC66" i="2"/>
  <c r="EH66" i="2"/>
  <c r="EJ66" i="2"/>
  <c r="ED66" i="2"/>
  <c r="DU66" i="2"/>
  <c r="EA66" i="2"/>
  <c r="ET66" i="2" s="1"/>
  <c r="DX66" i="2"/>
  <c r="DY66" i="2" s="1"/>
  <c r="EV66" i="2"/>
  <c r="ER66" i="2"/>
  <c r="EB66" i="2"/>
  <c r="EP66" i="2"/>
  <c r="EV41" i="2"/>
  <c r="EE41" i="2"/>
  <c r="EG41" i="2"/>
  <c r="EJ41" i="2"/>
  <c r="EQ41" i="2"/>
  <c r="EB41" i="2"/>
  <c r="ES41" i="2"/>
  <c r="EU41" i="2" s="1"/>
  <c r="DU41" i="2"/>
  <c r="EA41" i="2"/>
  <c r="ET41" i="2" s="1"/>
  <c r="DZ41" i="2"/>
  <c r="EA65" i="2"/>
  <c r="ET65" i="2" s="1"/>
  <c r="EC65" i="2"/>
  <c r="EF65" i="2"/>
  <c r="EV65" i="2"/>
  <c r="EG65" i="2"/>
  <c r="DU65" i="2"/>
  <c r="EN65" i="2"/>
  <c r="EE65" i="2"/>
  <c r="DX65" i="2"/>
  <c r="DY65" i="2" s="1"/>
  <c r="DW65" i="2"/>
  <c r="ER65" i="2"/>
  <c r="EK65" i="2"/>
  <c r="ED65" i="2"/>
  <c r="EQ65" i="2"/>
  <c r="EP65" i="2"/>
  <c r="DZ65" i="2"/>
  <c r="DU110" i="2"/>
  <c r="DZ110" i="2"/>
  <c r="EK110" i="2"/>
  <c r="EQ110" i="2"/>
  <c r="EJ110" i="2"/>
  <c r="EN110" i="2"/>
  <c r="EF110" i="2"/>
  <c r="EC110" i="2"/>
  <c r="DX110" i="2"/>
  <c r="DY110" i="2" s="1"/>
  <c r="EM110" i="2"/>
  <c r="EH110" i="2"/>
  <c r="EA110" i="2"/>
  <c r="ET110" i="2" s="1"/>
  <c r="EG110" i="2"/>
  <c r="EP110" i="2"/>
  <c r="EV110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Z177" i="2"/>
  <c r="EA177" i="2"/>
  <c r="ET177" i="2" s="1"/>
  <c r="EM177" i="2"/>
  <c r="EF177" i="2"/>
  <c r="DW177" i="2"/>
  <c r="EL177" i="2"/>
  <c r="EJ177" i="2"/>
  <c r="EI177" i="2"/>
  <c r="EB177" i="2"/>
  <c r="EO177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V80" i="2"/>
  <c r="EH80" i="2"/>
  <c r="EE80" i="2"/>
  <c r="EG80" i="2"/>
  <c r="EJ80" i="2"/>
  <c r="DU80" i="2"/>
  <c r="EO80" i="2"/>
  <c r="ER80" i="2"/>
  <c r="EM80" i="2"/>
  <c r="EB80" i="2"/>
  <c r="EN80" i="2"/>
  <c r="DV80" i="2"/>
  <c r="EC80" i="2"/>
  <c r="EA80" i="2"/>
  <c r="ET80" i="2" s="1"/>
  <c r="EI80" i="2"/>
  <c r="ES80" i="2"/>
  <c r="EU80" i="2" s="1"/>
  <c r="DU23" i="2"/>
  <c r="EK23" i="2"/>
  <c r="EP23" i="2"/>
  <c r="DW23" i="2"/>
  <c r="EO23" i="2"/>
  <c r="DX23" i="2"/>
  <c r="DY23" i="2" s="1"/>
  <c r="EB23" i="2"/>
  <c r="DZ23" i="2"/>
  <c r="EE23" i="2"/>
  <c r="EF23" i="2"/>
  <c r="ES23" i="2"/>
  <c r="EU23" i="2" s="1"/>
  <c r="EI23" i="2"/>
  <c r="DV23" i="2"/>
  <c r="EH23" i="2"/>
  <c r="EQ23" i="2"/>
  <c r="ER50" i="2"/>
  <c r="EO50" i="2"/>
  <c r="EA50" i="2"/>
  <c r="ET50" i="2" s="1"/>
  <c r="EI50" i="2"/>
  <c r="DU50" i="2"/>
  <c r="EL50" i="2"/>
  <c r="EQ50" i="2"/>
  <c r="DZ50" i="2"/>
  <c r="EK50" i="2"/>
  <c r="EG50" i="2"/>
  <c r="EH50" i="2"/>
  <c r="EC50" i="2"/>
  <c r="EV50" i="2"/>
  <c r="EP50" i="2"/>
  <c r="EF50" i="2"/>
  <c r="DV50" i="2"/>
  <c r="EM50" i="2"/>
  <c r="DW50" i="2"/>
  <c r="DX50" i="2"/>
  <c r="DY50" i="2" s="1"/>
  <c r="EB50" i="2"/>
  <c r="EN50" i="2"/>
  <c r="ES50" i="2"/>
  <c r="EU50" i="2" s="1"/>
  <c r="ED50" i="2"/>
  <c r="EJ50" i="2"/>
  <c r="EE50" i="2"/>
  <c r="ER188" i="2"/>
  <c r="EN188" i="2"/>
  <c r="DV188" i="2"/>
  <c r="EQ188" i="2"/>
  <c r="EF188" i="2"/>
  <c r="EC188" i="2"/>
  <c r="EL188" i="2"/>
  <c r="DU188" i="2"/>
  <c r="EB188" i="2"/>
  <c r="EI188" i="2"/>
  <c r="EJ188" i="2"/>
  <c r="EO188" i="2"/>
  <c r="EK188" i="2"/>
  <c r="EG188" i="2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R120" i="2"/>
  <c r="EO120" i="2"/>
  <c r="EA120" i="2"/>
  <c r="ET120" i="2" s="1"/>
  <c r="EG120" i="2"/>
  <c r="EM120" i="2"/>
  <c r="DU120" i="2"/>
  <c r="DX120" i="2"/>
  <c r="DY120" i="2" s="1"/>
  <c r="EQ120" i="2"/>
  <c r="EN120" i="2"/>
  <c r="EE120" i="2"/>
  <c r="EK120" i="2"/>
  <c r="EI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EH63" i="2"/>
  <c r="EF63" i="2"/>
  <c r="EL63" i="2"/>
  <c r="EK63" i="2"/>
  <c r="DW63" i="2"/>
  <c r="EC63" i="2"/>
  <c r="EV63" i="2"/>
  <c r="EM63" i="2"/>
  <c r="DX63" i="2"/>
  <c r="DY63" i="2" s="1"/>
  <c r="DU63" i="2"/>
  <c r="EC153" i="2"/>
  <c r="EE153" i="2"/>
  <c r="EO153" i="2"/>
  <c r="EN153" i="2"/>
  <c r="ES153" i="2"/>
  <c r="EU153" i="2" s="1"/>
  <c r="EM153" i="2"/>
  <c r="EK153" i="2"/>
  <c r="EI153" i="2"/>
  <c r="ED153" i="2"/>
  <c r="EH153" i="2"/>
  <c r="EJ153" i="2"/>
  <c r="EG153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S13" i="2"/>
  <c r="EU13" i="2" s="1"/>
  <c r="EM13" i="2"/>
  <c r="EF13" i="2"/>
  <c r="EB13" i="2"/>
  <c r="EE13" i="2"/>
  <c r="EH13" i="2"/>
  <c r="ED13" i="2"/>
  <c r="EV13" i="2"/>
  <c r="DZ13" i="2"/>
  <c r="EL13" i="2"/>
  <c r="EO13" i="2"/>
  <c r="EJ13" i="2"/>
  <c r="DU13" i="2"/>
  <c r="EI13" i="2"/>
  <c r="EP13" i="2"/>
  <c r="EC13" i="2"/>
  <c r="EQ13" i="2"/>
  <c r="EN13" i="2"/>
  <c r="EA13" i="2"/>
  <c r="ET13" i="2" s="1"/>
  <c r="ER13" i="2"/>
  <c r="DX13" i="2"/>
  <c r="DY13" i="2" s="1"/>
  <c r="DV13" i="2"/>
  <c r="EK13" i="2"/>
  <c r="DW13" i="2"/>
  <c r="EG13" i="2"/>
  <c r="EK17" i="2"/>
  <c r="EI17" i="2"/>
  <c r="EG17" i="2"/>
  <c r="EV17" i="2"/>
  <c r="EN17" i="2"/>
  <c r="EQ17" i="2"/>
  <c r="ES17" i="2"/>
  <c r="EU17" i="2" s="1"/>
  <c r="EE17" i="2"/>
  <c r="EC17" i="2"/>
  <c r="DV17" i="2"/>
  <c r="EM17" i="2"/>
  <c r="EL17" i="2"/>
  <c r="ED17" i="2"/>
  <c r="DW17" i="2"/>
  <c r="EB17" i="2"/>
  <c r="EH17" i="2"/>
  <c r="EO17" i="2"/>
  <c r="DX17" i="2"/>
  <c r="DY17" i="2" s="1"/>
  <c r="EF17" i="2"/>
  <c r="DU17" i="2"/>
  <c r="EJ17" i="2"/>
  <c r="EA17" i="2"/>
  <c r="ET17" i="2" s="1"/>
  <c r="ER17" i="2"/>
  <c r="EP17" i="2"/>
  <c r="DZ17" i="2"/>
  <c r="EN128" i="2"/>
  <c r="EA128" i="2"/>
  <c r="ET128" i="2" s="1"/>
  <c r="DV128" i="2"/>
  <c r="EM128" i="2"/>
  <c r="EV128" i="2"/>
  <c r="ES128" i="2"/>
  <c r="EU128" i="2" s="1"/>
  <c r="EE128" i="2"/>
  <c r="EB128" i="2"/>
  <c r="DW128" i="2"/>
  <c r="EK128" i="2"/>
  <c r="EI128" i="2"/>
  <c r="ED128" i="2"/>
  <c r="DX128" i="2"/>
  <c r="DY128" i="2" s="1"/>
  <c r="DU128" i="2"/>
  <c r="EF128" i="2"/>
  <c r="EQ172" i="2"/>
  <c r="EE172" i="2"/>
  <c r="EJ172" i="2"/>
  <c r="DU172" i="2"/>
  <c r="DV172" i="2"/>
  <c r="ER172" i="2"/>
  <c r="EN172" i="2"/>
  <c r="DX172" i="2"/>
  <c r="DY172" i="2" s="1"/>
  <c r="DW172" i="2"/>
  <c r="EA172" i="2"/>
  <c r="ET172" i="2" s="1"/>
  <c r="EB37" i="2"/>
  <c r="EN37" i="2"/>
  <c r="DU37" i="2"/>
  <c r="ED37" i="2"/>
  <c r="EG37" i="2"/>
  <c r="EC37" i="2"/>
  <c r="EF37" i="2"/>
  <c r="ES37" i="2"/>
  <c r="EU37" i="2" s="1"/>
  <c r="EP37" i="2"/>
  <c r="DV37" i="2"/>
  <c r="EH37" i="2"/>
  <c r="EV21" i="2"/>
  <c r="DV21" i="2"/>
  <c r="EK21" i="2"/>
  <c r="EI21" i="2"/>
  <c r="ED21" i="2"/>
  <c r="EC21" i="2"/>
  <c r="EM21" i="2"/>
  <c r="EE21" i="2"/>
  <c r="ES21" i="2"/>
  <c r="EU21" i="2" s="1"/>
  <c r="ER21" i="2"/>
  <c r="EN21" i="2"/>
  <c r="EG21" i="2"/>
  <c r="DU21" i="2"/>
  <c r="EJ21" i="2"/>
  <c r="EL21" i="2"/>
  <c r="DZ21" i="2"/>
  <c r="EP21" i="2"/>
  <c r="EC107" i="2"/>
  <c r="ES107" i="2"/>
  <c r="EU107" i="2" s="1"/>
  <c r="DV107" i="2"/>
  <c r="EV107" i="2"/>
  <c r="EQ107" i="2"/>
  <c r="EK107" i="2"/>
  <c r="EJ107" i="2"/>
  <c r="EO107" i="2"/>
  <c r="EA107" i="2"/>
  <c r="ET107" i="2" s="1"/>
  <c r="DU107" i="2"/>
  <c r="ED107" i="2"/>
  <c r="DW107" i="2"/>
  <c r="EG107" i="2"/>
  <c r="EI107" i="2"/>
  <c r="EP107" i="2"/>
  <c r="EE107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DU192" i="2"/>
  <c r="EV192" i="2"/>
  <c r="EI192" i="2"/>
  <c r="EM192" i="2"/>
  <c r="EB192" i="2"/>
  <c r="DV192" i="2"/>
  <c r="EL192" i="2"/>
  <c r="EC192" i="2"/>
  <c r="EN192" i="2"/>
  <c r="EG192" i="2"/>
  <c r="EA192" i="2"/>
  <c r="ET192" i="2" s="1"/>
  <c r="DZ192" i="2"/>
  <c r="DX192" i="2"/>
  <c r="DY192" i="2" s="1"/>
  <c r="EH192" i="2"/>
  <c r="EJ192" i="2"/>
  <c r="EA14" i="2"/>
  <c r="ET14" i="2" s="1"/>
  <c r="EH14" i="2"/>
  <c r="DZ14" i="2"/>
  <c r="DX14" i="2"/>
  <c r="DY14" i="2" s="1"/>
  <c r="EC14" i="2"/>
  <c r="EB14" i="2"/>
  <c r="EI14" i="2"/>
  <c r="ER14" i="2"/>
  <c r="EK14" i="2"/>
  <c r="EV14" i="2"/>
  <c r="EO14" i="2"/>
  <c r="EQ14" i="2"/>
  <c r="DU14" i="2"/>
  <c r="EF14" i="2"/>
  <c r="EN14" i="2"/>
  <c r="EE14" i="2"/>
  <c r="ED14" i="2"/>
  <c r="DW14" i="2"/>
  <c r="EL14" i="2"/>
  <c r="EP14" i="2"/>
  <c r="EJ14" i="2"/>
  <c r="EG14" i="2"/>
  <c r="EM14" i="2"/>
  <c r="DV14" i="2"/>
  <c r="ES14" i="2"/>
  <c r="EU14" i="2" s="1"/>
  <c r="DV52" i="2"/>
  <c r="EH52" i="2"/>
  <c r="EC52" i="2"/>
  <c r="EF52" i="2"/>
  <c r="EQ52" i="2"/>
  <c r="EE52" i="2"/>
  <c r="EJ52" i="2"/>
  <c r="ED52" i="2"/>
  <c r="EO52" i="2"/>
  <c r="ER52" i="2"/>
  <c r="EM52" i="2"/>
  <c r="EB52" i="2"/>
  <c r="EV46" i="2"/>
  <c r="EE46" i="2"/>
  <c r="EC46" i="2"/>
  <c r="EF46" i="2"/>
  <c r="EB46" i="2"/>
  <c r="EA46" i="2"/>
  <c r="ET46" i="2" s="1"/>
  <c r="DV46" i="2"/>
  <c r="EM185" i="2"/>
  <c r="DU185" i="2"/>
  <c r="EP185" i="2"/>
  <c r="ES185" i="2"/>
  <c r="EU185" i="2" s="1"/>
  <c r="EE185" i="2"/>
  <c r="EJ185" i="2"/>
  <c r="EN185" i="2"/>
  <c r="ED185" i="2"/>
  <c r="EQ185" i="2"/>
  <c r="EB185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A114" i="2"/>
  <c r="ET114" i="2" s="1"/>
  <c r="EQ114" i="2"/>
  <c r="EJ114" i="2"/>
  <c r="EI114" i="2"/>
  <c r="EO114" i="2"/>
  <c r="EP114" i="2"/>
  <c r="EC114" i="2"/>
  <c r="EE114" i="2"/>
  <c r="DV114" i="2"/>
  <c r="ES114" i="2"/>
  <c r="EU114" i="2" s="1"/>
  <c r="EK114" i="2"/>
  <c r="EN114" i="2"/>
  <c r="ER114" i="2"/>
  <c r="EG114" i="2"/>
  <c r="EV114" i="2"/>
  <c r="DU114" i="2"/>
  <c r="ED114" i="2"/>
  <c r="EF114" i="2"/>
  <c r="DZ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R140" i="2"/>
  <c r="DX140" i="2"/>
  <c r="DY140" i="2" s="1"/>
  <c r="EI140" i="2"/>
  <c r="EC140" i="2"/>
  <c r="EM140" i="2"/>
  <c r="EA140" i="2"/>
  <c r="ET140" i="2" s="1"/>
  <c r="EF140" i="2"/>
  <c r="EV140" i="2"/>
  <c r="EN140" i="2"/>
  <c r="ES140" i="2"/>
  <c r="EU140" i="2" s="1"/>
  <c r="EQ140" i="2"/>
  <c r="EJ140" i="2"/>
  <c r="EG140" i="2"/>
  <c r="EK140" i="2"/>
  <c r="DU140" i="2"/>
  <c r="EP140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V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V52" i="2" l="1"/>
  <c r="EG52" i="2"/>
  <c r="EI52" i="2"/>
  <c r="EL52" i="2"/>
  <c r="EP52" i="2"/>
  <c r="EA52" i="2"/>
  <c r="ET52" i="2" s="1"/>
  <c r="DW52" i="2"/>
  <c r="DX52" i="2"/>
  <c r="DY52" i="2" s="1"/>
  <c r="DZ52" i="2"/>
  <c r="EC120" i="2"/>
  <c r="DV120" i="2"/>
  <c r="ES120" i="2"/>
  <c r="EU120" i="2" s="1"/>
  <c r="EF120" i="2"/>
  <c r="EL120" i="2"/>
  <c r="DZ120" i="2"/>
  <c r="EJ120" i="2"/>
  <c r="EV120" i="2"/>
  <c r="ED120" i="2"/>
  <c r="EH120" i="2"/>
  <c r="EH128" i="2"/>
  <c r="EO128" i="2"/>
  <c r="EP128" i="2"/>
  <c r="EJ128" i="2"/>
  <c r="ER128" i="2"/>
  <c r="EL128" i="2"/>
  <c r="DZ128" i="2"/>
  <c r="EG128" i="2"/>
  <c r="EQ128" i="2"/>
  <c r="EC128" i="2"/>
  <c r="DU90" i="2"/>
  <c r="EV90" i="2"/>
  <c r="EK90" i="2"/>
  <c r="EO90" i="2"/>
  <c r="EQ90" i="2"/>
  <c r="EB90" i="2"/>
  <c r="DX90" i="2"/>
  <c r="DY90" i="2" s="1"/>
  <c r="EE90" i="2"/>
  <c r="EF90" i="2"/>
  <c r="EM90" i="2"/>
  <c r="ER90" i="2"/>
  <c r="EL90" i="2"/>
  <c r="EF112" i="2"/>
  <c r="EQ112" i="2"/>
  <c r="EK112" i="2"/>
  <c r="EB112" i="2"/>
  <c r="ER112" i="2"/>
  <c r="ED112" i="2"/>
  <c r="EO112" i="2"/>
  <c r="EN112" i="2"/>
  <c r="EC112" i="2"/>
  <c r="EA112" i="2"/>
  <c r="ET112" i="2" s="1"/>
  <c r="EG112" i="2"/>
  <c r="DX112" i="2"/>
  <c r="DY112" i="2" s="1"/>
  <c r="DU112" i="2"/>
  <c r="EP112" i="2"/>
  <c r="EL64" i="2"/>
  <c r="EJ64" i="2"/>
  <c r="EM64" i="2"/>
  <c r="EB64" i="2"/>
  <c r="DV64" i="2"/>
  <c r="EO64" i="2"/>
  <c r="EK64" i="2"/>
  <c r="EA64" i="2"/>
  <c r="ET64" i="2" s="1"/>
  <c r="DZ64" i="2"/>
  <c r="DW64" i="2"/>
  <c r="EV64" i="2"/>
  <c r="ED64" i="2"/>
  <c r="EI64" i="2"/>
  <c r="EQ64" i="2"/>
  <c r="EL114" i="2"/>
  <c r="EM114" i="2"/>
  <c r="DX114" i="2"/>
  <c r="DY114" i="2" s="1"/>
  <c r="EI185" i="2"/>
  <c r="EH185" i="2"/>
  <c r="EK185" i="2"/>
  <c r="DW46" i="2"/>
  <c r="EN52" i="2"/>
  <c r="DU52" i="2"/>
  <c r="EO37" i="2"/>
  <c r="EI37" i="2"/>
  <c r="EL153" i="2"/>
  <c r="EF153" i="2"/>
  <c r="DV63" i="2"/>
  <c r="DZ63" i="2"/>
  <c r="DW120" i="2"/>
  <c r="EA144" i="2"/>
  <c r="ET144" i="2" s="1"/>
  <c r="DX180" i="2"/>
  <c r="DY180" i="2" s="1"/>
  <c r="EK180" i="2"/>
  <c r="EJ96" i="2"/>
  <c r="EB114" i="2"/>
  <c r="EH114" i="2"/>
  <c r="EV185" i="2"/>
  <c r="DW185" i="2"/>
  <c r="EP46" i="2"/>
  <c r="EK52" i="2"/>
  <c r="ES52" i="2"/>
  <c r="EU52" i="2" s="1"/>
  <c r="EA37" i="2"/>
  <c r="ET37" i="2" s="1"/>
  <c r="EA153" i="2"/>
  <c r="ET153" i="2" s="1"/>
  <c r="ES63" i="2"/>
  <c r="EU63" i="2" s="1"/>
  <c r="ER63" i="2"/>
  <c r="EP120" i="2"/>
  <c r="EB120" i="2"/>
  <c r="DX144" i="2"/>
  <c r="DY144" i="2" s="1"/>
  <c r="DZ90" i="2"/>
  <c r="ES90" i="2"/>
  <c r="EU90" i="2" s="1"/>
  <c r="EV96" i="2"/>
  <c r="DV185" i="2"/>
  <c r="EG63" i="2"/>
  <c r="DX119" i="2"/>
  <c r="DY119" i="2" s="1"/>
  <c r="DZ119" i="2"/>
  <c r="DW119" i="2"/>
  <c r="EA119" i="2"/>
  <c r="ET119" i="2" s="1"/>
  <c r="EC119" i="2"/>
  <c r="DU119" i="2"/>
  <c r="DV119" i="2"/>
  <c r="EJ119" i="2"/>
  <c r="EF119" i="2"/>
  <c r="EP153" i="2"/>
  <c r="ER153" i="2"/>
  <c r="DV153" i="2"/>
  <c r="EB153" i="2"/>
  <c r="DZ153" i="2"/>
  <c r="DW153" i="2"/>
  <c r="DU153" i="2"/>
  <c r="EQ153" i="2"/>
  <c r="EV153" i="2"/>
  <c r="ED41" i="2"/>
  <c r="EN41" i="2"/>
  <c r="EM41" i="2"/>
  <c r="EC41" i="2"/>
  <c r="EO41" i="2"/>
  <c r="EP41" i="2"/>
  <c r="EJ81" i="2"/>
  <c r="DV81" i="2"/>
  <c r="DW81" i="2"/>
  <c r="EA81" i="2"/>
  <c r="ET81" i="2" s="1"/>
  <c r="EB81" i="2"/>
  <c r="ED81" i="2"/>
  <c r="ER81" i="2"/>
  <c r="DX81" i="2"/>
  <c r="DY81" i="2" s="1"/>
  <c r="EV84" i="2"/>
  <c r="DZ84" i="2"/>
  <c r="EM84" i="2"/>
  <c r="EH84" i="2"/>
  <c r="EG84" i="2"/>
  <c r="DX84" i="2"/>
  <c r="DY84" i="2" s="1"/>
  <c r="EB84" i="2"/>
  <c r="EN84" i="2"/>
  <c r="EI84" i="2"/>
  <c r="EV18" i="2"/>
  <c r="EO18" i="2"/>
  <c r="EJ18" i="2"/>
  <c r="DV18" i="2"/>
  <c r="EL18" i="2"/>
  <c r="DZ18" i="2"/>
  <c r="EL185" i="2"/>
  <c r="EF185" i="2"/>
  <c r="EG185" i="2"/>
  <c r="DZ185" i="2"/>
  <c r="DX185" i="2"/>
  <c r="DY185" i="2" s="1"/>
  <c r="EC185" i="2"/>
  <c r="EA185" i="2"/>
  <c r="ET185" i="2" s="1"/>
  <c r="EO185" i="2"/>
  <c r="EI63" i="2"/>
  <c r="EN63" i="2"/>
  <c r="EA63" i="2"/>
  <c r="ET63" i="2" s="1"/>
  <c r="EE63" i="2"/>
  <c r="EJ63" i="2"/>
  <c r="EQ63" i="2"/>
  <c r="EO63" i="2"/>
  <c r="EB63" i="2"/>
  <c r="EP63" i="2"/>
  <c r="EK37" i="2"/>
  <c r="EQ37" i="2"/>
  <c r="DZ37" i="2"/>
  <c r="EE37" i="2"/>
  <c r="ER37" i="2"/>
  <c r="DX37" i="2"/>
  <c r="DY37" i="2" s="1"/>
  <c r="EJ37" i="2"/>
  <c r="EL37" i="2"/>
  <c r="EM37" i="2"/>
  <c r="DW37" i="2"/>
  <c r="EF144" i="2"/>
  <c r="EL144" i="2"/>
  <c r="EE144" i="2"/>
  <c r="EG144" i="2"/>
  <c r="EH144" i="2"/>
  <c r="ES144" i="2"/>
  <c r="EU144" i="2" s="1"/>
  <c r="EC144" i="2"/>
  <c r="EJ144" i="2"/>
  <c r="DW144" i="2"/>
  <c r="EI144" i="2"/>
  <c r="EN144" i="2"/>
  <c r="DZ144" i="2"/>
  <c r="DU144" i="2"/>
  <c r="EP144" i="2"/>
  <c r="EL180" i="2"/>
  <c r="EG180" i="2"/>
  <c r="EJ180" i="2"/>
  <c r="EC180" i="2"/>
  <c r="ES180" i="2"/>
  <c r="EU180" i="2" s="1"/>
  <c r="EN180" i="2"/>
  <c r="DV180" i="2"/>
  <c r="EF180" i="2"/>
  <c r="DZ180" i="2"/>
  <c r="EI180" i="2"/>
  <c r="EB180" i="2"/>
  <c r="EP180" i="2"/>
  <c r="ER180" i="2"/>
  <c r="EE180" i="2"/>
  <c r="EB100" i="2"/>
  <c r="DW100" i="2"/>
  <c r="EI100" i="2"/>
  <c r="DX100" i="2"/>
  <c r="DY100" i="2" s="1"/>
  <c r="DV100" i="2"/>
  <c r="EM100" i="2"/>
  <c r="EJ100" i="2"/>
  <c r="EN100" i="2"/>
  <c r="EL100" i="2"/>
  <c r="EV100" i="2"/>
  <c r="EK100" i="2"/>
  <c r="DZ100" i="2"/>
  <c r="EF100" i="2"/>
  <c r="DU100" i="2"/>
  <c r="EP100" i="2"/>
  <c r="ER96" i="2"/>
  <c r="ED96" i="2"/>
  <c r="EA96" i="2"/>
  <c r="ET96" i="2" s="1"/>
  <c r="ER46" i="2"/>
  <c r="EH46" i="2"/>
  <c r="EG46" i="2"/>
  <c r="DZ46" i="2"/>
  <c r="ES46" i="2"/>
  <c r="EU46" i="2" s="1"/>
  <c r="DX46" i="2"/>
  <c r="DY46" i="2" s="1"/>
  <c r="EL46" i="2"/>
  <c r="EO172" i="2"/>
  <c r="ES172" i="2"/>
  <c r="EU172" i="2" s="1"/>
  <c r="DZ172" i="2"/>
  <c r="EL172" i="2"/>
  <c r="EP172" i="2"/>
  <c r="EV172" i="2"/>
  <c r="EK172" i="2"/>
  <c r="DX177" i="2"/>
  <c r="DY177" i="2" s="1"/>
  <c r="EV177" i="2"/>
  <c r="ED177" i="2"/>
  <c r="DU177" i="2"/>
  <c r="EE177" i="2"/>
  <c r="EP177" i="2"/>
  <c r="EG177" i="2"/>
  <c r="DX38" i="2"/>
  <c r="DY38" i="2" s="1"/>
  <c r="EF38" i="2"/>
  <c r="DV38" i="2"/>
  <c r="EN38" i="2"/>
  <c r="ES38" i="2"/>
  <c r="EU38" i="2" s="1"/>
  <c r="DU38" i="2"/>
  <c r="EH38" i="2"/>
  <c r="EK38" i="2"/>
  <c r="DV167" i="2"/>
  <c r="EI167" i="2"/>
  <c r="DX167" i="2"/>
  <c r="DY167" i="2" s="1"/>
  <c r="EA167" i="2"/>
  <c r="ET167" i="2" s="1"/>
  <c r="EL167" i="2"/>
  <c r="EK167" i="2"/>
  <c r="EG167" i="2"/>
  <c r="ER167" i="2"/>
  <c r="EQ167" i="2"/>
  <c r="EC79" i="2"/>
  <c r="EQ79" i="2"/>
  <c r="EG201" i="2"/>
  <c r="EF201" i="2"/>
  <c r="EE201" i="2"/>
  <c r="EV201" i="2"/>
  <c r="EA201" i="2"/>
  <c r="ET201" i="2" s="1"/>
  <c r="ER201" i="2"/>
  <c r="EN91" i="2"/>
  <c r="EJ91" i="2"/>
  <c r="EP91" i="2"/>
  <c r="EK91" i="2"/>
  <c r="EB91" i="2"/>
  <c r="EL91" i="2"/>
  <c r="DZ91" i="2"/>
  <c r="EJ184" i="2"/>
  <c r="DX184" i="2"/>
  <c r="DY184" i="2" s="1"/>
  <c r="EH67" i="2"/>
  <c r="EN67" i="2"/>
  <c r="DV67" i="2"/>
  <c r="DU67" i="2"/>
  <c r="EE67" i="2"/>
  <c r="EP67" i="2"/>
  <c r="DX147" i="2"/>
  <c r="DY147" i="2" s="1"/>
  <c r="ES147" i="2"/>
  <c r="EU147" i="2" s="1"/>
  <c r="EE147" i="2"/>
  <c r="EO147" i="2"/>
  <c r="EJ147" i="2"/>
  <c r="EM94" i="2"/>
  <c r="ER94" i="2"/>
  <c r="DV94" i="2"/>
  <c r="EO94" i="2"/>
  <c r="EG94" i="2"/>
  <c r="EC94" i="2"/>
  <c r="ER194" i="2"/>
  <c r="EJ194" i="2"/>
  <c r="EO191" i="2"/>
  <c r="EF191" i="2"/>
  <c r="DU139" i="2"/>
  <c r="EI139" i="2"/>
  <c r="EA139" i="2"/>
  <c r="ET139" i="2" s="1"/>
  <c r="DU181" i="2"/>
  <c r="EQ181" i="2"/>
  <c r="EH99" i="2"/>
  <c r="EJ99" i="2"/>
  <c r="DX91" i="2"/>
  <c r="DY91" i="2" s="1"/>
  <c r="ER91" i="2"/>
  <c r="ES201" i="2"/>
  <c r="EU201" i="2" s="1"/>
  <c r="EB201" i="2"/>
  <c r="EF67" i="2"/>
  <c r="EL67" i="2"/>
  <c r="EE125" i="2"/>
  <c r="EM44" i="2"/>
  <c r="ER44" i="2"/>
  <c r="DV79" i="2"/>
  <c r="EE9" i="2"/>
  <c r="ED9" i="2"/>
  <c r="EA147" i="2"/>
  <c r="ET147" i="2" s="1"/>
  <c r="EL147" i="2"/>
  <c r="EM175" i="2"/>
  <c r="EN150" i="2"/>
  <c r="EF150" i="2"/>
  <c r="DV193" i="2"/>
  <c r="DZ183" i="2"/>
  <c r="EV94" i="2"/>
  <c r="DU94" i="2"/>
  <c r="EC194" i="2"/>
  <c r="EB194" i="2"/>
  <c r="EC191" i="2"/>
  <c r="EB191" i="2"/>
  <c r="ER139" i="2"/>
  <c r="EN139" i="2"/>
  <c r="EJ139" i="2"/>
  <c r="EH181" i="2"/>
  <c r="EA181" i="2"/>
  <c r="ET181" i="2" s="1"/>
  <c r="EG99" i="2"/>
  <c r="DU91" i="2"/>
  <c r="EE91" i="2"/>
  <c r="DW91" i="2"/>
  <c r="DW201" i="2"/>
  <c r="EH201" i="2"/>
  <c r="DX67" i="2"/>
  <c r="DY67" i="2" s="1"/>
  <c r="DW67" i="2"/>
  <c r="DU125" i="2"/>
  <c r="EQ44" i="2"/>
  <c r="EP79" i="2"/>
  <c r="EH79" i="2"/>
  <c r="EM9" i="2"/>
  <c r="EH9" i="2"/>
  <c r="EG147" i="2"/>
  <c r="ER147" i="2"/>
  <c r="DX175" i="2"/>
  <c r="DY175" i="2" s="1"/>
  <c r="EM150" i="2"/>
  <c r="EP150" i="2"/>
  <c r="EG184" i="2"/>
  <c r="DX193" i="2"/>
  <c r="DY193" i="2" s="1"/>
  <c r="DW183" i="2"/>
  <c r="EF94" i="2"/>
  <c r="EK94" i="2"/>
  <c r="DU194" i="2"/>
  <c r="EK194" i="2"/>
  <c r="DX191" i="2"/>
  <c r="DY191" i="2" s="1"/>
  <c r="EC139" i="2"/>
  <c r="DZ181" i="2"/>
  <c r="DW181" i="2"/>
  <c r="EA91" i="2"/>
  <c r="ET91" i="2" s="1"/>
  <c r="EQ91" i="2"/>
  <c r="EM91" i="2"/>
  <c r="EI201" i="2"/>
  <c r="EN201" i="2"/>
  <c r="DZ67" i="2"/>
  <c r="EG67" i="2"/>
  <c r="DZ79" i="2"/>
  <c r="ER184" i="2"/>
  <c r="EL193" i="2"/>
  <c r="DX9" i="2"/>
  <c r="DY9" i="2" s="1"/>
  <c r="EB9" i="2"/>
  <c r="EJ9" i="2"/>
  <c r="EV9" i="2"/>
  <c r="ER191" i="2"/>
  <c r="ED191" i="2"/>
  <c r="EC25" i="2"/>
  <c r="EJ25" i="2"/>
  <c r="ES199" i="2"/>
  <c r="EU199" i="2" s="1"/>
  <c r="DX199" i="2"/>
  <c r="DY199" i="2" s="1"/>
  <c r="EG199" i="2"/>
  <c r="EP199" i="2"/>
  <c r="EA125" i="2"/>
  <c r="ET125" i="2" s="1"/>
  <c r="DX125" i="2"/>
  <c r="DY125" i="2" s="1"/>
  <c r="EJ181" i="2"/>
  <c r="EO181" i="2"/>
  <c r="ER181" i="2"/>
  <c r="EM181" i="2"/>
  <c r="ES181" i="2"/>
  <c r="EU181" i="2" s="1"/>
  <c r="ED181" i="2"/>
  <c r="EO139" i="2"/>
  <c r="EB139" i="2"/>
  <c r="EH139" i="2"/>
  <c r="EF152" i="2"/>
  <c r="ES152" i="2"/>
  <c r="EU152" i="2" s="1"/>
  <c r="DV150" i="2"/>
  <c r="EQ150" i="2"/>
  <c r="EO127" i="2"/>
  <c r="ES127" i="2"/>
  <c r="EU127" i="2" s="1"/>
  <c r="ER168" i="2"/>
  <c r="EL168" i="2"/>
  <c r="EQ168" i="2"/>
  <c r="EH168" i="2"/>
  <c r="EK168" i="2"/>
  <c r="EF168" i="2"/>
  <c r="ES157" i="2"/>
  <c r="EU157" i="2" s="1"/>
  <c r="EM157" i="2"/>
  <c r="EF157" i="2"/>
  <c r="EK157" i="2"/>
  <c r="EV157" i="2"/>
  <c r="EN157" i="2"/>
  <c r="EI44" i="2"/>
  <c r="EF44" i="2"/>
  <c r="DV44" i="2"/>
  <c r="EA44" i="2"/>
  <c r="ET44" i="2" s="1"/>
  <c r="ES44" i="2"/>
  <c r="EU44" i="2" s="1"/>
  <c r="EN70" i="2"/>
  <c r="EI70" i="2"/>
  <c r="DU99" i="2"/>
  <c r="EO99" i="2"/>
  <c r="EP99" i="2"/>
  <c r="EB99" i="2"/>
  <c r="DZ99" i="2"/>
  <c r="EF175" i="2"/>
  <c r="ER175" i="2"/>
  <c r="EJ175" i="2"/>
  <c r="EN175" i="2"/>
  <c r="DV175" i="2"/>
  <c r="EO24" i="2"/>
  <c r="EL24" i="2"/>
  <c r="EE24" i="2"/>
  <c r="EJ24" i="2"/>
  <c r="EN142" i="2"/>
  <c r="ER142" i="2"/>
  <c r="EQ142" i="2"/>
  <c r="DU24" i="2"/>
  <c r="ED24" i="2"/>
  <c r="EV142" i="2"/>
  <c r="EI142" i="2"/>
  <c r="L2" i="9"/>
  <c r="EB140" i="2"/>
  <c r="EE140" i="2"/>
  <c r="DV140" i="2"/>
  <c r="EI46" i="2"/>
  <c r="EN46" i="2"/>
  <c r="ED46" i="2"/>
  <c r="EQ192" i="2"/>
  <c r="ED192" i="2"/>
  <c r="EO192" i="2"/>
  <c r="EB107" i="2"/>
  <c r="EH107" i="2"/>
  <c r="EN107" i="2"/>
  <c r="EF172" i="2"/>
  <c r="EH172" i="2"/>
  <c r="EB172" i="2"/>
  <c r="DX80" i="2"/>
  <c r="DY80" i="2" s="1"/>
  <c r="EF80" i="2"/>
  <c r="EL80" i="2"/>
  <c r="EC177" i="2"/>
  <c r="EH177" i="2"/>
  <c r="EK177" i="2"/>
  <c r="EQ194" i="2"/>
  <c r="DV194" i="2"/>
  <c r="EI194" i="2"/>
  <c r="DZ38" i="2"/>
  <c r="EJ38" i="2"/>
  <c r="ED38" i="2"/>
  <c r="EC38" i="2"/>
  <c r="ED167" i="2"/>
  <c r="ES167" i="2"/>
  <c r="EU167" i="2" s="1"/>
  <c r="EV167" i="2"/>
  <c r="EM99" i="2"/>
  <c r="EV99" i="2"/>
  <c r="EN99" i="2"/>
  <c r="EF96" i="2"/>
  <c r="DU44" i="2"/>
  <c r="EJ44" i="2"/>
  <c r="EO44" i="2"/>
  <c r="ED44" i="2"/>
  <c r="DU70" i="2"/>
  <c r="EE175" i="2"/>
  <c r="EB175" i="2"/>
  <c r="DZ140" i="2"/>
  <c r="ED140" i="2"/>
  <c r="EH140" i="2"/>
  <c r="EK46" i="2"/>
  <c r="EQ46" i="2"/>
  <c r="EM46" i="2"/>
  <c r="EP192" i="2"/>
  <c r="DW192" i="2"/>
  <c r="ES192" i="2"/>
  <c r="EU192" i="2" s="1"/>
  <c r="EF107" i="2"/>
  <c r="DX107" i="2"/>
  <c r="DY107" i="2" s="1"/>
  <c r="DZ107" i="2"/>
  <c r="EI172" i="2"/>
  <c r="EM172" i="2"/>
  <c r="ED172" i="2"/>
  <c r="DZ80" i="2"/>
  <c r="DW80" i="2"/>
  <c r="EK80" i="2"/>
  <c r="ER177" i="2"/>
  <c r="ES177" i="2"/>
  <c r="EU177" i="2" s="1"/>
  <c r="EN177" i="2"/>
  <c r="EA194" i="2"/>
  <c r="ET194" i="2" s="1"/>
  <c r="EM194" i="2"/>
  <c r="DX194" i="2"/>
  <c r="DY194" i="2" s="1"/>
  <c r="EV38" i="2"/>
  <c r="EE38" i="2"/>
  <c r="EM38" i="2"/>
  <c r="EJ167" i="2"/>
  <c r="EE167" i="2"/>
  <c r="EC167" i="2"/>
  <c r="DV99" i="2"/>
  <c r="DX99" i="2"/>
  <c r="DY99" i="2" s="1"/>
  <c r="EA99" i="2"/>
  <c r="ET99" i="2" s="1"/>
  <c r="EG96" i="2"/>
  <c r="EC96" i="2"/>
  <c r="EV44" i="2"/>
  <c r="EB44" i="2"/>
  <c r="EE44" i="2"/>
  <c r="EQ175" i="2"/>
  <c r="DU175" i="2"/>
  <c r="DW140" i="2"/>
  <c r="EO140" i="2"/>
  <c r="DU46" i="2"/>
  <c r="EJ46" i="2"/>
  <c r="EF192" i="2"/>
  <c r="EE192" i="2"/>
  <c r="ER192" i="2"/>
  <c r="ER107" i="2"/>
  <c r="EL107" i="2"/>
  <c r="EG172" i="2"/>
  <c r="EC172" i="2"/>
  <c r="EQ80" i="2"/>
  <c r="ED80" i="2"/>
  <c r="DV177" i="2"/>
  <c r="EQ177" i="2"/>
  <c r="EV194" i="2"/>
  <c r="ED194" i="2"/>
  <c r="EG38" i="2"/>
  <c r="EL38" i="2"/>
  <c r="EH167" i="2"/>
  <c r="DW167" i="2"/>
  <c r="EK99" i="2"/>
  <c r="EL99" i="2"/>
  <c r="EE96" i="2"/>
  <c r="EG44" i="2"/>
  <c r="DZ44" i="2"/>
  <c r="EP175" i="2"/>
  <c r="ED119" i="2"/>
  <c r="EQ119" i="2"/>
  <c r="EN119" i="2"/>
  <c r="EP119" i="2"/>
  <c r="EH119" i="2"/>
  <c r="EG119" i="2"/>
  <c r="EI119" i="2"/>
  <c r="EL119" i="2"/>
  <c r="EV119" i="2"/>
  <c r="ER119" i="2"/>
  <c r="EF51" i="2"/>
  <c r="EM51" i="2"/>
  <c r="EE188" i="2"/>
  <c r="EM188" i="2"/>
  <c r="ED188" i="2"/>
  <c r="EA188" i="2"/>
  <c r="ET188" i="2" s="1"/>
  <c r="ES188" i="2"/>
  <c r="EU188" i="2" s="1"/>
  <c r="EV188" i="2"/>
  <c r="EM65" i="2"/>
  <c r="ES65" i="2"/>
  <c r="EU65" i="2" s="1"/>
  <c r="EH65" i="2"/>
  <c r="DV65" i="2"/>
  <c r="EJ65" i="2"/>
  <c r="EI65" i="2"/>
  <c r="EL65" i="2"/>
  <c r="EO65" i="2"/>
  <c r="EB65" i="2"/>
  <c r="EK41" i="2"/>
  <c r="EL41" i="2"/>
  <c r="DW41" i="2"/>
  <c r="EH41" i="2"/>
  <c r="EI41" i="2"/>
  <c r="EF41" i="2"/>
  <c r="ER41" i="2"/>
  <c r="DX41" i="2"/>
  <c r="DY41" i="2" s="1"/>
  <c r="DV41" i="2"/>
  <c r="ES110" i="2"/>
  <c r="EU110" i="2" s="1"/>
  <c r="ED110" i="2"/>
  <c r="EO110" i="2"/>
  <c r="ER110" i="2"/>
  <c r="EE110" i="2"/>
  <c r="DV110" i="2"/>
  <c r="EB110" i="2"/>
  <c r="EL110" i="2"/>
  <c r="DW110" i="2"/>
  <c r="EI110" i="2"/>
  <c r="EG81" i="2"/>
  <c r="EC81" i="2"/>
  <c r="DU81" i="2"/>
  <c r="ES81" i="2"/>
  <c r="EU81" i="2" s="1"/>
  <c r="EV81" i="2"/>
  <c r="EH81" i="2"/>
  <c r="EE81" i="2"/>
  <c r="EO81" i="2"/>
  <c r="EP81" i="2"/>
  <c r="EE39" i="2"/>
  <c r="DU39" i="2"/>
  <c r="DZ39" i="2"/>
  <c r="EM39" i="2"/>
  <c r="EL39" i="2"/>
  <c r="EG39" i="2"/>
  <c r="EA39" i="2"/>
  <c r="ET39" i="2" s="1"/>
  <c r="EJ39" i="2"/>
  <c r="EO39" i="2"/>
  <c r="EN163" i="2"/>
  <c r="EM163" i="2"/>
  <c r="DV163" i="2"/>
  <c r="EG163" i="2"/>
  <c r="EH163" i="2"/>
  <c r="DW163" i="2"/>
  <c r="EC163" i="2"/>
  <c r="ES163" i="2"/>
  <c r="EU163" i="2" s="1"/>
  <c r="EO163" i="2"/>
  <c r="EP163" i="2"/>
  <c r="EI77" i="2"/>
  <c r="EJ77" i="2"/>
  <c r="EM77" i="2"/>
  <c r="DZ77" i="2"/>
  <c r="ED77" i="2"/>
  <c r="EO77" i="2"/>
  <c r="EN77" i="2"/>
  <c r="EF77" i="2"/>
  <c r="EQ77" i="2"/>
  <c r="EO84" i="2"/>
  <c r="EQ84" i="2"/>
  <c r="EK84" i="2"/>
  <c r="DW84" i="2"/>
  <c r="EE84" i="2"/>
  <c r="EC84" i="2"/>
  <c r="EL84" i="2"/>
  <c r="EJ84" i="2"/>
  <c r="DU84" i="2"/>
  <c r="EK123" i="2"/>
  <c r="EV123" i="2"/>
  <c r="EO123" i="2"/>
  <c r="EL123" i="2"/>
  <c r="EQ123" i="2"/>
  <c r="EA123" i="2"/>
  <c r="ET123" i="2" s="1"/>
  <c r="DX123" i="2"/>
  <c r="DY123" i="2" s="1"/>
  <c r="EN123" i="2"/>
  <c r="DV123" i="2"/>
  <c r="ED123" i="2"/>
  <c r="EA18" i="2"/>
  <c r="ET18" i="2" s="1"/>
  <c r="EB18" i="2"/>
  <c r="ES18" i="2"/>
  <c r="EU18" i="2" s="1"/>
  <c r="ED18" i="2"/>
  <c r="EM18" i="2"/>
  <c r="DX18" i="2"/>
  <c r="DY18" i="2" s="1"/>
  <c r="DW28" i="2"/>
  <c r="EK28" i="2"/>
  <c r="EP28" i="2"/>
  <c r="EN28" i="2"/>
  <c r="EL28" i="2"/>
  <c r="EA28" i="2"/>
  <c r="ET28" i="2" s="1"/>
  <c r="EF28" i="2"/>
  <c r="EE28" i="2"/>
  <c r="DV28" i="2"/>
  <c r="ED60" i="2"/>
  <c r="EF60" i="2"/>
  <c r="EA60" i="2"/>
  <c r="ET60" i="2" s="1"/>
  <c r="EM60" i="2"/>
  <c r="EK60" i="2"/>
  <c r="EJ60" i="2"/>
  <c r="EE60" i="2"/>
  <c r="EI60" i="2"/>
  <c r="EP60" i="2"/>
  <c r="EI186" i="2"/>
  <c r="EE186" i="2"/>
  <c r="EH186" i="2"/>
  <c r="ER9" i="2"/>
  <c r="EI9" i="2"/>
  <c r="EG9" i="2"/>
  <c r="DZ9" i="2"/>
  <c r="EN9" i="2"/>
  <c r="DV9" i="2"/>
  <c r="EO9" i="2"/>
  <c r="DU9" i="2"/>
  <c r="ES9" i="2"/>
  <c r="EU9" i="2" s="1"/>
  <c r="DW9" i="2"/>
  <c r="EK66" i="2"/>
  <c r="EF66" i="2"/>
  <c r="EG66" i="2"/>
  <c r="EN66" i="2"/>
  <c r="DW66" i="2"/>
  <c r="EO66" i="2"/>
  <c r="ES66" i="2"/>
  <c r="EU66" i="2" s="1"/>
  <c r="EM66" i="2"/>
  <c r="DV66" i="2"/>
  <c r="DZ66" i="2"/>
  <c r="EG191" i="2"/>
  <c r="EM191" i="2"/>
  <c r="EV191" i="2"/>
  <c r="DV191" i="2"/>
  <c r="EA191" i="2"/>
  <c r="ET191" i="2" s="1"/>
  <c r="EP191" i="2"/>
  <c r="EH191" i="2"/>
  <c r="ES191" i="2"/>
  <c r="EU191" i="2" s="1"/>
  <c r="DU191" i="2"/>
  <c r="EJ122" i="2"/>
  <c r="EQ122" i="2"/>
  <c r="EB122" i="2"/>
  <c r="EH42" i="2"/>
  <c r="EL42" i="2"/>
  <c r="ER109" i="2"/>
  <c r="ES109" i="2"/>
  <c r="EU109" i="2" s="1"/>
  <c r="DV109" i="2"/>
  <c r="EJ109" i="2"/>
  <c r="DX109" i="2"/>
  <c r="DY109" i="2" s="1"/>
  <c r="EI109" i="2"/>
  <c r="DW109" i="2"/>
  <c r="EP109" i="2"/>
  <c r="EE109" i="2"/>
  <c r="EE78" i="2"/>
  <c r="EF78" i="2"/>
  <c r="EK88" i="2"/>
  <c r="EC88" i="2"/>
  <c r="EI88" i="2"/>
  <c r="DZ88" i="2"/>
  <c r="EF88" i="2"/>
  <c r="EM88" i="2"/>
  <c r="EH88" i="2"/>
  <c r="EQ88" i="2"/>
  <c r="ER88" i="2"/>
  <c r="ED88" i="2"/>
  <c r="DZ62" i="2"/>
  <c r="ED62" i="2"/>
  <c r="EM22" i="2"/>
  <c r="EI22" i="2"/>
  <c r="EO22" i="2"/>
  <c r="EV23" i="2"/>
  <c r="EM23" i="2"/>
  <c r="ED23" i="2"/>
  <c r="EL23" i="2"/>
  <c r="ER23" i="2"/>
  <c r="EN23" i="2"/>
  <c r="EA23" i="2"/>
  <c r="ET23" i="2" s="1"/>
  <c r="EJ23" i="2"/>
  <c r="EC23" i="2"/>
  <c r="EG23" i="2"/>
  <c r="DV155" i="2"/>
  <c r="EQ155" i="2"/>
  <c r="EL131" i="2"/>
  <c r="DZ131" i="2"/>
  <c r="ER131" i="2"/>
  <c r="EM129" i="2"/>
  <c r="EN129" i="2"/>
  <c r="DV129" i="2"/>
  <c r="EV135" i="2"/>
  <c r="EG135" i="2"/>
  <c r="DX135" i="2"/>
  <c r="DY135" i="2" s="1"/>
  <c r="EB135" i="2"/>
  <c r="EP135" i="2"/>
  <c r="DV135" i="2"/>
  <c r="EL135" i="2"/>
  <c r="EF135" i="2"/>
  <c r="EM135" i="2"/>
  <c r="EL26" i="2"/>
  <c r="EC26" i="2"/>
  <c r="EQ199" i="2"/>
  <c r="EK199" i="2"/>
  <c r="EI199" i="2"/>
  <c r="EN199" i="2"/>
  <c r="EO199" i="2"/>
  <c r="ER199" i="2"/>
  <c r="DW199" i="2"/>
  <c r="EC199" i="2"/>
  <c r="EA199" i="2"/>
  <c r="ET199" i="2" s="1"/>
  <c r="EO72" i="2"/>
  <c r="DZ72" i="2"/>
  <c r="EP72" i="2"/>
  <c r="EB72" i="2"/>
  <c r="EQ72" i="2"/>
  <c r="EE72" i="2"/>
  <c r="EC72" i="2"/>
  <c r="EM72" i="2"/>
  <c r="ER72" i="2"/>
  <c r="EL198" i="2"/>
  <c r="EI198" i="2"/>
  <c r="EQ198" i="2"/>
  <c r="DX198" i="2"/>
  <c r="DY198" i="2" s="1"/>
  <c r="DZ43" i="2"/>
  <c r="EV43" i="2"/>
  <c r="EF43" i="2"/>
  <c r="ES43" i="2"/>
  <c r="EU43" i="2" s="1"/>
  <c r="ES141" i="2"/>
  <c r="EU141" i="2" s="1"/>
  <c r="EO141" i="2"/>
  <c r="ED141" i="2"/>
  <c r="EK141" i="2"/>
  <c r="DZ141" i="2"/>
  <c r="EM43" i="2"/>
  <c r="EI43" i="2"/>
  <c r="EB43" i="2"/>
  <c r="EF141" i="2"/>
  <c r="EJ141" i="2"/>
  <c r="EG43" i="2"/>
  <c r="EL43" i="2"/>
  <c r="EB141" i="2"/>
  <c r="ES55" i="2"/>
  <c r="EU55" i="2" s="1"/>
  <c r="EK55" i="2"/>
  <c r="EJ55" i="2"/>
  <c r="DU55" i="2"/>
  <c r="DZ55" i="2"/>
  <c r="EA55" i="2"/>
  <c r="ET55" i="2" s="1"/>
  <c r="EV55" i="2"/>
  <c r="EN55" i="2"/>
  <c r="EP55" i="2"/>
  <c r="EI122" i="2"/>
  <c r="DV122" i="2"/>
  <c r="EI197" i="2"/>
  <c r="EA197" i="2"/>
  <c r="ET197" i="2" s="1"/>
  <c r="DX73" i="2"/>
  <c r="DY73" i="2" s="1"/>
  <c r="EF73" i="2"/>
  <c r="EG129" i="2"/>
  <c r="EE129" i="2"/>
  <c r="EK26" i="2"/>
  <c r="EF26" i="2"/>
  <c r="EN30" i="2"/>
  <c r="EM30" i="2"/>
  <c r="EB30" i="2"/>
  <c r="EL30" i="2"/>
  <c r="EI30" i="2"/>
  <c r="EC141" i="2"/>
  <c r="EE141" i="2"/>
  <c r="EN141" i="2"/>
  <c r="EQ141" i="2"/>
  <c r="EL141" i="2"/>
  <c r="EI141" i="2"/>
  <c r="DU141" i="2"/>
  <c r="EV141" i="2"/>
  <c r="EV131" i="2"/>
  <c r="EK131" i="2"/>
  <c r="ES131" i="2"/>
  <c r="EU131" i="2" s="1"/>
  <c r="DU131" i="2"/>
  <c r="DV184" i="2"/>
  <c r="EB184" i="2"/>
  <c r="DZ198" i="2"/>
  <c r="EA198" i="2"/>
  <c r="ET198" i="2" s="1"/>
  <c r="DW198" i="2"/>
  <c r="DU198" i="2"/>
  <c r="ED147" i="2"/>
  <c r="EP147" i="2"/>
  <c r="EN147" i="2"/>
  <c r="EK147" i="2"/>
  <c r="EM147" i="2"/>
  <c r="DZ147" i="2"/>
  <c r="EV160" i="2"/>
  <c r="EO160" i="2"/>
  <c r="EH136" i="2"/>
  <c r="EV136" i="2"/>
  <c r="EB62" i="2"/>
  <c r="EO62" i="2"/>
  <c r="DZ150" i="2"/>
  <c r="DX150" i="2"/>
  <c r="DY150" i="2" s="1"/>
  <c r="EA150" i="2"/>
  <c r="ET150" i="2" s="1"/>
  <c r="EV150" i="2"/>
  <c r="EL150" i="2"/>
  <c r="EK150" i="2"/>
  <c r="EG150" i="2"/>
  <c r="DU127" i="2"/>
  <c r="EB127" i="2"/>
  <c r="EI175" i="2"/>
  <c r="EO175" i="2"/>
  <c r="EH175" i="2"/>
  <c r="EA175" i="2"/>
  <c r="ET175" i="2" s="1"/>
  <c r="EL175" i="2"/>
  <c r="EG175" i="2"/>
  <c r="EV175" i="2"/>
  <c r="EC175" i="2"/>
  <c r="DW94" i="2"/>
  <c r="EH94" i="2"/>
  <c r="EJ94" i="2"/>
  <c r="EI94" i="2"/>
  <c r="EN94" i="2"/>
  <c r="EA94" i="2"/>
  <c r="ET94" i="2" s="1"/>
  <c r="EQ94" i="2"/>
  <c r="EO21" i="2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2" i="9"/>
  <c r="BI16" i="2"/>
  <c r="AQ16" i="2" s="1"/>
  <c r="BI14" i="2"/>
  <c r="AQ14" i="2" s="1"/>
  <c r="BI15" i="2"/>
  <c r="AQ15" i="2" s="1"/>
  <c r="BI12" i="2"/>
  <c r="AQ12" i="2" s="1"/>
  <c r="IO3" i="2"/>
  <c r="N24" i="9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A14" i="2"/>
  <c r="AL14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7" i="2" l="1"/>
  <c r="BJ16" i="2"/>
  <c r="BJ15" i="2"/>
  <c r="BJ14" i="2"/>
  <c r="BJ11" i="2"/>
  <c r="BJ12" i="2"/>
  <c r="BJ13" i="2"/>
  <c r="BJ10" i="2"/>
  <c r="BJ9" i="2"/>
  <c r="BM9" i="2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CT11" i="2"/>
  <c r="CT19" i="2" s="1"/>
  <c r="CT3" i="2"/>
  <c r="B16" i="5" s="1"/>
  <c r="DJ13" i="2"/>
  <c r="DJ6" i="2"/>
  <c r="DJ10" i="2"/>
  <c r="DJ7" i="2"/>
  <c r="DJ11" i="2"/>
  <c r="DJ5" i="2"/>
  <c r="DJ8" i="2"/>
  <c r="DJ4" i="2"/>
  <c r="DJ3" i="2"/>
  <c r="DJ2" i="2"/>
  <c r="EA2" i="2" s="1"/>
  <c r="EJ2" i="2" s="1"/>
  <c r="EL2" i="2" s="1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I4" i="2" l="1"/>
  <c r="BM3" i="2"/>
  <c r="BM16" i="2" s="1"/>
  <c r="B22" i="5" s="1"/>
  <c r="HY4" i="2"/>
  <c r="Y33" i="8" s="1"/>
  <c r="Q3" i="9"/>
  <c r="EC2" i="2"/>
  <c r="EF2" i="2" s="1"/>
  <c r="EK2" i="2"/>
  <c r="EM2" i="2" s="1"/>
  <c r="ES2" i="2"/>
  <c r="EY34" i="2" s="1"/>
  <c r="EY35" i="2" s="1"/>
  <c r="ET2" i="2" s="1"/>
  <c r="EY2" i="2" s="1"/>
  <c r="ED2" i="2"/>
  <c r="EG2" i="2" s="1"/>
  <c r="EI2" i="2" s="1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/>
  <c r="GW6" i="2" s="1"/>
  <c r="GW3" i="2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I3" i="2"/>
  <c r="EH4" i="2"/>
  <c r="EN4" i="2"/>
  <c r="EQ4" i="2"/>
  <c r="R7" i="9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N2" i="2"/>
  <c r="EQ2" i="2"/>
  <c r="EH2" i="2"/>
  <c r="EO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R4" i="2" l="1"/>
  <c r="ER6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EV11" i="2"/>
  <c r="EU2" i="2"/>
  <c r="R3" i="9"/>
  <c r="EY3" i="2"/>
  <c r="EY5" i="2" s="1"/>
  <c r="EY12" i="2" s="1"/>
  <c r="ER2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2" i="2"/>
  <c r="EV6" i="2"/>
  <c r="EV3" i="2"/>
  <c r="B24" i="5"/>
  <c r="B23" i="5"/>
  <c r="BB8" i="2"/>
  <c r="EY9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Y31" i="2" l="1"/>
  <c r="CT15" i="2"/>
  <c r="CT5" i="2"/>
  <c r="B18" i="5" s="1"/>
  <c r="BB5" i="2" s="1"/>
  <c r="CT12" i="2"/>
  <c r="CT23" i="2"/>
  <c r="EY4" i="2"/>
  <c r="EY11" i="2" s="1"/>
  <c r="EY27" i="2" s="1"/>
  <c r="EY7" i="2"/>
  <c r="EY14" i="2" s="1"/>
  <c r="EY6" i="2"/>
  <c r="EY13" i="2" s="1"/>
  <c r="Q2" i="9" s="1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EY24" i="2"/>
  <c r="B11" i="9"/>
  <c r="R17" i="9"/>
  <c r="EY30" i="2"/>
  <c r="B13" i="9"/>
  <c r="EY28" i="2"/>
  <c r="Q17" i="9"/>
  <c r="CT14" i="2"/>
  <c r="CT6" i="2"/>
  <c r="B19" i="5" s="1"/>
  <c r="BB6" i="2" s="1"/>
  <c r="R14" i="9" l="1"/>
  <c r="R2" i="9"/>
  <c r="Q13" i="9"/>
  <c r="Q25" i="9"/>
  <c r="R13" i="9"/>
  <c r="R25" i="9"/>
  <c r="B12" i="9"/>
  <c r="EY29" i="2"/>
  <c r="Q12" i="9"/>
  <c r="R11" i="9"/>
  <c r="R12" i="9"/>
  <c r="Q10" i="9"/>
  <c r="Q11" i="9"/>
  <c r="R9" i="9"/>
  <c r="R10" i="9"/>
  <c r="Q8" i="9"/>
  <c r="Q9" i="9"/>
  <c r="B15" i="9"/>
  <c r="R8" i="9"/>
  <c r="Q5" i="9"/>
  <c r="Q6" i="9"/>
  <c r="R4" i="9"/>
  <c r="R6" i="9"/>
  <c r="Q4" i="9"/>
  <c r="B14" i="9"/>
  <c r="A20" i="2"/>
  <c r="AL20" i="2"/>
  <c r="A24" i="1"/>
  <c r="GW14" i="2"/>
  <c r="GW12" i="2"/>
  <c r="GW13" i="2" s="1"/>
  <c r="GW10" i="2"/>
  <c r="AA36" i="8"/>
  <c r="AA37" i="8" s="1"/>
  <c r="GR28" i="2" l="1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GC29" i="2" l="1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A27" i="1" l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23" i="2"/>
  <c r="CY18" i="2"/>
  <c r="CY14" i="2"/>
  <c r="CY25" i="2"/>
  <c r="CY23" i="2"/>
  <c r="AJ19" i="2"/>
  <c r="CY21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J14" i="2" l="1"/>
  <c r="A32" i="1"/>
  <c r="AJ17" i="2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5" i="2" l="1"/>
  <c r="AJ16" i="2"/>
  <c r="A32" i="2"/>
  <c r="AL32" i="2"/>
  <c r="A31" i="2"/>
  <c r="AL31" i="2"/>
  <c r="AL30" i="2"/>
  <c r="A30" i="2"/>
  <c r="BB3" i="2"/>
  <c r="AL29" i="2"/>
  <c r="A29" i="2"/>
  <c r="CY29" i="2"/>
  <c r="AJ29" i="2"/>
  <c r="AK29" i="2" s="1"/>
  <c r="K33" i="9"/>
  <c r="I33" i="9"/>
  <c r="H33" i="9"/>
  <c r="J33" i="9"/>
  <c r="G28" i="9"/>
  <c r="AK23" i="2"/>
  <c r="I31" i="9"/>
  <c r="K32" i="9"/>
  <c r="J28" i="9"/>
  <c r="K26" i="9"/>
  <c r="G25" i="9"/>
  <c r="K25" i="9"/>
  <c r="AK25" i="2"/>
  <c r="J27" i="9"/>
  <c r="K27" i="9"/>
  <c r="H26" i="9"/>
  <c r="K28" i="9"/>
  <c r="H31" i="9"/>
  <c r="G30" i="9"/>
  <c r="AK27" i="2"/>
  <c r="AK19" i="2"/>
  <c r="I30" i="9"/>
  <c r="I28" i="9"/>
  <c r="G31" i="9"/>
  <c r="H27" i="9"/>
  <c r="J29" i="9"/>
  <c r="H25" i="9"/>
  <c r="G29" i="9"/>
  <c r="J30" i="9"/>
  <c r="AK18" i="2"/>
  <c r="AK21" i="2"/>
  <c r="AK24" i="2"/>
  <c r="G27" i="9"/>
  <c r="J26" i="9"/>
  <c r="J31" i="9"/>
  <c r="H28" i="9"/>
  <c r="J25" i="9"/>
  <c r="J32" i="9"/>
  <c r="K29" i="9"/>
  <c r="AK22" i="2"/>
  <c r="AK26" i="2"/>
  <c r="G26" i="9"/>
  <c r="K31" i="9"/>
  <c r="I26" i="9"/>
  <c r="I29" i="9"/>
  <c r="I32" i="9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K24" i="9" l="1"/>
  <c r="G15" i="9"/>
  <c r="J15" i="9"/>
  <c r="I15" i="9"/>
  <c r="I19" i="9"/>
  <c r="I14" i="9"/>
  <c r="J16" i="9"/>
  <c r="J22" i="9"/>
  <c r="J19" i="9"/>
  <c r="J20" i="9"/>
  <c r="H23" i="9"/>
  <c r="K20" i="9"/>
  <c r="H14" i="9"/>
  <c r="K22" i="9"/>
  <c r="J24" i="9"/>
  <c r="J18" i="9"/>
  <c r="H16" i="9"/>
  <c r="I22" i="9"/>
  <c r="H15" i="9"/>
  <c r="I18" i="9"/>
  <c r="K19" i="9"/>
  <c r="I24" i="9"/>
  <c r="I16" i="9"/>
  <c r="J14" i="9"/>
  <c r="K17" i="9"/>
  <c r="K21" i="9"/>
  <c r="I23" i="9"/>
  <c r="H24" i="9"/>
  <c r="K15" i="9"/>
  <c r="G17" i="9"/>
  <c r="H22" i="9"/>
  <c r="H18" i="9"/>
  <c r="G21" i="9"/>
  <c r="H21" i="9"/>
  <c r="J23" i="9"/>
  <c r="G18" i="9"/>
  <c r="I20" i="9"/>
  <c r="K18" i="9"/>
  <c r="G23" i="9"/>
  <c r="J17" i="9"/>
  <c r="I17" i="9"/>
  <c r="K14" i="9"/>
  <c r="G19" i="9"/>
  <c r="H19" i="9"/>
  <c r="I21" i="9"/>
  <c r="G24" i="9"/>
  <c r="H20" i="9"/>
  <c r="H17" i="9"/>
  <c r="J21" i="9"/>
  <c r="G16" i="9"/>
  <c r="G22" i="9"/>
  <c r="K23" i="9"/>
  <c r="K16" i="9"/>
  <c r="G14" i="9"/>
  <c r="G20" i="9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G33" i="9"/>
  <c r="AL2" i="2"/>
  <c r="A2" i="2"/>
  <c r="H92" i="5"/>
  <c r="H35" i="5"/>
  <c r="E116" i="5"/>
  <c r="F86" i="5"/>
  <c r="F154" i="5"/>
  <c r="I85" i="5"/>
  <c r="I130" i="5"/>
  <c r="E165" i="5"/>
  <c r="E95" i="5"/>
  <c r="I29" i="5"/>
  <c r="J149" i="5"/>
  <c r="H81" i="5"/>
  <c r="E201" i="5"/>
  <c r="G128" i="5"/>
  <c r="F66" i="5"/>
  <c r="J161" i="5"/>
  <c r="I155" i="5"/>
  <c r="I76" i="5"/>
  <c r="I144" i="5"/>
  <c r="E102" i="5"/>
  <c r="E41" i="5"/>
  <c r="H197" i="5"/>
  <c r="H155" i="5"/>
  <c r="H42" i="5"/>
  <c r="E166" i="5"/>
  <c r="G78" i="5"/>
  <c r="I140" i="5"/>
  <c r="G107" i="5"/>
  <c r="I48" i="5"/>
  <c r="G58" i="5"/>
  <c r="J157" i="5"/>
  <c r="F100" i="5"/>
  <c r="G55" i="5"/>
  <c r="H191" i="5"/>
  <c r="G59" i="5"/>
  <c r="E159" i="5"/>
  <c r="G70" i="5"/>
  <c r="J104" i="5"/>
  <c r="J141" i="5"/>
  <c r="F107" i="5"/>
  <c r="G187" i="5"/>
  <c r="E77" i="5"/>
  <c r="J163" i="5"/>
  <c r="J80" i="5"/>
  <c r="J83" i="5"/>
  <c r="H123" i="5"/>
  <c r="I30" i="5"/>
  <c r="J22" i="5"/>
  <c r="J33" i="5"/>
  <c r="E176" i="5"/>
  <c r="J96" i="5"/>
  <c r="F80" i="5"/>
  <c r="F76" i="5"/>
  <c r="H165" i="5"/>
  <c r="I106" i="5"/>
  <c r="I151" i="5"/>
  <c r="G186" i="5"/>
  <c r="E133" i="5"/>
  <c r="J185" i="5"/>
  <c r="F64" i="5"/>
  <c r="G192" i="5"/>
  <c r="I181" i="5"/>
  <c r="F69" i="5"/>
  <c r="I108" i="5"/>
  <c r="F30" i="5"/>
  <c r="G48" i="5"/>
  <c r="I79" i="5"/>
  <c r="J51" i="5"/>
  <c r="J171" i="5"/>
  <c r="F143" i="5"/>
  <c r="E196" i="5"/>
  <c r="H38" i="5"/>
  <c r="G127" i="5"/>
  <c r="F84" i="5"/>
  <c r="G108" i="5"/>
  <c r="E162" i="5"/>
  <c r="G77" i="5"/>
  <c r="F192" i="5"/>
  <c r="G191" i="5"/>
  <c r="H111" i="5"/>
  <c r="I100" i="5"/>
  <c r="F61" i="5"/>
  <c r="J31" i="5"/>
  <c r="J160" i="5"/>
  <c r="I102" i="5"/>
  <c r="G135" i="5"/>
  <c r="F42" i="5"/>
  <c r="H154" i="5"/>
  <c r="J62" i="5"/>
  <c r="J173" i="5"/>
  <c r="E62" i="5"/>
  <c r="G130" i="5"/>
  <c r="F134" i="5"/>
  <c r="F144" i="5"/>
  <c r="E38" i="5"/>
  <c r="E150" i="5"/>
  <c r="F175" i="5"/>
  <c r="G105" i="5"/>
  <c r="F56" i="5"/>
  <c r="G61" i="5"/>
  <c r="G161" i="5"/>
  <c r="J86" i="5"/>
  <c r="J137" i="5"/>
  <c r="H61" i="5"/>
  <c r="E119" i="5"/>
  <c r="J49" i="5"/>
  <c r="E160" i="5"/>
  <c r="G145" i="5"/>
  <c r="G131" i="5"/>
  <c r="I143" i="5"/>
  <c r="E141" i="5"/>
  <c r="G112" i="5"/>
  <c r="J108" i="5"/>
  <c r="F139" i="5"/>
  <c r="G99" i="5"/>
  <c r="H112" i="5"/>
  <c r="H49" i="5"/>
  <c r="J40" i="5"/>
  <c r="I66" i="5"/>
  <c r="I54" i="5"/>
  <c r="H97" i="5"/>
  <c r="G168" i="5"/>
  <c r="G94" i="5"/>
  <c r="J132" i="5"/>
  <c r="J94" i="5"/>
  <c r="J200" i="5"/>
  <c r="H160" i="5"/>
  <c r="H71" i="5"/>
  <c r="J103" i="5"/>
  <c r="G75" i="5"/>
  <c r="J61" i="5"/>
  <c r="E85" i="5"/>
  <c r="J11" i="5"/>
  <c r="E72" i="5"/>
  <c r="J189" i="5"/>
  <c r="J24" i="5"/>
  <c r="I121" i="5"/>
  <c r="F77" i="5"/>
  <c r="F38" i="5"/>
  <c r="H139" i="5"/>
  <c r="J166" i="5"/>
  <c r="H133" i="5"/>
  <c r="I116" i="5"/>
  <c r="E157" i="5"/>
  <c r="G60" i="5"/>
  <c r="E92" i="5"/>
  <c r="G29" i="5"/>
  <c r="I135" i="5"/>
  <c r="E182" i="5"/>
  <c r="G172" i="5"/>
  <c r="F53" i="5"/>
  <c r="H56" i="5"/>
  <c r="I117" i="5"/>
  <c r="F122" i="5"/>
  <c r="H68" i="5"/>
  <c r="J102" i="5"/>
  <c r="F95" i="5"/>
  <c r="E45" i="5"/>
  <c r="J81" i="5"/>
  <c r="G140" i="5"/>
  <c r="I133" i="5"/>
  <c r="E35" i="5"/>
  <c r="H102" i="5"/>
  <c r="G98" i="5"/>
  <c r="H52" i="5"/>
  <c r="H144" i="5"/>
  <c r="I164" i="5"/>
  <c r="J46" i="5"/>
  <c r="E79" i="5"/>
  <c r="I172" i="5"/>
  <c r="E137" i="5"/>
  <c r="I57" i="5"/>
  <c r="I132" i="5"/>
  <c r="E32" i="5"/>
  <c r="I97" i="5"/>
  <c r="F75" i="5"/>
  <c r="J68" i="5"/>
  <c r="I177" i="5"/>
  <c r="H73" i="5"/>
  <c r="E180" i="5"/>
  <c r="F183" i="5"/>
  <c r="E44" i="5"/>
  <c r="F31" i="5"/>
  <c r="J122" i="5"/>
  <c r="G89" i="5"/>
  <c r="H172" i="5"/>
  <c r="E51" i="5"/>
  <c r="J158" i="5"/>
  <c r="G74" i="5"/>
  <c r="E30" i="5"/>
  <c r="I72" i="5"/>
  <c r="G167" i="5"/>
  <c r="E90" i="5"/>
  <c r="I83" i="5"/>
  <c r="J142" i="5"/>
  <c r="F58" i="5"/>
  <c r="F48" i="5"/>
  <c r="E49" i="5"/>
  <c r="G31" i="5"/>
  <c r="E187" i="5"/>
  <c r="H196" i="5"/>
  <c r="J28" i="5"/>
  <c r="H170" i="5"/>
  <c r="F146" i="5"/>
  <c r="I152" i="5"/>
  <c r="G68" i="5"/>
  <c r="E113" i="5"/>
  <c r="E82" i="5"/>
  <c r="H145" i="5"/>
  <c r="G197" i="5"/>
  <c r="F51" i="5"/>
  <c r="F44" i="5"/>
  <c r="E145" i="5"/>
  <c r="J101" i="5"/>
  <c r="I49" i="5"/>
  <c r="I146" i="5"/>
  <c r="I104" i="5"/>
  <c r="E158" i="5"/>
  <c r="E75" i="5"/>
  <c r="I168" i="5"/>
  <c r="E39" i="5"/>
  <c r="E80" i="5"/>
  <c r="I67" i="5"/>
  <c r="E42" i="5"/>
  <c r="E100" i="5"/>
  <c r="I131" i="5"/>
  <c r="G199" i="5"/>
  <c r="E199" i="5"/>
  <c r="H54" i="5"/>
  <c r="I197" i="5"/>
  <c r="I75" i="5"/>
  <c r="E197" i="5"/>
  <c r="I38" i="5"/>
  <c r="G63" i="5"/>
  <c r="J125" i="5"/>
  <c r="I122" i="5"/>
  <c r="I129" i="5"/>
  <c r="H55" i="5"/>
  <c r="J72" i="5"/>
  <c r="I180" i="5"/>
  <c r="E59" i="5"/>
  <c r="J111" i="5"/>
  <c r="H83" i="5"/>
  <c r="F54" i="5"/>
  <c r="H140" i="5"/>
  <c r="G67" i="5"/>
  <c r="E97" i="5"/>
  <c r="G174" i="5"/>
  <c r="I157" i="5"/>
  <c r="H162" i="5"/>
  <c r="E121" i="5"/>
  <c r="H41" i="5"/>
  <c r="E36" i="5"/>
  <c r="F59" i="5"/>
  <c r="F121" i="5"/>
  <c r="G159" i="5"/>
  <c r="E86" i="5"/>
  <c r="I34" i="5"/>
  <c r="H149" i="5"/>
  <c r="J159" i="5"/>
  <c r="I52" i="5"/>
  <c r="I42" i="5"/>
  <c r="J170" i="5"/>
  <c r="H85" i="5"/>
  <c r="J17" i="5"/>
  <c r="I84" i="5"/>
  <c r="I43" i="5"/>
  <c r="E65" i="5"/>
  <c r="I53" i="5"/>
  <c r="I196" i="5"/>
  <c r="G134" i="5"/>
  <c r="H110" i="5"/>
  <c r="H66" i="5"/>
  <c r="G201" i="5"/>
  <c r="I189" i="5"/>
  <c r="H60" i="5"/>
  <c r="E106" i="5"/>
  <c r="J119" i="5"/>
  <c r="I95" i="5"/>
  <c r="I159" i="5"/>
  <c r="G184" i="5"/>
  <c r="J113" i="5"/>
  <c r="E118" i="5"/>
  <c r="G103" i="5"/>
  <c r="F164" i="5"/>
  <c r="J35" i="5"/>
  <c r="J117" i="5"/>
  <c r="G141" i="5"/>
  <c r="J66" i="5"/>
  <c r="F35" i="5"/>
  <c r="H138" i="5"/>
  <c r="J136" i="5"/>
  <c r="F156" i="5"/>
  <c r="I148" i="5"/>
  <c r="I120" i="5"/>
  <c r="J55" i="5"/>
  <c r="J106" i="5"/>
  <c r="I94" i="5"/>
  <c r="F198" i="5"/>
  <c r="J88" i="5"/>
  <c r="E61" i="5"/>
  <c r="F103" i="5"/>
  <c r="J147" i="5"/>
  <c r="J129" i="5"/>
  <c r="E67" i="5"/>
  <c r="F73" i="5"/>
  <c r="H146" i="5"/>
  <c r="E125" i="5"/>
  <c r="G56" i="5"/>
  <c r="E169" i="5"/>
  <c r="H98" i="5"/>
  <c r="H119" i="5"/>
  <c r="I153" i="5"/>
  <c r="J165" i="5"/>
  <c r="G194" i="5"/>
  <c r="I192" i="5"/>
  <c r="E99" i="5"/>
  <c r="F29" i="5"/>
  <c r="F136" i="5"/>
  <c r="J87" i="5"/>
  <c r="E129" i="5"/>
  <c r="E66" i="5"/>
  <c r="G93" i="5"/>
  <c r="G72" i="5"/>
  <c r="F78" i="5"/>
  <c r="G41" i="5"/>
  <c r="F83" i="5"/>
  <c r="E120" i="5"/>
  <c r="E104" i="5"/>
  <c r="I77" i="5"/>
  <c r="E31" i="5"/>
  <c r="J34" i="5"/>
  <c r="I176" i="5"/>
  <c r="I55" i="5"/>
  <c r="H64" i="5"/>
  <c r="G152" i="5"/>
  <c r="H116" i="5"/>
  <c r="G64" i="5"/>
  <c r="E112" i="5"/>
  <c r="F137" i="5"/>
  <c r="F72" i="5"/>
  <c r="H151" i="5"/>
  <c r="H128" i="5"/>
  <c r="F115" i="5"/>
  <c r="I89" i="5"/>
  <c r="H59" i="5"/>
  <c r="E168" i="5"/>
  <c r="F90" i="5"/>
  <c r="F197" i="5"/>
  <c r="H114" i="5"/>
  <c r="G180" i="5"/>
  <c r="G170" i="5"/>
  <c r="F60" i="5"/>
  <c r="H107" i="5"/>
  <c r="F57" i="5"/>
  <c r="J38" i="5"/>
  <c r="G91" i="5"/>
  <c r="F138" i="5"/>
  <c r="I162" i="5"/>
  <c r="E183" i="5"/>
  <c r="J25" i="5"/>
  <c r="F89" i="5"/>
  <c r="J39" i="5"/>
  <c r="I96" i="5"/>
  <c r="I80" i="5"/>
  <c r="J193" i="5"/>
  <c r="I87" i="5"/>
  <c r="F161" i="5"/>
  <c r="J53" i="5"/>
  <c r="E177" i="5"/>
  <c r="I179" i="5"/>
  <c r="H70" i="5"/>
  <c r="J48" i="5"/>
  <c r="E107" i="5"/>
  <c r="I61" i="5"/>
  <c r="F160" i="5"/>
  <c r="J196" i="5"/>
  <c r="J60" i="5"/>
  <c r="H47" i="5"/>
  <c r="H77" i="5"/>
  <c r="G126" i="5"/>
  <c r="E37" i="5"/>
  <c r="I190" i="5"/>
  <c r="G102" i="5"/>
  <c r="G196" i="5"/>
  <c r="J8" i="5"/>
  <c r="E200" i="5"/>
  <c r="H174" i="5"/>
  <c r="J18" i="5"/>
  <c r="F49" i="5"/>
  <c r="F158" i="5"/>
  <c r="I56" i="5"/>
  <c r="H126" i="5"/>
  <c r="E171" i="5"/>
  <c r="F39" i="5"/>
  <c r="H105" i="5"/>
  <c r="G49" i="5"/>
  <c r="I99" i="5"/>
  <c r="J14" i="5"/>
  <c r="G52" i="5"/>
  <c r="H129" i="5"/>
  <c r="H103" i="5"/>
  <c r="G133" i="5"/>
  <c r="J154" i="5"/>
  <c r="E144" i="5"/>
  <c r="J27" i="5"/>
  <c r="H179" i="5"/>
  <c r="H65" i="5"/>
  <c r="J85" i="5"/>
  <c r="H171" i="5"/>
  <c r="F112" i="5"/>
  <c r="G176" i="5"/>
  <c r="J148" i="5"/>
  <c r="I73" i="5"/>
  <c r="H115" i="5"/>
  <c r="E47" i="5"/>
  <c r="H45" i="5"/>
  <c r="G158" i="5"/>
  <c r="J164" i="5"/>
  <c r="H89" i="5"/>
  <c r="J15" i="5"/>
  <c r="H108" i="5"/>
  <c r="J75" i="5"/>
  <c r="I44" i="5"/>
  <c r="J57" i="5"/>
  <c r="G90" i="5"/>
  <c r="J184" i="5"/>
  <c r="J69" i="5"/>
  <c r="J126" i="5"/>
  <c r="I163" i="5"/>
  <c r="I160" i="5"/>
  <c r="E103" i="5"/>
  <c r="I184" i="5"/>
  <c r="F65" i="5"/>
  <c r="H100" i="5"/>
  <c r="F190" i="5"/>
  <c r="G88" i="5"/>
  <c r="G123" i="5"/>
  <c r="F41" i="5"/>
  <c r="H74" i="5"/>
  <c r="I112" i="5"/>
  <c r="F177" i="5"/>
  <c r="H40" i="5"/>
  <c r="J156" i="5"/>
  <c r="F173" i="5"/>
  <c r="E134" i="5"/>
  <c r="I37" i="5"/>
  <c r="J58" i="5"/>
  <c r="E68" i="5"/>
  <c r="J105" i="5"/>
  <c r="E195" i="5"/>
  <c r="G124" i="5"/>
  <c r="H168" i="5"/>
  <c r="G193" i="5"/>
  <c r="E71" i="5"/>
  <c r="J70" i="5"/>
  <c r="E175" i="5"/>
  <c r="J71" i="5"/>
  <c r="G148" i="5"/>
  <c r="G44" i="5"/>
  <c r="E193" i="5"/>
  <c r="F68" i="5"/>
  <c r="H91" i="5"/>
  <c r="G129" i="5"/>
  <c r="F114" i="5"/>
  <c r="E70" i="5"/>
  <c r="F184" i="5"/>
  <c r="G62" i="5"/>
  <c r="E63" i="5"/>
  <c r="I109" i="5"/>
  <c r="I127" i="5"/>
  <c r="E43" i="5"/>
  <c r="J63" i="5"/>
  <c r="H87" i="5"/>
  <c r="H36" i="5"/>
  <c r="F142" i="5"/>
  <c r="J131" i="5"/>
  <c r="H32" i="5"/>
  <c r="G69" i="5"/>
  <c r="E91" i="5"/>
  <c r="H169" i="5"/>
  <c r="G80" i="5"/>
  <c r="E127" i="5"/>
  <c r="J41" i="5"/>
  <c r="G119" i="5"/>
  <c r="H193" i="5"/>
  <c r="F32" i="5"/>
  <c r="G87" i="5"/>
  <c r="H150" i="5"/>
  <c r="H67" i="5"/>
  <c r="E181" i="5"/>
  <c r="G162" i="5"/>
  <c r="H124" i="5"/>
  <c r="I149" i="5"/>
  <c r="H163" i="5"/>
  <c r="J192" i="5"/>
  <c r="E178" i="5"/>
  <c r="I58" i="5"/>
  <c r="F166" i="5"/>
  <c r="G182" i="5"/>
  <c r="F43" i="5"/>
  <c r="E117" i="5"/>
  <c r="G85" i="5"/>
  <c r="H181" i="5"/>
  <c r="H86" i="5"/>
  <c r="I110" i="5"/>
  <c r="H37" i="5"/>
  <c r="J99" i="5"/>
  <c r="H167" i="5"/>
  <c r="J29" i="5"/>
  <c r="G76" i="5"/>
  <c r="F70" i="5"/>
  <c r="E122" i="5"/>
  <c r="I175" i="5"/>
  <c r="E188" i="5"/>
  <c r="F108" i="5"/>
  <c r="I36" i="5"/>
  <c r="I90" i="5"/>
  <c r="J181" i="5"/>
  <c r="I65" i="5"/>
  <c r="J145" i="5"/>
  <c r="H159" i="5"/>
  <c r="F178" i="5"/>
  <c r="I51" i="5"/>
  <c r="J121" i="5"/>
  <c r="E56" i="5"/>
  <c r="I33" i="5"/>
  <c r="E163" i="5"/>
  <c r="F55" i="5"/>
  <c r="J176" i="5"/>
  <c r="J23" i="5"/>
  <c r="J54" i="5"/>
  <c r="H184" i="5"/>
  <c r="I128" i="5"/>
  <c r="E164" i="5"/>
  <c r="F74" i="5"/>
  <c r="H72" i="5"/>
  <c r="I41" i="5"/>
  <c r="I119" i="5"/>
  <c r="I195" i="5"/>
  <c r="I113" i="5"/>
  <c r="J180" i="5"/>
  <c r="F94" i="5"/>
  <c r="J21" i="5"/>
  <c r="J100" i="5"/>
  <c r="F101" i="5"/>
  <c r="I88" i="5"/>
  <c r="J190" i="5"/>
  <c r="H147" i="5"/>
  <c r="I47" i="5"/>
  <c r="G195" i="5"/>
  <c r="E34" i="5"/>
  <c r="J12" i="5"/>
  <c r="H75" i="5"/>
  <c r="F159" i="5"/>
  <c r="E143" i="5"/>
  <c r="G142" i="5"/>
  <c r="I82" i="5"/>
  <c r="I125" i="5"/>
  <c r="J78" i="5"/>
  <c r="H58" i="5"/>
  <c r="G143" i="5"/>
  <c r="G53" i="5"/>
  <c r="H118" i="5"/>
  <c r="F174" i="5"/>
  <c r="F111" i="5"/>
  <c r="H93" i="5"/>
  <c r="E81" i="5"/>
  <c r="G71" i="5"/>
  <c r="J174" i="5"/>
  <c r="J43" i="5"/>
  <c r="G157" i="5"/>
  <c r="H31" i="5"/>
  <c r="J194" i="5"/>
  <c r="I194" i="5"/>
  <c r="F47" i="5"/>
  <c r="F71" i="5"/>
  <c r="J146" i="5"/>
  <c r="J118" i="5"/>
  <c r="G33" i="5"/>
  <c r="J67" i="5"/>
  <c r="H125" i="5"/>
  <c r="H53" i="5"/>
  <c r="H90" i="5"/>
  <c r="I142" i="5"/>
  <c r="J77" i="5"/>
  <c r="J98" i="5"/>
  <c r="E154" i="5"/>
  <c r="E115" i="5"/>
  <c r="J110" i="5"/>
  <c r="E98" i="5"/>
  <c r="H186" i="5"/>
  <c r="J45" i="5"/>
  <c r="F172" i="5"/>
  <c r="H166" i="5"/>
  <c r="E126" i="5"/>
  <c r="H176" i="5"/>
  <c r="G45" i="5"/>
  <c r="G47" i="5"/>
  <c r="G51" i="5"/>
  <c r="E138" i="5"/>
  <c r="G81" i="5"/>
  <c r="E172" i="5"/>
  <c r="G120" i="5"/>
  <c r="I93" i="5"/>
  <c r="I136" i="5"/>
  <c r="F157" i="5"/>
  <c r="J93" i="5"/>
  <c r="E167" i="5"/>
  <c r="G178" i="5"/>
  <c r="E179" i="5"/>
  <c r="H29" i="5"/>
  <c r="H34" i="5"/>
  <c r="G165" i="5"/>
  <c r="F79" i="5"/>
  <c r="I35" i="5"/>
  <c r="F163" i="5"/>
  <c r="E130" i="5"/>
  <c r="F67" i="5"/>
  <c r="J172" i="5"/>
  <c r="E185" i="5"/>
  <c r="J90" i="5"/>
  <c r="J138" i="5"/>
  <c r="F162" i="5"/>
  <c r="G40" i="5"/>
  <c r="H152" i="5"/>
  <c r="G122" i="5"/>
  <c r="I147" i="5"/>
  <c r="G110" i="5"/>
  <c r="I182" i="5"/>
  <c r="F140" i="5"/>
  <c r="E110" i="5"/>
  <c r="I200" i="5"/>
  <c r="G188" i="5"/>
  <c r="J13" i="5"/>
  <c r="G160" i="5"/>
  <c r="H182" i="5"/>
  <c r="E132" i="5"/>
  <c r="I126" i="5"/>
  <c r="F52" i="5"/>
  <c r="I60" i="5"/>
  <c r="I45" i="5"/>
  <c r="H117" i="5"/>
  <c r="H80" i="5"/>
  <c r="H69" i="5"/>
  <c r="G100" i="5"/>
  <c r="E111" i="5"/>
  <c r="J10" i="5"/>
  <c r="H46" i="5"/>
  <c r="F34" i="5"/>
  <c r="E94" i="5"/>
  <c r="J133" i="5"/>
  <c r="F87" i="5"/>
  <c r="E146" i="5"/>
  <c r="F196" i="5"/>
  <c r="J2" i="5"/>
  <c r="I193" i="5"/>
  <c r="I138" i="5"/>
  <c r="E29" i="5"/>
  <c r="E128" i="5"/>
  <c r="F186" i="5"/>
  <c r="G95" i="5"/>
  <c r="F176" i="5"/>
  <c r="H178" i="5"/>
  <c r="I185" i="5"/>
  <c r="F92" i="5"/>
  <c r="G38" i="5"/>
  <c r="F167" i="5"/>
  <c r="G147" i="5"/>
  <c r="G35" i="5"/>
  <c r="H84" i="5"/>
  <c r="J151" i="5"/>
  <c r="I139" i="5"/>
  <c r="H161" i="5"/>
  <c r="G113" i="5"/>
  <c r="I171" i="5"/>
  <c r="J112" i="5"/>
  <c r="I161" i="5"/>
  <c r="J140" i="5"/>
  <c r="J64" i="5"/>
  <c r="J36" i="5"/>
  <c r="F123" i="5"/>
  <c r="F125" i="5"/>
  <c r="F46" i="5"/>
  <c r="I173" i="5"/>
  <c r="H127" i="5"/>
  <c r="G86" i="5"/>
  <c r="H183" i="5"/>
  <c r="E96" i="5"/>
  <c r="I188" i="5"/>
  <c r="F96" i="5"/>
  <c r="H190" i="5"/>
  <c r="G169" i="5"/>
  <c r="G97" i="5"/>
  <c r="J198" i="5"/>
  <c r="J123" i="5"/>
  <c r="G36" i="5"/>
  <c r="E60" i="5"/>
  <c r="J191" i="5"/>
  <c r="G115" i="5"/>
  <c r="I107" i="5"/>
  <c r="F105" i="5"/>
  <c r="J5" i="5"/>
  <c r="J26" i="5"/>
  <c r="G43" i="5"/>
  <c r="G34" i="5"/>
  <c r="F201" i="5"/>
  <c r="E52" i="5"/>
  <c r="E40" i="5"/>
  <c r="J183" i="5"/>
  <c r="F131" i="5"/>
  <c r="I32" i="5"/>
  <c r="J134" i="5"/>
  <c r="E48" i="5"/>
  <c r="F130" i="5"/>
  <c r="J44" i="5"/>
  <c r="E153" i="5"/>
  <c r="E152" i="5"/>
  <c r="E84" i="5"/>
  <c r="F155" i="5"/>
  <c r="E53" i="5"/>
  <c r="G155" i="5"/>
  <c r="H177" i="5"/>
  <c r="I68" i="5"/>
  <c r="E54" i="5"/>
  <c r="G139" i="5"/>
  <c r="E135" i="5"/>
  <c r="E109" i="5"/>
  <c r="I64" i="5"/>
  <c r="I111" i="5"/>
  <c r="I31" i="5"/>
  <c r="I174" i="5"/>
  <c r="G117" i="5"/>
  <c r="G185" i="5"/>
  <c r="G83" i="5"/>
  <c r="E83" i="5"/>
  <c r="E173" i="5"/>
  <c r="E149" i="5"/>
  <c r="H109" i="5"/>
  <c r="H63" i="5"/>
  <c r="G132" i="5"/>
  <c r="G198" i="5"/>
  <c r="E194" i="5"/>
  <c r="E93" i="5"/>
  <c r="J124" i="5"/>
  <c r="G37" i="5"/>
  <c r="E69" i="5"/>
  <c r="E101" i="5"/>
  <c r="F169" i="5"/>
  <c r="E148" i="5"/>
  <c r="F170" i="5"/>
  <c r="E58" i="5"/>
  <c r="H132" i="5"/>
  <c r="E123" i="5"/>
  <c r="I92" i="5"/>
  <c r="G118" i="5"/>
  <c r="E186" i="5"/>
  <c r="J182" i="5"/>
  <c r="G46" i="5"/>
  <c r="H199" i="5"/>
  <c r="J120" i="5"/>
  <c r="G171" i="5"/>
  <c r="F168" i="5"/>
  <c r="J114" i="5"/>
  <c r="G114" i="5"/>
  <c r="E136" i="5"/>
  <c r="G173" i="5"/>
  <c r="H180" i="5"/>
  <c r="F81" i="5"/>
  <c r="E155" i="5"/>
  <c r="F129" i="5"/>
  <c r="H135" i="5"/>
  <c r="F187" i="5"/>
  <c r="F171" i="5"/>
  <c r="H99" i="5"/>
  <c r="E88" i="5"/>
  <c r="E108" i="5"/>
  <c r="H43" i="5"/>
  <c r="H113" i="5"/>
  <c r="J65" i="5"/>
  <c r="F109" i="5"/>
  <c r="H101" i="5"/>
  <c r="G92" i="5"/>
  <c r="F145" i="5"/>
  <c r="I158" i="5"/>
  <c r="F110" i="5"/>
  <c r="G144" i="5"/>
  <c r="G84" i="5"/>
  <c r="J97" i="5"/>
  <c r="J179" i="5"/>
  <c r="I156" i="5"/>
  <c r="E198" i="5"/>
  <c r="I70" i="5"/>
  <c r="F88" i="5"/>
  <c r="G82" i="5"/>
  <c r="I201" i="5"/>
  <c r="G54" i="5"/>
  <c r="H106" i="5"/>
  <c r="G150" i="5"/>
  <c r="J195" i="5"/>
  <c r="F191" i="5"/>
  <c r="I187" i="5"/>
  <c r="E192" i="5"/>
  <c r="F118" i="5"/>
  <c r="I169" i="5"/>
  <c r="J7" i="5"/>
  <c r="H82" i="5"/>
  <c r="J175" i="5"/>
  <c r="E139" i="5"/>
  <c r="I150" i="5"/>
  <c r="J50" i="5"/>
  <c r="J116" i="5"/>
  <c r="J42" i="5"/>
  <c r="H131" i="5"/>
  <c r="H88" i="5"/>
  <c r="H33" i="5"/>
  <c r="I50" i="5"/>
  <c r="E50" i="5"/>
  <c r="J9" i="5"/>
  <c r="G39" i="5"/>
  <c r="I191" i="5"/>
  <c r="G164" i="5"/>
  <c r="H157" i="5"/>
  <c r="J169" i="5"/>
  <c r="E78" i="5"/>
  <c r="J59" i="5"/>
  <c r="F180" i="5"/>
  <c r="I183" i="5"/>
  <c r="J76" i="5"/>
  <c r="G183" i="5"/>
  <c r="F119" i="5"/>
  <c r="F50" i="5"/>
  <c r="G154" i="5"/>
  <c r="I154" i="5"/>
  <c r="F93" i="5"/>
  <c r="H130" i="5"/>
  <c r="F148" i="5"/>
  <c r="G111" i="5"/>
  <c r="I178" i="5"/>
  <c r="J95" i="5"/>
  <c r="H188" i="5"/>
  <c r="G66" i="5"/>
  <c r="E161" i="5"/>
  <c r="H95" i="5"/>
  <c r="I46" i="5"/>
  <c r="E190" i="5"/>
  <c r="I40" i="5"/>
  <c r="I62" i="5"/>
  <c r="I118" i="5"/>
  <c r="I167" i="5"/>
  <c r="I134" i="5"/>
  <c r="F150" i="5"/>
  <c r="E74" i="5"/>
  <c r="I98" i="5"/>
  <c r="H44" i="5"/>
  <c r="G57" i="5"/>
  <c r="G32" i="5"/>
  <c r="G156" i="5"/>
  <c r="H94" i="5"/>
  <c r="I71" i="5"/>
  <c r="J37" i="5"/>
  <c r="J6" i="5"/>
  <c r="E105" i="5"/>
  <c r="J150" i="5"/>
  <c r="I124" i="5"/>
  <c r="G137" i="5"/>
  <c r="I145" i="5"/>
  <c r="H153" i="5"/>
  <c r="J19" i="5"/>
  <c r="F36" i="5"/>
  <c r="H104" i="5"/>
  <c r="J91" i="5"/>
  <c r="H39" i="5"/>
  <c r="J201" i="5"/>
  <c r="F147" i="5"/>
  <c r="H30" i="5"/>
  <c r="I186" i="5"/>
  <c r="G106" i="5"/>
  <c r="J188" i="5"/>
  <c r="G125" i="5"/>
  <c r="J74" i="5"/>
  <c r="G136" i="5"/>
  <c r="F45" i="5"/>
  <c r="I105" i="5"/>
  <c r="H122" i="5"/>
  <c r="J187" i="5"/>
  <c r="G96" i="5"/>
  <c r="J82" i="5"/>
  <c r="J130" i="5"/>
  <c r="F141" i="5"/>
  <c r="H96" i="5"/>
  <c r="F117" i="5"/>
  <c r="F165" i="5"/>
  <c r="G73" i="5"/>
  <c r="H189" i="5"/>
  <c r="E57" i="5"/>
  <c r="I165" i="5"/>
  <c r="I103" i="5"/>
  <c r="H192" i="5"/>
  <c r="J143" i="5"/>
  <c r="F133" i="5"/>
  <c r="F63" i="5"/>
  <c r="F185" i="5"/>
  <c r="J52" i="5"/>
  <c r="J89" i="5"/>
  <c r="F124" i="5"/>
  <c r="I81" i="5"/>
  <c r="H194" i="5"/>
  <c r="I91" i="5"/>
  <c r="H175" i="5"/>
  <c r="I198" i="5"/>
  <c r="I166" i="5"/>
  <c r="E114" i="5"/>
  <c r="F113" i="5"/>
  <c r="H48" i="5"/>
  <c r="E87" i="5"/>
  <c r="J152" i="5"/>
  <c r="E142" i="5"/>
  <c r="J162" i="5"/>
  <c r="J199" i="5"/>
  <c r="G42" i="5"/>
  <c r="F82" i="5"/>
  <c r="G163" i="5"/>
  <c r="E76" i="5"/>
  <c r="G104" i="5"/>
  <c r="E184" i="5"/>
  <c r="F199" i="5"/>
  <c r="J4" i="5"/>
  <c r="I39" i="5"/>
  <c r="F40" i="5"/>
  <c r="H134" i="5"/>
  <c r="F33" i="5"/>
  <c r="F188" i="5"/>
  <c r="J127" i="5"/>
  <c r="H51" i="5"/>
  <c r="I101" i="5"/>
  <c r="F37" i="5"/>
  <c r="J168" i="5"/>
  <c r="F179" i="5"/>
  <c r="F132" i="5"/>
  <c r="J177" i="5"/>
  <c r="F97" i="5"/>
  <c r="H156" i="5"/>
  <c r="F104" i="5"/>
  <c r="E89" i="5"/>
  <c r="G189" i="5"/>
  <c r="H173" i="5"/>
  <c r="F149" i="5"/>
  <c r="J107" i="5"/>
  <c r="J56" i="5"/>
  <c r="H78" i="5"/>
  <c r="F153" i="5"/>
  <c r="I78" i="5"/>
  <c r="H57" i="5"/>
  <c r="F151" i="5"/>
  <c r="I170" i="5"/>
  <c r="I86" i="5"/>
  <c r="I141" i="5"/>
  <c r="E124" i="5"/>
  <c r="I114" i="5"/>
  <c r="I123" i="5"/>
  <c r="G79" i="5"/>
  <c r="H142" i="5"/>
  <c r="G50" i="5"/>
  <c r="H79" i="5"/>
  <c r="F128" i="5"/>
  <c r="J79" i="5"/>
  <c r="E189" i="5"/>
  <c r="J47" i="5"/>
  <c r="E33" i="5"/>
  <c r="J135" i="5"/>
  <c r="J115" i="5"/>
  <c r="I74" i="5"/>
  <c r="H164" i="5"/>
  <c r="H195" i="5"/>
  <c r="G181" i="5"/>
  <c r="G146" i="5"/>
  <c r="G200" i="5"/>
  <c r="F194" i="5"/>
  <c r="G121" i="5"/>
  <c r="G151" i="5"/>
  <c r="G65" i="5"/>
  <c r="F135" i="5"/>
  <c r="F91" i="5"/>
  <c r="F120" i="5"/>
  <c r="J153" i="5"/>
  <c r="G153" i="5"/>
  <c r="H200" i="5"/>
  <c r="F127" i="5"/>
  <c r="G177" i="5"/>
  <c r="F181" i="5"/>
  <c r="E147" i="5"/>
  <c r="F182" i="5"/>
  <c r="G175" i="5"/>
  <c r="H136" i="5"/>
  <c r="G116" i="5"/>
  <c r="E156" i="5"/>
  <c r="F126" i="5"/>
  <c r="I63" i="5"/>
  <c r="F99" i="5"/>
  <c r="E64" i="5"/>
  <c r="F85" i="5"/>
  <c r="E170" i="5"/>
  <c r="J109" i="5"/>
  <c r="F106" i="5"/>
  <c r="J16" i="5"/>
  <c r="J167" i="5"/>
  <c r="J128" i="5"/>
  <c r="G190" i="5"/>
  <c r="H185" i="5"/>
  <c r="E73" i="5"/>
  <c r="E131" i="5"/>
  <c r="H201" i="5"/>
  <c r="H76" i="5"/>
  <c r="I59" i="5"/>
  <c r="F152" i="5"/>
  <c r="J32" i="5"/>
  <c r="J139" i="5"/>
  <c r="J178" i="5"/>
  <c r="F195" i="5"/>
  <c r="H158" i="5"/>
  <c r="F200" i="5"/>
  <c r="E151" i="5"/>
  <c r="H137" i="5"/>
  <c r="G179" i="5"/>
  <c r="E55" i="5"/>
  <c r="G166" i="5"/>
  <c r="I137" i="5"/>
  <c r="I199" i="5"/>
  <c r="E174" i="5"/>
  <c r="H198" i="5"/>
  <c r="J73" i="5"/>
  <c r="J30" i="5"/>
  <c r="F193" i="5"/>
  <c r="J197" i="5"/>
  <c r="I115" i="5"/>
  <c r="J3" i="5"/>
  <c r="E191" i="5"/>
  <c r="J84" i="5"/>
  <c r="J92" i="5"/>
  <c r="E140" i="5"/>
  <c r="G109" i="5"/>
  <c r="H121" i="5"/>
  <c r="F98" i="5"/>
  <c r="F62" i="5"/>
  <c r="G30" i="5"/>
  <c r="J155" i="5"/>
  <c r="G149" i="5"/>
  <c r="F102" i="5"/>
  <c r="F116" i="5"/>
  <c r="J186" i="5"/>
  <c r="J20" i="5"/>
  <c r="J144" i="5"/>
  <c r="G138" i="5"/>
  <c r="H148" i="5"/>
  <c r="I69" i="5"/>
  <c r="H143" i="5"/>
  <c r="H120" i="5"/>
  <c r="F189" i="5"/>
  <c r="H50" i="5"/>
  <c r="H187" i="5"/>
  <c r="E46" i="5"/>
  <c r="H62" i="5"/>
  <c r="G101" i="5"/>
  <c r="H141" i="5"/>
  <c r="H28" i="5"/>
  <c r="H27" i="5"/>
  <c r="H24" i="5"/>
  <c r="F25" i="5"/>
  <c r="G23" i="5"/>
  <c r="E22" i="5"/>
  <c r="E19" i="5"/>
  <c r="E28" i="5"/>
  <c r="H19" i="5"/>
  <c r="G21" i="5"/>
  <c r="F22" i="5"/>
  <c r="I28" i="5"/>
  <c r="G19" i="5"/>
  <c r="I18" i="5"/>
  <c r="G18" i="5"/>
  <c r="G24" i="5"/>
  <c r="F19" i="5"/>
  <c r="F26" i="5"/>
  <c r="I22" i="5"/>
  <c r="E23" i="5"/>
  <c r="F21" i="5"/>
  <c r="I19" i="5"/>
  <c r="G27" i="5"/>
  <c r="I24" i="5"/>
  <c r="H22" i="5"/>
  <c r="H25" i="5"/>
  <c r="G20" i="5"/>
  <c r="I23" i="5"/>
  <c r="E20" i="5"/>
  <c r="I27" i="5"/>
  <c r="H20" i="5"/>
  <c r="E24" i="5"/>
  <c r="H18" i="5"/>
  <c r="G22" i="5"/>
  <c r="F24" i="5"/>
  <c r="F28" i="5"/>
  <c r="H23" i="5"/>
  <c r="F27" i="5"/>
  <c r="F20" i="5"/>
  <c r="E27" i="5"/>
  <c r="E26" i="5"/>
  <c r="F18" i="5"/>
  <c r="I20" i="5"/>
  <c r="G28" i="5"/>
  <c r="E25" i="5"/>
  <c r="I21" i="5"/>
  <c r="G25" i="5"/>
  <c r="E18" i="5"/>
  <c r="H26" i="5"/>
  <c r="E21" i="5"/>
  <c r="H21" i="5"/>
  <c r="F23" i="5"/>
  <c r="I25" i="5"/>
  <c r="I26" i="5"/>
  <c r="G26" i="5"/>
  <c r="AL3" i="2"/>
  <c r="A3" i="2"/>
  <c r="CY3" i="2"/>
  <c r="A5" i="2"/>
  <c r="AL5" i="2"/>
  <c r="CY5" i="2"/>
  <c r="A4" i="2"/>
  <c r="AL4" i="2"/>
  <c r="CY4" i="2"/>
  <c r="AL6" i="2"/>
  <c r="A6" i="2"/>
  <c r="CY6" i="2"/>
  <c r="A7" i="2"/>
  <c r="AL7" i="2"/>
  <c r="CY7" i="2"/>
  <c r="AL8" i="2"/>
  <c r="A8" i="2"/>
  <c r="CY8" i="2"/>
  <c r="AL9" i="2"/>
  <c r="A9" i="2"/>
  <c r="CY9" i="2"/>
  <c r="AL10" i="2"/>
  <c r="A10" i="2"/>
  <c r="CY10" i="2"/>
  <c r="AL11" i="2"/>
  <c r="A11" i="2"/>
  <c r="CY11" i="2"/>
  <c r="A13" i="2"/>
  <c r="AL13" i="2"/>
  <c r="CY13" i="2"/>
  <c r="A12" i="2"/>
  <c r="AL12" i="2"/>
  <c r="CY12" i="2"/>
  <c r="AJ12" i="2"/>
  <c r="CY2" i="2"/>
  <c r="AJ11" i="2"/>
  <c r="AJ13" i="2"/>
  <c r="AJ7" i="2"/>
  <c r="AJ10" i="2"/>
  <c r="AJ9" i="2"/>
  <c r="AJ8" i="2"/>
  <c r="AJ6" i="2"/>
  <c r="AJ5" i="2"/>
  <c r="AJ3" i="2"/>
  <c r="AJ2" i="2"/>
  <c r="AJ4" i="2"/>
  <c r="AK17" i="2" l="1"/>
  <c r="AK16" i="2"/>
  <c r="AK15" i="2"/>
  <c r="AK14" i="2"/>
  <c r="G13" i="9"/>
  <c r="AK8" i="2"/>
  <c r="AK2" i="2"/>
  <c r="AK13" i="2"/>
  <c r="J10" i="9"/>
  <c r="K7" i="9"/>
  <c r="J7" i="9"/>
  <c r="G4" i="9"/>
  <c r="G10" i="9"/>
  <c r="J3" i="9"/>
  <c r="I2" i="9"/>
  <c r="AK12" i="2"/>
  <c r="AK3" i="2"/>
  <c r="AK9" i="2"/>
  <c r="AK11" i="2"/>
  <c r="G11" i="9"/>
  <c r="G9" i="9"/>
  <c r="G6" i="9"/>
  <c r="H5" i="9"/>
  <c r="K2" i="9"/>
  <c r="H2" i="9"/>
  <c r="J2" i="9"/>
  <c r="I13" i="9"/>
  <c r="H10" i="9"/>
  <c r="I9" i="9"/>
  <c r="I7" i="9"/>
  <c r="K4" i="9"/>
  <c r="G7" i="9"/>
  <c r="H4" i="9"/>
  <c r="AK5" i="2"/>
  <c r="AK10" i="2"/>
  <c r="K11" i="9"/>
  <c r="K5" i="9"/>
  <c r="H11" i="9"/>
  <c r="I10" i="9"/>
  <c r="G8" i="9"/>
  <c r="I5" i="9"/>
  <c r="J8" i="9"/>
  <c r="H6" i="9"/>
  <c r="G3" i="9"/>
  <c r="I12" i="9"/>
  <c r="J11" i="9"/>
  <c r="J9" i="9"/>
  <c r="J6" i="9"/>
  <c r="K10" i="9"/>
  <c r="K8" i="9"/>
  <c r="AK4" i="2"/>
  <c r="AK6" i="2"/>
  <c r="AK7" i="2"/>
  <c r="G2" i="9"/>
  <c r="I4" i="9"/>
  <c r="K3" i="9"/>
  <c r="H13" i="9"/>
  <c r="K12" i="9"/>
  <c r="H8" i="9"/>
  <c r="H12" i="9"/>
  <c r="H9" i="9"/>
  <c r="K6" i="9"/>
  <c r="J5" i="9"/>
  <c r="J4" i="9"/>
  <c r="H7" i="9"/>
  <c r="J13" i="9"/>
  <c r="K9" i="9"/>
  <c r="G12" i="9"/>
  <c r="I11" i="9"/>
  <c r="I8" i="9"/>
  <c r="I6" i="9"/>
  <c r="G5" i="9"/>
  <c r="I3" i="9"/>
  <c r="H3" i="9"/>
  <c r="J12" i="9"/>
  <c r="K13" i="9"/>
  <c r="G17" i="5" l="1"/>
  <c r="E17" i="5"/>
  <c r="I17" i="5"/>
  <c r="F17" i="5"/>
  <c r="H17" i="5"/>
  <c r="F16" i="5"/>
  <c r="H16" i="5"/>
  <c r="G16" i="5"/>
  <c r="I16" i="5"/>
  <c r="E16" i="5"/>
  <c r="G2" i="5"/>
  <c r="E15" i="5"/>
  <c r="E14" i="5"/>
  <c r="F14" i="5"/>
  <c r="G15" i="5"/>
  <c r="I14" i="5"/>
  <c r="I15" i="5"/>
  <c r="H15" i="5"/>
  <c r="G14" i="5"/>
  <c r="F15" i="5"/>
  <c r="H14" i="5"/>
  <c r="F2" i="5"/>
  <c r="H2" i="5"/>
  <c r="E2" i="5"/>
  <c r="I2" i="5"/>
  <c r="F13" i="5"/>
  <c r="F4" i="5"/>
  <c r="G8" i="5"/>
  <c r="E8" i="5"/>
  <c r="G3" i="5"/>
  <c r="G5" i="5"/>
  <c r="F8" i="5"/>
  <c r="H13" i="5"/>
  <c r="H12" i="5"/>
  <c r="E4" i="5"/>
  <c r="G12" i="5"/>
  <c r="G13" i="5"/>
  <c r="I12" i="5"/>
  <c r="H5" i="5"/>
  <c r="E10" i="5"/>
  <c r="F12" i="5"/>
  <c r="E12" i="5"/>
  <c r="I11" i="5"/>
  <c r="E13" i="5"/>
  <c r="I3" i="5"/>
  <c r="G11" i="5"/>
  <c r="I13" i="5"/>
  <c r="F11" i="5"/>
  <c r="E11" i="5"/>
  <c r="F5" i="5"/>
  <c r="I10" i="5"/>
  <c r="F7" i="5"/>
  <c r="E6" i="5"/>
  <c r="I7" i="5"/>
  <c r="I4" i="5"/>
  <c r="I9" i="5"/>
  <c r="H8" i="5"/>
  <c r="E5" i="5"/>
  <c r="F10" i="5"/>
  <c r="G7" i="5"/>
  <c r="F3" i="5"/>
  <c r="H11" i="5"/>
  <c r="I8" i="5"/>
  <c r="F9" i="5"/>
  <c r="H10" i="5"/>
  <c r="G9" i="5"/>
  <c r="H4" i="5"/>
  <c r="E3" i="5"/>
  <c r="H3" i="5"/>
  <c r="H6" i="5"/>
  <c r="G4" i="5"/>
  <c r="F6" i="5"/>
  <c r="G6" i="5"/>
  <c r="E7" i="5"/>
  <c r="E9" i="5"/>
  <c r="I5" i="5"/>
  <c r="H7" i="5"/>
  <c r="H9" i="5"/>
  <c r="G10" i="5"/>
  <c r="I6" i="5"/>
</calcChain>
</file>

<file path=xl/sharedStrings.xml><?xml version="1.0" encoding="utf-8"?>
<sst xmlns="http://schemas.openxmlformats.org/spreadsheetml/2006/main" count="875" uniqueCount="338">
  <si>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</si>
  <si>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</si>
  <si>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</si>
  <si>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</si>
  <si>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</si>
  <si>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</si>
  <si>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</si>
  <si>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</si>
  <si>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</si>
  <si>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</si>
  <si>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</si>
  <si>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</si>
  <si>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</si>
  <si>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</si>
  <si>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</si>
  <si>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</si>
  <si>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</si>
  <si>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</si>
  <si>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</si>
  <si>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</si>
  <si>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</si>
  <si>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</si>
  <si>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</si>
  <si>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</si>
  <si>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</si>
  <si>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</si>
  <si>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</si>
  <si>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</si>
  <si>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</si>
  <si>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</si>
  <si>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</si>
  <si>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</si>
  <si>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</si>
  <si>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</si>
  <si>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</si>
  <si>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</si>
  <si>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</si>
  <si>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</si>
  <si>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</si>
  <si>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</si>
  <si>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</si>
  <si>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</si>
  <si>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</si>
  <si>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</si>
  <si>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</si>
  <si>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</si>
  <si>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</si>
  <si>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</si>
  <si>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</si>
  <si>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</si>
  <si>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</si>
  <si>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</si>
  <si>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</si>
  <si>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</si>
  <si>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</si>
  <si>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</si>
  <si>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</si>
  <si>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</si>
  <si>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</si>
  <si>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</si>
  <si>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</si>
  <si>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</si>
  <si>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</si>
  <si>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</si>
  <si>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</si>
  <si>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</si>
  <si>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</si>
  <si>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</si>
  <si>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</si>
  <si>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</si>
  <si>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</si>
  <si>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</si>
  <si>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</si>
  <si>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</si>
  <si>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</si>
  <si>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</si>
  <si>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</si>
  <si>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</si>
  <si>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</si>
  <si>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</si>
  <si>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</si>
  <si>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</si>
  <si>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</si>
  <si>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</si>
  <si>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</si>
  <si>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</si>
  <si>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</si>
  <si>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</si>
  <si>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</si>
  <si>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</si>
  <si>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</si>
  <si>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</si>
  <si>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</si>
  <si>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</si>
  <si>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</si>
  <si>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</si>
  <si>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</si>
  <si>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</si>
  <si>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</si>
  <si>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</si>
  <si>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</si>
  <si>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</si>
  <si>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</si>
  <si>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</si>
  <si>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</si>
  <si>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</si>
  <si>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</si>
  <si>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</si>
  <si>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</si>
  <si>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</si>
  <si>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</si>
  <si>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</si>
  <si>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</si>
  <si>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</si>
  <si>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</si>
  <si>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</si>
  <si>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</si>
  <si>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</si>
  <si>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</si>
  <si>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</si>
  <si>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</si>
  <si>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</si>
  <si>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</si>
  <si>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</si>
  <si>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</si>
  <si>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</si>
  <si>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</si>
  <si>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</si>
  <si>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</si>
  <si>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</si>
  <si>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</si>
  <si>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</si>
  <si>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</si>
  <si>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</si>
  <si>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</si>
  <si>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</si>
  <si>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</si>
  <si>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</si>
  <si>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</si>
  <si>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</si>
  <si>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</si>
  <si>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</si>
  <si>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</si>
  <si>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</si>
  <si>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</si>
  <si>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</si>
  <si>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</si>
  <si>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</si>
  <si>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</si>
  <si>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</si>
  <si>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</si>
  <si>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</si>
  <si>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</si>
  <si>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</si>
  <si>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</si>
  <si>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</si>
  <si>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</si>
  <si>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</si>
  <si>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</si>
  <si>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</si>
  <si>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</si>
  <si>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</si>
  <si>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</si>
  <si>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</si>
  <si>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</si>
  <si>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</si>
  <si>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</si>
  <si>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</si>
  <si>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</si>
  <si>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</si>
  <si>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</si>
  <si>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</si>
  <si>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</si>
  <si>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</si>
  <si>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</si>
  <si>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</si>
  <si>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</si>
  <si>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</si>
  <si>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</si>
  <si>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</si>
  <si>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</si>
  <si>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</si>
  <si>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</si>
  <si>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</si>
  <si>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</si>
  <si>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</si>
  <si>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</si>
  <si>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</si>
  <si>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</si>
  <si>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</si>
  <si>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</si>
  <si>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</si>
  <si>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</si>
  <si>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</si>
  <si>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</si>
  <si>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</si>
  <si>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</si>
  <si>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</si>
  <si>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</si>
  <si>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</si>
  <si>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</si>
  <si>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</si>
  <si>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</si>
  <si>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</si>
  <si>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</si>
  <si>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</si>
  <si>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</si>
  <si>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</si>
  <si>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</si>
  <si>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</si>
  <si>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</si>
  <si>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</si>
  <si>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</si>
  <si>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</si>
  <si>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</si>
  <si>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</si>
  <si>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</si>
  <si>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</si>
  <si>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</si>
  <si>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</si>
  <si>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</si>
  <si>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</si>
  <si>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</si>
  <si>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</si>
  <si>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</si>
  <si>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</si>
  <si>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</si>
  <si>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</si>
  <si>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</si>
  <si>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</si>
  <si>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</si>
  <si>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</si>
  <si>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</si>
  <si>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</si>
  <si>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</si>
  <si>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</si>
  <si>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</si>
  <si>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</si>
  <si>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</si>
  <si>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</si>
  <si>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</si>
  <si>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</si>
  <si>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</si>
  <si>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</si>
  <si>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</si>
  <si>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</si>
  <si>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</si>
  <si>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</si>
  <si>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</si>
  <si>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</si>
  <si>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</si>
  <si>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</si>
  <si>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</si>
  <si>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</si>
  <si>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</si>
  <si>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</si>
  <si>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</si>
  <si>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</si>
  <si>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</si>
  <si>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</si>
  <si>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</si>
  <si>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</si>
  <si>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</si>
  <si>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</si>
  <si>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</si>
  <si>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</si>
  <si>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</si>
  <si>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</si>
  <si>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</si>
  <si>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</si>
  <si>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</si>
  <si>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</si>
  <si>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</si>
  <si>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</si>
  <si>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</si>
  <si>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</si>
  <si>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</si>
  <si>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</si>
  <si>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</si>
  <si>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</si>
  <si>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</si>
  <si>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</si>
  <si>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</si>
  <si>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</si>
  <si>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</si>
  <si>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</si>
  <si>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</si>
  <si>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</si>
  <si>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</si>
  <si>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</si>
  <si>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</si>
  <si>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</si>
  <si>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</si>
  <si>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</si>
  <si>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</si>
  <si>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</si>
  <si>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</si>
  <si>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</si>
  <si>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</si>
  <si>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</si>
  <si>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</si>
  <si>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</si>
  <si>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</si>
  <si>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</si>
  <si>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</si>
  <si>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</si>
  <si>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</si>
  <si>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</si>
  <si>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</si>
  <si>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</si>
  <si>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</si>
  <si>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</si>
  <si>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</si>
  <si>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</si>
  <si>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</si>
  <si>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</si>
  <si>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</si>
  <si>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</si>
  <si>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</si>
  <si>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</si>
  <si>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</si>
  <si>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</si>
  <si>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</si>
  <si>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</si>
  <si>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</si>
  <si>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</si>
  <si>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</si>
  <si>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</si>
  <si>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</si>
  <si>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</si>
  <si>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</si>
  <si>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</si>
  <si>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</si>
  <si>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</si>
  <si>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</si>
  <si>
    <t>Saffaryazdi et al.</t>
  </si>
  <si>
    <t>Quan et al.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</si>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</sst>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8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1" fontId="13" fillId="38" borderId="0" xfId="10" applyNumberFormat="1" applyFill="1">
      <protection locked="0"/>
    </xf>
    <xf numFmtId="0" fontId="0" fillId="38" borderId="0" xfId="0" applyFill="1"/>
    <xf numFmtId="0" fontId="13" fillId="37" borderId="0" xfId="10" applyFill="1">
      <protection locked="0"/>
    </xf>
    <xf numFmtId="2" fontId="13" fillId="39" borderId="0" xfId="12" applyFill="1"/>
    <xf numFmtId="1" fontId="13" fillId="37" borderId="0" xfId="10" applyNumberFormat="1" applyFill="1">
      <protection locked="0"/>
    </xf>
    <xf numFmtId="0" fontId="27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49" fontId="13" fillId="37" borderId="0" xfId="10" applyNumberFormat="1" applyFill="1">
      <protection locked="0"/>
    </xf>
    <xf numFmtId="1" fontId="0" fillId="37" borderId="0" xfId="0" applyNumberFormat="1" applyFill="1"/>
    <xf numFmtId="1" fontId="13" fillId="39" borderId="0" xfId="12" applyNumberFormat="1" applyFill="1"/>
    <xf numFmtId="0" fontId="26" fillId="37" borderId="0" xfId="0" applyFont="1" applyFill="1"/>
    <xf numFmtId="49" fontId="14" fillId="9" borderId="0" xfId="10" applyNumberFormat="1" applyFont="1">
      <protection locked="0"/>
    </xf>
    <xf numFmtId="0" fontId="27" fillId="0" borderId="0" xfId="0" applyFont="1"/>
    <xf numFmtId="0" fontId="0" fillId="0" borderId="0" xfId="0" applyAlignment="1">
      <alignment horizontal="center" vertical="center"/>
    </xf>
    <xf numFmtId="10" fontId="0" fillId="0" borderId="0" xfId="1" applyFont="1" applyAlignment="1">
      <alignment horizontal="center" vertical="center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9.912849552139405E-2</c:v>
                </c:pt>
                <c:pt idx="1">
                  <c:v>8.209421590502991E-2</c:v>
                </c:pt>
                <c:pt idx="2">
                  <c:v>0.10177168184651623</c:v>
                </c:pt>
                <c:pt idx="3">
                  <c:v>8.209421590502991E-2</c:v>
                </c:pt>
                <c:pt idx="4">
                  <c:v>9.6856368469371373E-2</c:v>
                </c:pt>
                <c:pt idx="5">
                  <c:v>8.3408334124141906E-2</c:v>
                </c:pt>
                <c:pt idx="6">
                  <c:v>0.10068948223665335</c:v>
                </c:pt>
                <c:pt idx="7">
                  <c:v>8.6421743252310515E-2</c:v>
                </c:pt>
                <c:pt idx="8">
                  <c:v>9.9781692470964245E-2</c:v>
                </c:pt>
                <c:pt idx="9">
                  <c:v>9.972964340050422E-2</c:v>
                </c:pt>
                <c:pt idx="10">
                  <c:v>6.802412686808422E-2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0.40305834186311906</c:v>
                  </c:pt>
                  <c:pt idx="1">
                    <c:v>0.53929973937390363</c:v>
                  </c:pt>
                  <c:pt idx="2">
                    <c:v>0.39114511107676364</c:v>
                  </c:pt>
                  <c:pt idx="3">
                    <c:v>0.53929973937390363</c:v>
                  </c:pt>
                  <c:pt idx="4">
                    <c:v>0.44771056142055299</c:v>
                  </c:pt>
                  <c:pt idx="5">
                    <c:v>0.51433526636681948</c:v>
                  </c:pt>
                  <c:pt idx="6">
                    <c:v>0.38218075071503599</c:v>
                  </c:pt>
                  <c:pt idx="7">
                    <c:v>0.47615719579075488</c:v>
                  </c:pt>
                  <c:pt idx="8">
                    <c:v>0.41333220998982956</c:v>
                  </c:pt>
                  <c:pt idx="9">
                    <c:v>0.42588155655599014</c:v>
                  </c:pt>
                  <c:pt idx="10">
                    <c:v>0.53868253889895001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0.28727126295254302</c:v>
                  </c:pt>
                  <c:pt idx="1">
                    <c:v>0.37171864498732077</c:v>
                  </c:pt>
                  <c:pt idx="2">
                    <c:v>0.28001715969225993</c:v>
                  </c:pt>
                  <c:pt idx="3">
                    <c:v>0.37171864498732077</c:v>
                  </c:pt>
                  <c:pt idx="4">
                    <c:v>0.31783850172623074</c:v>
                  </c:pt>
                  <c:pt idx="5">
                    <c:v>0.35555651547314648</c:v>
                  </c:pt>
                  <c:pt idx="6">
                    <c:v>0.27310999100605848</c:v>
                  </c:pt>
                  <c:pt idx="7">
                    <c:v>0.33130872283718615</c:v>
                  </c:pt>
                  <c:pt idx="8">
                    <c:v>0.29496758650202082</c:v>
                  </c:pt>
                  <c:pt idx="9">
                    <c:v>0.30389646371434498</c:v>
                  </c:pt>
                  <c:pt idx="10">
                    <c:v>0.35798994480643087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</c:v>
                </c:pt>
                <c:pt idx="1">
                  <c:v>1.1962433417437623</c:v>
                </c:pt>
                <c:pt idx="2">
                  <c:v>0.98559670781893005</c:v>
                </c:pt>
                <c:pt idx="3">
                  <c:v>1.1962433417437623</c:v>
                </c:pt>
                <c:pt idx="4">
                  <c:v>1.0956910545951641</c:v>
                </c:pt>
                <c:pt idx="5">
                  <c:v>1.1517615176151761</c:v>
                </c:pt>
                <c:pt idx="6">
                  <c:v>0.95696941755033038</c:v>
                </c:pt>
                <c:pt idx="7">
                  <c:v>1.0891038696537678</c:v>
                </c:pt>
                <c:pt idx="8">
                  <c:v>1.0300341505061592</c:v>
                </c:pt>
                <c:pt idx="9">
                  <c:v>1.0609812722488778</c:v>
                </c:pt>
                <c:pt idx="10">
                  <c:v>1.0672431448401412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9.912849552139405E-2</c:v>
                </c:pt>
                <c:pt idx="1">
                  <c:v>8.209421590502991E-2</c:v>
                </c:pt>
                <c:pt idx="2">
                  <c:v>0.10177168184651623</c:v>
                </c:pt>
                <c:pt idx="3">
                  <c:v>8.209421590502991E-2</c:v>
                </c:pt>
                <c:pt idx="4">
                  <c:v>9.6856368469371373E-2</c:v>
                </c:pt>
                <c:pt idx="5">
                  <c:v>8.3408334124141906E-2</c:v>
                </c:pt>
                <c:pt idx="6">
                  <c:v>0.10068948223665335</c:v>
                </c:pt>
                <c:pt idx="7">
                  <c:v>8.6421743252310515E-2</c:v>
                </c:pt>
                <c:pt idx="8">
                  <c:v>9.9781692470964245E-2</c:v>
                </c:pt>
                <c:pt idx="9">
                  <c:v>9.972964340050422E-2</c:v>
                </c:pt>
                <c:pt idx="10">
                  <c:v>6.802412686808422E-2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5.5149922879782487E-2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5.2439385030594643E-2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1.0669572613298797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0.10177168184651623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5.5149922879782487E-2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5.2439385030594643E-2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1.0669572613298797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0.10177168184651623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0.40305834186311906</c:v>
                  </c:pt>
                  <c:pt idx="1">
                    <c:v>0.53929973937390363</c:v>
                  </c:pt>
                  <c:pt idx="2">
                    <c:v>0.39114511107676364</c:v>
                  </c:pt>
                  <c:pt idx="3">
                    <c:v>0.53929973937390363</c:v>
                  </c:pt>
                  <c:pt idx="4">
                    <c:v>0.44771056142055299</c:v>
                  </c:pt>
                  <c:pt idx="5">
                    <c:v>0.51433526636681948</c:v>
                  </c:pt>
                  <c:pt idx="6">
                    <c:v>0.38218075071503599</c:v>
                  </c:pt>
                  <c:pt idx="7">
                    <c:v>0.47615719579075488</c:v>
                  </c:pt>
                  <c:pt idx="8">
                    <c:v>0.41333220998982956</c:v>
                  </c:pt>
                  <c:pt idx="9">
                    <c:v>0.42588155655599014</c:v>
                  </c:pt>
                  <c:pt idx="10">
                    <c:v>0.53868253889895001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0.28727126295254302</c:v>
                  </c:pt>
                  <c:pt idx="1">
                    <c:v>0.37171864498732077</c:v>
                  </c:pt>
                  <c:pt idx="2">
                    <c:v>0.28001715969225993</c:v>
                  </c:pt>
                  <c:pt idx="3">
                    <c:v>0.37171864498732077</c:v>
                  </c:pt>
                  <c:pt idx="4">
                    <c:v>0.31783850172623074</c:v>
                  </c:pt>
                  <c:pt idx="5">
                    <c:v>0.35555651547314648</c:v>
                  </c:pt>
                  <c:pt idx="6">
                    <c:v>0.27310999100605848</c:v>
                  </c:pt>
                  <c:pt idx="7">
                    <c:v>0.33130872283718615</c:v>
                  </c:pt>
                  <c:pt idx="8">
                    <c:v>0.29496758650202082</c:v>
                  </c:pt>
                  <c:pt idx="9">
                    <c:v>0.30389646371434498</c:v>
                  </c:pt>
                  <c:pt idx="10">
                    <c:v>0.35798994480643087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</c:v>
                </c:pt>
                <c:pt idx="1">
                  <c:v>1.1962433417437623</c:v>
                </c:pt>
                <c:pt idx="2">
                  <c:v>0.98559670781893005</c:v>
                </c:pt>
                <c:pt idx="3">
                  <c:v>1.1962433417437623</c:v>
                </c:pt>
                <c:pt idx="4">
                  <c:v>1.0956910545951641</c:v>
                </c:pt>
                <c:pt idx="5">
                  <c:v>1.1517615176151761</c:v>
                </c:pt>
                <c:pt idx="6">
                  <c:v>0.95696941755033038</c:v>
                </c:pt>
                <c:pt idx="7">
                  <c:v>1.0891038696537678</c:v>
                </c:pt>
                <c:pt idx="8">
                  <c:v>1.0300341505061592</c:v>
                </c:pt>
                <c:pt idx="9">
                  <c:v>1.0609812722488778</c:v>
                </c:pt>
                <c:pt idx="10">
                  <c:v>1.0672431448401412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9.912849552139405E-2</c:v>
                </c:pt>
                <c:pt idx="1">
                  <c:v>8.209421590502991E-2</c:v>
                </c:pt>
                <c:pt idx="2">
                  <c:v>0.10177168184651623</c:v>
                </c:pt>
                <c:pt idx="3">
                  <c:v>8.209421590502991E-2</c:v>
                </c:pt>
                <c:pt idx="4">
                  <c:v>9.6856368469371373E-2</c:v>
                </c:pt>
                <c:pt idx="5">
                  <c:v>8.3408334124141906E-2</c:v>
                </c:pt>
                <c:pt idx="6">
                  <c:v>0.10068948223665335</c:v>
                </c:pt>
                <c:pt idx="7">
                  <c:v>8.6421743252310515E-2</c:v>
                </c:pt>
                <c:pt idx="8">
                  <c:v>9.9781692470964245E-2</c:v>
                </c:pt>
                <c:pt idx="9">
                  <c:v>9.972964340050422E-2</c:v>
                </c:pt>
                <c:pt idx="10">
                  <c:v>6.802412686808422E-2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5.5149922879782487E-2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5.2439385030594643E-2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1.0669572613298797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0.10177168184651623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5.5149922879782487E-2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5.2439385030594643E-2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1.0669572613298797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0.10177168184651623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0.13928571428571429</c:v>
                </c:pt>
                <c:pt idx="1">
                  <c:v>0.10357142857142858</c:v>
                </c:pt>
                <c:pt idx="2">
                  <c:v>0.14464285714285716</c:v>
                </c:pt>
                <c:pt idx="3">
                  <c:v>0.10357142857142858</c:v>
                </c:pt>
                <c:pt idx="4">
                  <c:v>0.13035714285714287</c:v>
                </c:pt>
                <c:pt idx="5">
                  <c:v>0.10714285714285714</c:v>
                </c:pt>
                <c:pt idx="6">
                  <c:v>0.14464285714285716</c:v>
                </c:pt>
                <c:pt idx="7">
                  <c:v>0.11428571428571428</c:v>
                </c:pt>
                <c:pt idx="8">
                  <c:v>7.309644670050762E-2</c:v>
                </c:pt>
                <c:pt idx="9">
                  <c:v>7.208121827411168E-2</c:v>
                </c:pt>
                <c:pt idx="10">
                  <c:v>4.7715736040609136E-2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0.13928571428571429</c:v>
                </c:pt>
                <c:pt idx="1">
                  <c:v>0.12142857142857143</c:v>
                </c:pt>
                <c:pt idx="2">
                  <c:v>0.14285714285714285</c:v>
                </c:pt>
                <c:pt idx="3">
                  <c:v>0.12142857142857143</c:v>
                </c:pt>
                <c:pt idx="4">
                  <c:v>0.14107142857142857</c:v>
                </c:pt>
                <c:pt idx="5">
                  <c:v>0.12142857142857143</c:v>
                </c:pt>
                <c:pt idx="6">
                  <c:v>0.13928571428571429</c:v>
                </c:pt>
                <c:pt idx="7">
                  <c:v>0.12321428571428572</c:v>
                </c:pt>
                <c:pt idx="8">
                  <c:v>7.5126903553299498E-2</c:v>
                </c:pt>
                <c:pt idx="9">
                  <c:v>7.6142131979695438E-2</c:v>
                </c:pt>
                <c:pt idx="10">
                  <c:v>5.0761421319796954E-2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33.56785714285715</c:v>
                </c:pt>
                <c:pt idx="1">
                  <c:v>27.799543383165446</c:v>
                </c:pt>
                <c:pt idx="2">
                  <c:v>34.462918653646511</c:v>
                </c:pt>
                <c:pt idx="3">
                  <c:v>27.799543383165446</c:v>
                </c:pt>
                <c:pt idx="4">
                  <c:v>32.798447339030787</c:v>
                </c:pt>
                <c:pt idx="5">
                  <c:v>28.24454290036741</c:v>
                </c:pt>
                <c:pt idx="6">
                  <c:v>34.096453675913715</c:v>
                </c:pt>
                <c:pt idx="7">
                  <c:v>29.264972864479137</c:v>
                </c:pt>
                <c:pt idx="8">
                  <c:v>33.789049059207684</c:v>
                </c:pt>
                <c:pt idx="9">
                  <c:v>33.771423695759658</c:v>
                </c:pt>
                <c:pt idx="10">
                  <c:v>23.034992722981762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0.14464285714285716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0.14464285714285716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0.14464285714285716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0.15310395813311037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5.8705126397655008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0.38047330469201424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5.8705126397655008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-2.2281388519862744</c:v>
                </c:pt>
                <c:pt idx="1">
                  <c:v>-1.8476655472942602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5.8705126397655008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2.2281388519862744</c:v>
                </c:pt>
                <c:pt idx="1">
                  <c:v>2.6086121566782885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5.7937774502354804</c:v>
                </c:pt>
                <c:pt idx="1">
                  <c:v>5.2725272292483654</c:v>
                </c:pt>
                <c:pt idx="2">
                  <c:v>5.8705126397655008</c:v>
                </c:pt>
                <c:pt idx="3">
                  <c:v>5.2725272292483654</c:v>
                </c:pt>
                <c:pt idx="4">
                  <c:v>5.7269928705238309</c:v>
                </c:pt>
                <c:pt idx="5">
                  <c:v>5.3145595208227192</c:v>
                </c:pt>
                <c:pt idx="6">
                  <c:v>5.8392168717999944</c:v>
                </c:pt>
                <c:pt idx="7">
                  <c:v>5.4097109779062267</c:v>
                </c:pt>
                <c:pt idx="8">
                  <c:v>5.8128348556627412</c:v>
                </c:pt>
                <c:pt idx="9">
                  <c:v>5.811318584947796</c:v>
                </c:pt>
                <c:pt idx="10">
                  <c:v>4.799478380301526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0</c:v>
                </c:pt>
                <c:pt idx="1">
                  <c:v>0.9447635799067361</c:v>
                </c:pt>
                <c:pt idx="2">
                  <c:v>-8.5169552885123415E-2</c:v>
                </c:pt>
                <c:pt idx="3">
                  <c:v>0.9447635799067361</c:v>
                </c:pt>
                <c:pt idx="4">
                  <c:v>0.52336275709102931</c:v>
                </c:pt>
                <c:pt idx="5">
                  <c:v>0.75090753334275628</c:v>
                </c:pt>
                <c:pt idx="6">
                  <c:v>-0.25683120760651906</c:v>
                </c:pt>
                <c:pt idx="7">
                  <c:v>0.46174707156440242</c:v>
                </c:pt>
                <c:pt idx="8">
                  <c:v>0.17201316213770945</c:v>
                </c:pt>
                <c:pt idx="9">
                  <c:v>0.34399640361847161</c:v>
                </c:pt>
                <c:pt idx="10">
                  <c:v>0.31234440609474351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</c:v>
                </c:pt>
                <c:pt idx="1">
                  <c:v>0.17918609782910852</c:v>
                </c:pt>
                <c:pt idx="2">
                  <c:v>-1.450802648957852E-2</c:v>
                </c:pt>
                <c:pt idx="3">
                  <c:v>0.17918609782910852</c:v>
                </c:pt>
                <c:pt idx="4">
                  <c:v>9.1385264295458929E-2</c:v>
                </c:pt>
                <c:pt idx="5">
                  <c:v>0.14129252488388958</c:v>
                </c:pt>
                <c:pt idx="6">
                  <c:v>-4.3983844622532131E-2</c:v>
                </c:pt>
                <c:pt idx="7">
                  <c:v>8.5355220167994433E-2</c:v>
                </c:pt>
                <c:pt idx="8">
                  <c:v>2.9591957523124511E-2</c:v>
                </c:pt>
                <c:pt idx="9">
                  <c:v>5.9194208438249261E-2</c:v>
                </c:pt>
                <c:pt idx="10">
                  <c:v>6.507882343562521E-2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0.1725989664928114</c:v>
                </c:pt>
                <c:pt idx="1">
                  <c:v>0.18966236806757217</c:v>
                </c:pt>
                <c:pt idx="2">
                  <c:v>0.17034287486687794</c:v>
                </c:pt>
                <c:pt idx="3">
                  <c:v>0.18966236806757217</c:v>
                </c:pt>
                <c:pt idx="4">
                  <c:v>0.17461170680810242</c:v>
                </c:pt>
                <c:pt idx="5">
                  <c:v>0.18816234837185439</c:v>
                </c:pt>
                <c:pt idx="6">
                  <c:v>0.17125584165736601</c:v>
                </c:pt>
                <c:pt idx="7">
                  <c:v>0.18485275906311724</c:v>
                </c:pt>
                <c:pt idx="8">
                  <c:v>0.17203309999867294</c:v>
                </c:pt>
                <c:pt idx="9">
                  <c:v>0.1720779863265719</c:v>
                </c:pt>
                <c:pt idx="10">
                  <c:v>0.20835597553773649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-0.50251364426909606</c:v>
                </c:pt>
                <c:pt idx="1">
                  <c:v>5.4581608697862861E-2</c:v>
                </c:pt>
                <c:pt idx="2">
                  <c:v>0.61167686166482182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0.25002717064528379</c:v>
                </c:pt>
                <c:pt idx="1">
                  <c:v>0</c:v>
                </c:pt>
                <c:pt idx="2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5.4581608697862861E-2</c:v>
                </c:pt>
                <c:pt idx="1">
                  <c:v>5.4581608697862861E-2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0.12108203175713166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0.12108203175713166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6.4810916531339302E-2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0.22919157309151017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0.12108203175713166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0.12108203175713166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6.4810916531339302E-2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0.22919157309151017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0.11497992602543224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0.11497992602543224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5.4581608697862861E-2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0.11497992602543224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0.11497992602543224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5.4581608697862861E-2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-7.0022880433382756E-2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0.18966236806757217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-0.72152228398234353</c:v>
                </c:pt>
                <c:pt idx="1">
                  <c:v>1.0491313979639678</c:v>
                </c:pt>
                <c:pt idx="2">
                  <c:v>-1.0491313979639725</c:v>
                </c:pt>
                <c:pt idx="3">
                  <c:v>1.5647264713617974</c:v>
                </c:pt>
                <c:pt idx="4">
                  <c:v>0.45785193101249527</c:v>
                </c:pt>
                <c:pt idx="5">
                  <c:v>0.72152228398234308</c:v>
                </c:pt>
                <c:pt idx="6">
                  <c:v>-1.5647264713617985</c:v>
                </c:pt>
                <c:pt idx="7">
                  <c:v>0.22300783094036683</c:v>
                </c:pt>
                <c:pt idx="8">
                  <c:v>-0.45785193101249527</c:v>
                </c:pt>
                <c:pt idx="9">
                  <c:v>0</c:v>
                </c:pt>
                <c:pt idx="10">
                  <c:v>-0.22300783094036683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0</c:v>
                </c:pt>
                <c:pt idx="1">
                  <c:v>0.9447635799067361</c:v>
                </c:pt>
                <c:pt idx="2">
                  <c:v>-8.5169552885123415E-2</c:v>
                </c:pt>
                <c:pt idx="3">
                  <c:v>0.9447635799067361</c:v>
                </c:pt>
                <c:pt idx="4">
                  <c:v>0.52336275709102931</c:v>
                </c:pt>
                <c:pt idx="5">
                  <c:v>0.75090753334275628</c:v>
                </c:pt>
                <c:pt idx="6">
                  <c:v>-0.25683120760651906</c:v>
                </c:pt>
                <c:pt idx="7">
                  <c:v>0.46174707156440242</c:v>
                </c:pt>
                <c:pt idx="8">
                  <c:v>0.17201316213770945</c:v>
                </c:pt>
                <c:pt idx="9">
                  <c:v>0.34399640361847161</c:v>
                </c:pt>
                <c:pt idx="10">
                  <c:v>0.31234440609474351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-1.5647264713617985</c:v>
                </c:pt>
                <c:pt idx="1">
                  <c:v>1.5647264713617974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-0.29427802034151912</c:v>
                </c:pt>
                <c:pt idx="1">
                  <c:v>1.0418957900089632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-1.5647264713617985</c:v>
                </c:pt>
                <c:pt idx="1">
                  <c:v>1.5647264713617974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0.37380888483372227</c:v>
                </c:pt>
                <c:pt idx="1">
                  <c:v>0.37380888483372227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15906732588659"/>
          <c:y val="0.17112638499556182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9.0909090909090912E-2</c:v>
                </c:pt>
                <c:pt idx="3">
                  <c:v>0.18181818181818182</c:v>
                </c:pt>
                <c:pt idx="4">
                  <c:v>9.0909090909090912E-2</c:v>
                </c:pt>
                <c:pt idx="5">
                  <c:v>0.18181818181818182</c:v>
                </c:pt>
                <c:pt idx="6">
                  <c:v>0.18181818181818182</c:v>
                </c:pt>
                <c:pt idx="7">
                  <c:v>9.0909090909090912E-2</c:v>
                </c:pt>
                <c:pt idx="8">
                  <c:v>0.18181818181818182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0.24196365222307298</c:v>
                </c:pt>
                <c:pt idx="2">
                  <c:v>6.6573886502913904E-2</c:v>
                </c:pt>
                <c:pt idx="3">
                  <c:v>7.3551039085060443E-2</c:v>
                </c:pt>
                <c:pt idx="4">
                  <c:v>7.8083584911923687E-2</c:v>
                </c:pt>
                <c:pt idx="5">
                  <c:v>7.9655674554057976E-2</c:v>
                </c:pt>
                <c:pt idx="6">
                  <c:v>7.8083584911923687E-2</c:v>
                </c:pt>
                <c:pt idx="7">
                  <c:v>7.3551039085060443E-2</c:v>
                </c:pt>
                <c:pt idx="8">
                  <c:v>6.6573886502913848E-2</c:v>
                </c:pt>
                <c:pt idx="9">
                  <c:v>0.24196365222307303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1343025</xdr:colOff>
      <xdr:row>0</xdr:row>
      <xdr:rowOff>0</xdr:rowOff>
    </xdr:from>
    <xdr:to>
      <xdr:col>11</xdr:col>
      <xdr:colOff>4381500</xdr:colOff>
      <xdr:row>201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0</xdr:row>
      <xdr:rowOff>-9525</xdr:rowOff>
    </xdr:from>
    <xdr:to>
      <xdr:col>13</xdr:col>
      <xdr:colOff>161925</xdr:colOff>
      <xdr:row>25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tabSelected="1" zoomScaleNormal="100" workbookViewId="0">
      <pane ySplit="1" topLeftCell="A2" activePane="bottomLeft" state="frozen"/>
      <selection pane="bottomLeft" activeCell="F14" sqref="F14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109">
        <f>IF(AND(Sufficient_data="Yes",Include_study?="Yes"),1,"")</f>
        <v>1</v>
      </c>
      <c r="B2" s="111" t="s">
        <v>335</v>
      </c>
      <c r="C2" s="5" t="s">
        <v>12</v>
      </c>
      <c r="D2" s="27">
        <v>78</v>
      </c>
      <c r="E2" s="27"/>
      <c r="F2" s="27">
        <v>78</v>
      </c>
      <c r="G2" s="27"/>
      <c r="H2" s="27">
        <v>560</v>
      </c>
      <c r="I2" s="27">
        <v>560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109">
        <f>IF(AND(Sufficient_data="Yes",Include_study?="Yes"),COUNT(A$2:A2)+1,"")</f>
        <v>2</v>
      </c>
      <c r="B3" s="111" t="s">
        <v>335</v>
      </c>
      <c r="C3" s="5" t="s">
        <v>12</v>
      </c>
      <c r="D3" s="27">
        <v>68</v>
      </c>
      <c r="E3" s="27"/>
      <c r="F3" s="27">
        <v>58</v>
      </c>
      <c r="G3" s="27"/>
      <c r="H3" s="27">
        <v>560</v>
      </c>
      <c r="I3" s="27">
        <v>560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109">
        <f>IF(AND(Sufficient_data="Yes",Include_study?="Yes"),COUNT(A$2:A3)+1,"")</f>
        <v>3</v>
      </c>
      <c r="B4" s="111" t="s">
        <v>335</v>
      </c>
      <c r="C4" s="5" t="s">
        <v>12</v>
      </c>
      <c r="D4" s="27">
        <v>80</v>
      </c>
      <c r="E4" s="27"/>
      <c r="F4" s="27">
        <v>81</v>
      </c>
      <c r="G4" s="27"/>
      <c r="H4" s="27">
        <v>560</v>
      </c>
      <c r="I4" s="93">
        <v>560</v>
      </c>
      <c r="J4" s="3" t="str">
        <f t="shared" si="0"/>
        <v>Yes</v>
      </c>
      <c r="K4" s="5"/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109">
        <f>IF(AND(Sufficient_data="Yes",Include_study?="Yes"),COUNT(A$2:A4)+1,"")</f>
        <v>4</v>
      </c>
      <c r="B5" s="94" t="s">
        <v>335</v>
      </c>
      <c r="C5" s="5" t="s">
        <v>12</v>
      </c>
      <c r="D5" s="27">
        <v>68</v>
      </c>
      <c r="E5" s="27"/>
      <c r="F5" s="27">
        <v>58</v>
      </c>
      <c r="G5" s="27"/>
      <c r="H5" s="27">
        <v>560</v>
      </c>
      <c r="I5" s="27">
        <v>560</v>
      </c>
      <c r="J5" s="3" t="str">
        <f t="shared" si="0"/>
        <v>Yes</v>
      </c>
      <c r="K5" s="5"/>
      <c r="L5" s="27"/>
      <c r="S5" s="92"/>
      <c r="T5" s="92"/>
    </row>
    <row r="6" spans="1:20" x14ac:dyDescent="0.3">
      <c r="A6" s="109">
        <f>IF(AND(Sufficient_data="Yes",Include_study?="Yes"),COUNT(A$2:A5)+1,"")</f>
        <v>5</v>
      </c>
      <c r="B6" s="94" t="s">
        <v>335</v>
      </c>
      <c r="C6" s="5" t="s">
        <v>12</v>
      </c>
      <c r="D6" s="27">
        <v>79</v>
      </c>
      <c r="E6" s="27"/>
      <c r="F6" s="27">
        <v>73</v>
      </c>
      <c r="G6" s="27"/>
      <c r="H6" s="27">
        <v>560</v>
      </c>
      <c r="I6" s="27">
        <v>560</v>
      </c>
      <c r="J6" s="3" t="str">
        <f t="shared" si="0"/>
        <v>Yes</v>
      </c>
      <c r="K6" s="5"/>
      <c r="L6" s="27"/>
      <c r="S6" s="92"/>
      <c r="T6" s="92"/>
    </row>
    <row r="7" spans="1:20" x14ac:dyDescent="0.3">
      <c r="A7" s="109">
        <f>IF(AND(Sufficient_data="Yes",Include_study?="Yes"),COUNT(A$2:A6)+1,"")</f>
        <v>6</v>
      </c>
      <c r="B7" s="111" t="s">
        <v>335</v>
      </c>
      <c r="C7" s="5" t="s">
        <v>12</v>
      </c>
      <c r="D7" s="27">
        <v>68</v>
      </c>
      <c r="E7" s="27"/>
      <c r="F7" s="27">
        <v>60</v>
      </c>
      <c r="G7" s="27"/>
      <c r="H7" s="27">
        <v>560</v>
      </c>
      <c r="I7" s="27">
        <v>560</v>
      </c>
      <c r="J7" s="3" t="str">
        <f t="shared" si="0"/>
        <v>Yes</v>
      </c>
      <c r="K7" s="5"/>
      <c r="L7" s="27"/>
      <c r="S7" s="92"/>
      <c r="T7" s="92"/>
    </row>
    <row r="8" spans="1:20" x14ac:dyDescent="0.3">
      <c r="A8" s="109">
        <f>IF(AND(Sufficient_data="Yes",Include_study?="Yes"),COUNT(A$2:A7)+1,"")</f>
        <v>7</v>
      </c>
      <c r="B8" s="12" t="s">
        <v>335</v>
      </c>
      <c r="C8" s="5" t="s">
        <v>12</v>
      </c>
      <c r="D8" s="27">
        <v>78</v>
      </c>
      <c r="E8" s="27"/>
      <c r="F8" s="27">
        <v>81</v>
      </c>
      <c r="G8" s="27"/>
      <c r="H8" s="27">
        <v>560</v>
      </c>
      <c r="I8" s="27">
        <v>560</v>
      </c>
      <c r="J8" s="3" t="str">
        <f t="shared" si="0"/>
        <v>Yes</v>
      </c>
      <c r="K8" s="5"/>
      <c r="L8" s="27"/>
      <c r="S8" s="92"/>
      <c r="T8" s="92"/>
    </row>
    <row r="9" spans="1:20" s="98" customFormat="1" x14ac:dyDescent="0.3">
      <c r="A9" s="109">
        <f>IF(AND(Sufficient_data="Yes",Include_study?="Yes"),COUNT(A$2:A8)+1,"")</f>
        <v>8</v>
      </c>
      <c r="B9" s="12" t="s">
        <v>335</v>
      </c>
      <c r="C9" s="99" t="s">
        <v>12</v>
      </c>
      <c r="D9" s="27">
        <v>69</v>
      </c>
      <c r="E9" s="27"/>
      <c r="F9" s="27">
        <v>64</v>
      </c>
      <c r="G9" s="27"/>
      <c r="H9" s="27">
        <v>560</v>
      </c>
      <c r="I9" s="27">
        <v>560</v>
      </c>
      <c r="J9" s="100" t="str">
        <f t="shared" si="0"/>
        <v>Yes</v>
      </c>
      <c r="K9" s="99"/>
      <c r="L9" s="97"/>
    </row>
    <row r="10" spans="1:20" s="98" customFormat="1" x14ac:dyDescent="0.3">
      <c r="A10" s="109">
        <f>IF(AND(Sufficient_data="Yes",Include_study?="Yes"),COUNT(A$2:A9)+1,"")</f>
        <v>9</v>
      </c>
      <c r="B10" s="94" t="s">
        <v>336</v>
      </c>
      <c r="C10" s="99" t="s">
        <v>12</v>
      </c>
      <c r="D10" s="101">
        <v>74</v>
      </c>
      <c r="E10" s="101"/>
      <c r="F10" s="101">
        <v>72</v>
      </c>
      <c r="G10" s="101"/>
      <c r="H10" s="101">
        <v>985</v>
      </c>
      <c r="I10" s="101">
        <v>985</v>
      </c>
      <c r="J10" s="100" t="s">
        <v>12</v>
      </c>
      <c r="K10" s="99"/>
      <c r="L10" s="97"/>
    </row>
    <row r="11" spans="1:20" s="98" customFormat="1" x14ac:dyDescent="0.3">
      <c r="A11" s="109">
        <f>IF(AND(Sufficient_data="Yes",Include_study?="Yes"),COUNT(A$2:A10)+1,"")</f>
        <v>10</v>
      </c>
      <c r="B11" s="94" t="s">
        <v>336</v>
      </c>
      <c r="C11" s="99" t="s">
        <v>12</v>
      </c>
      <c r="D11" s="101">
        <v>75</v>
      </c>
      <c r="E11" s="101"/>
      <c r="F11" s="101">
        <v>71</v>
      </c>
      <c r="G11" s="101"/>
      <c r="H11" s="101">
        <v>985</v>
      </c>
      <c r="I11" s="101">
        <v>985</v>
      </c>
      <c r="J11" s="100" t="s">
        <v>12</v>
      </c>
      <c r="K11" s="99"/>
      <c r="L11" s="97"/>
    </row>
    <row r="12" spans="1:20" s="94" customFormat="1" x14ac:dyDescent="0.3">
      <c r="A12" s="109">
        <f>IF(AND(Sufficient_data="Yes",Include_study?="Yes"),COUNT(A$2:A11)+1,"")</f>
        <v>11</v>
      </c>
      <c r="B12" s="107" t="s">
        <v>336</v>
      </c>
      <c r="C12" s="99" t="s">
        <v>12</v>
      </c>
      <c r="D12" s="101">
        <v>50</v>
      </c>
      <c r="E12" s="101"/>
      <c r="F12" s="101">
        <v>47</v>
      </c>
      <c r="G12" s="101"/>
      <c r="H12" s="101">
        <v>985</v>
      </c>
      <c r="I12" s="101">
        <v>985</v>
      </c>
      <c r="J12" s="100" t="str">
        <f t="shared" si="0"/>
        <v>Yes</v>
      </c>
      <c r="K12" s="99"/>
      <c r="L12" s="101"/>
      <c r="S12" s="108"/>
      <c r="T12" s="108"/>
    </row>
    <row r="13" spans="1:20" x14ac:dyDescent="0.3">
      <c r="A13" s="109" t="str">
        <f>IF(AND(Sufficient_data="Yes",Include_study?="Yes"),COUNT(A$2:A12)+1,"")</f>
        <v/>
      </c>
      <c r="B13" s="12"/>
      <c r="C13" s="5" t="s">
        <v>20</v>
      </c>
      <c r="D13" s="27"/>
      <c r="E13" s="27"/>
      <c r="F13" s="27"/>
      <c r="G13" s="27"/>
      <c r="H13" s="27"/>
      <c r="I13" s="27"/>
      <c r="J13" s="3" t="str">
        <f t="shared" si="0"/>
        <v>No</v>
      </c>
      <c r="K13" s="5"/>
      <c r="L13" s="27"/>
      <c r="S13" s="92"/>
      <c r="T13" s="92"/>
    </row>
    <row r="14" spans="1:20" x14ac:dyDescent="0.3">
      <c r="A14" s="109" t="str">
        <f>IF(AND(Sufficient_data="Yes",Include_study?="Yes"),COUNT(A$2:A13)+1,"")</f>
        <v/>
      </c>
      <c r="B14" s="107"/>
      <c r="C14" s="5" t="s">
        <v>20</v>
      </c>
      <c r="D14" s="27"/>
      <c r="E14" s="27"/>
      <c r="F14" s="27"/>
      <c r="G14" s="27"/>
      <c r="H14" s="27"/>
      <c r="I14" s="27"/>
      <c r="J14" s="3" t="str">
        <f t="shared" si="0"/>
        <v>No</v>
      </c>
      <c r="K14" s="5"/>
      <c r="L14" s="27"/>
      <c r="S14" s="92"/>
      <c r="T14" s="92"/>
    </row>
    <row r="15" spans="1:20" ht="14.5" x14ac:dyDescent="0.35">
      <c r="A15" s="109" t="str">
        <f>IF(AND(Sufficient_data="Yes",Include_study?="Yes"),COUNT(A$2:A14)+1,"")</f>
        <v/>
      </c>
      <c r="B15" s="110"/>
      <c r="C15" s="5" t="s">
        <v>20</v>
      </c>
      <c r="D15" s="27"/>
      <c r="E15" s="27"/>
      <c r="F15" s="27"/>
      <c r="G15" s="27"/>
      <c r="H15" s="27"/>
      <c r="I15" s="27"/>
      <c r="J15" s="3" t="str">
        <f t="shared" si="0"/>
        <v>No</v>
      </c>
      <c r="K15" s="5"/>
      <c r="L15" s="27"/>
      <c r="S15" s="92"/>
      <c r="T15" s="92"/>
    </row>
    <row r="16" spans="1:20" x14ac:dyDescent="0.3">
      <c r="A16" s="109" t="str">
        <f>IF(AND(Sufficient_data="Yes",Include_study?="Yes"),COUNT(A$2:A15)+1,"")</f>
        <v/>
      </c>
      <c r="B16" s="12"/>
      <c r="C16" s="5" t="s">
        <v>20</v>
      </c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  <c r="S16" s="92"/>
      <c r="T16" s="92"/>
    </row>
    <row r="17" spans="1:12" x14ac:dyDescent="0.3">
      <c r="A17" s="109" t="str">
        <f>IF(AND(Sufficient_data="Yes",Include_study?="Yes"),COUNT(A$2:A16)+1,"")</f>
        <v/>
      </c>
      <c r="B17" s="12"/>
      <c r="C17" s="5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109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109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opLeftCell="C1" zoomScaleNormal="100" workbookViewId="0">
      <pane ySplit="1" topLeftCell="A2" activePane="bottomLeft" state="frozen"/>
      <selection pane="bottomLeft" activeCell="E2" sqref="E2:I12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8" t="s">
        <v>21</v>
      </c>
      <c r="B1" s="118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Saffaryazdi et al.</v>
      </c>
      <c r="F2" s="4">
        <f>IF(Ranked_number&lt;=COUNT(Entry_number),INDEX(Lookup_table,MATCH(Number,Calculations!AK:AK,0),5),"")</f>
        <v>1</v>
      </c>
      <c r="G2" s="4">
        <f>IF(Ranked_number&lt;=COUNT(Entry_number),INDEX(Lookup_table,MATCH(Number,Calculations!AK:AK,0),9),"")</f>
        <v>0.71272873704745698</v>
      </c>
      <c r="H2" s="4">
        <f>IF(Ranked_number&lt;=COUNT(Entry_number),INDEX(Lookup_table,MATCH(Number,Calculations!AK:AK,0),10),"")</f>
        <v>1.4030583418631191</v>
      </c>
      <c r="I2" s="8">
        <f>IF(D2&lt;=COUNT(Entry_number),INDEX(Lookup_table,MATCH(Number,Calculations!AK:AK,0),11),"")</f>
        <v>9.912849552139405E-2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15" t="s">
        <v>29</v>
      </c>
      <c r="O2" s="116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Saffaryazdi et al.</v>
      </c>
      <c r="F3" s="4">
        <f>IF(Ranked_number&lt;=COUNT(Entry_number),INDEX(Lookup_table,MATCH(Number,Calculations!AK:AK,0),5),"")</f>
        <v>1.1962433417437623</v>
      </c>
      <c r="G3" s="4">
        <f>IF(Ranked_number&lt;=COUNT(Entry_number),INDEX(Lookup_table,MATCH(Number,Calculations!AK:AK,0),9),"")</f>
        <v>0.82452469675644158</v>
      </c>
      <c r="H3" s="4">
        <f>IF(Ranked_number&lt;=COUNT(Entry_number),INDEX(Lookup_table,MATCH(Number,Calculations!AK:AK,0),10),"")</f>
        <v>1.735543081117666</v>
      </c>
      <c r="I3" s="8">
        <f>IF(D3&lt;=COUNT(Entry_number),INDEX(Lookup_table,MATCH(Number,Calculations!AK:AK,0),11),"")</f>
        <v>8.209421590502991E-2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5"/>
      <c r="O3" s="116"/>
    </row>
    <row r="4" spans="1:15" x14ac:dyDescent="0.3">
      <c r="D4" s="48">
        <v>3</v>
      </c>
      <c r="E4" s="16" t="str">
        <f>IF(Number&lt;=COUNT(Entry_number),INDEX(Lookup_table,MATCH(Number,Calculations!AK:AK,0),3),"")</f>
        <v>Saffaryazdi et al.</v>
      </c>
      <c r="F4" s="4">
        <f>IF(Ranked_number&lt;=COUNT(Entry_number),INDEX(Lookup_table,MATCH(Number,Calculations!AK:AK,0),5),"")</f>
        <v>0.98559670781893005</v>
      </c>
      <c r="G4" s="4">
        <f>IF(Ranked_number&lt;=COUNT(Entry_number),INDEX(Lookup_table,MATCH(Number,Calculations!AK:AK,0),9),"")</f>
        <v>0.70557954812667012</v>
      </c>
      <c r="H4" s="4">
        <f>IF(Ranked_number&lt;=COUNT(Entry_number),INDEX(Lookup_table,MATCH(Number,Calculations!AK:AK,0),10),"")</f>
        <v>1.3767418188956937</v>
      </c>
      <c r="I4" s="8">
        <f>IF(D4&lt;=COUNT(Entry_number),INDEX(Lookup_table,MATCH(Number,Calculations!AK:AK,0),11),"")</f>
        <v>0.10177168184651623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15"/>
      <c r="O4" s="116"/>
    </row>
    <row r="5" spans="1:15" x14ac:dyDescent="0.3">
      <c r="A5" s="118" t="s">
        <v>33</v>
      </c>
      <c r="B5" s="118"/>
      <c r="D5" s="48">
        <v>4</v>
      </c>
      <c r="E5" s="16" t="str">
        <f>IF(Number&lt;=COUNT(Entry_number),INDEX(Lookup_table,MATCH(Number,Calculations!AK:AK,0),3),"")</f>
        <v>Saffaryazdi et al.</v>
      </c>
      <c r="F5" s="4">
        <f>IF(Ranked_number&lt;=COUNT(Entry_number),INDEX(Lookup_table,MATCH(Number,Calculations!AK:AK,0),5),"")</f>
        <v>1.1962433417437623</v>
      </c>
      <c r="G5" s="4">
        <f>IF(Ranked_number&lt;=COUNT(Entry_number),INDEX(Lookup_table,MATCH(Number,Calculations!AK:AK,0),9),"")</f>
        <v>0.82452469675644158</v>
      </c>
      <c r="H5" s="4">
        <f>IF(Ranked_number&lt;=COUNT(Entry_number),INDEX(Lookup_table,MATCH(Number,Calculations!AK:AK,0),10),"")</f>
        <v>1.735543081117666</v>
      </c>
      <c r="I5" s="8">
        <f>IF(D5&lt;=COUNT(Entry_number),INDEX(Lookup_table,MATCH(Number,Calculations!AK:AK,0),11),"")</f>
        <v>8.209421590502991E-2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5"/>
      <c r="O5" s="116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>Saffaryazdi et al.</v>
      </c>
      <c r="F6" s="4">
        <f>IF(Ranked_number&lt;=COUNT(Entry_number),INDEX(Lookup_table,MATCH(Number,Calculations!AK:AK,0),5),"")</f>
        <v>1.0956910545951641</v>
      </c>
      <c r="G6" s="4">
        <f>IF(Ranked_number&lt;=COUNT(Entry_number),INDEX(Lookup_table,MATCH(Number,Calculations!AK:AK,0),9),"")</f>
        <v>0.7778525528689334</v>
      </c>
      <c r="H6" s="4">
        <f>IF(Ranked_number&lt;=COUNT(Entry_number),INDEX(Lookup_table,MATCH(Number,Calculations!AK:AK,0),10),"")</f>
        <v>1.5434016160157171</v>
      </c>
      <c r="I6" s="8">
        <f>IF(D6&lt;=COUNT(Entry_number),INDEX(Lookup_table,MATCH(Number,Calculations!AK:AK,0),11),"")</f>
        <v>9.6856368469371373E-2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15"/>
      <c r="O6" s="116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>Saffaryazdi et al.</v>
      </c>
      <c r="F7" s="4">
        <f>IF(Ranked_number&lt;=COUNT(Entry_number),INDEX(Lookup_table,MATCH(Number,Calculations!AK:AK,0),5),"")</f>
        <v>1.1517615176151761</v>
      </c>
      <c r="G7" s="4">
        <f>IF(Ranked_number&lt;=COUNT(Entry_number),INDEX(Lookup_table,MATCH(Number,Calculations!AK:AK,0),9),"")</f>
        <v>0.79620500214202961</v>
      </c>
      <c r="H7" s="4">
        <f>IF(Ranked_number&lt;=COUNT(Entry_number),INDEX(Lookup_table,MATCH(Number,Calculations!AK:AK,0),10),"")</f>
        <v>1.6660967839819956</v>
      </c>
      <c r="I7" s="8">
        <f>IF(D7&lt;=COUNT(Entry_number),INDEX(Lookup_table,MATCH(Number,Calculations!AK:AK,0),11),"")</f>
        <v>8.3408334124141906E-2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15"/>
      <c r="O7" s="116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>Saffaryazdi et al.</v>
      </c>
      <c r="F8" s="4">
        <f>IF(Ranked_number&lt;=COUNT(Entry_number),INDEX(Lookup_table,MATCH(Number,Calculations!AK:AK,0),5),"")</f>
        <v>0.95696941755033038</v>
      </c>
      <c r="G8" s="4">
        <f>IF(Ranked_number&lt;=COUNT(Entry_number),INDEX(Lookup_table,MATCH(Number,Calculations!AK:AK,0),9),"")</f>
        <v>0.6838594265442719</v>
      </c>
      <c r="H8" s="4">
        <f>IF(Ranked_number&lt;=COUNT(Entry_number),INDEX(Lookup_table,MATCH(Number,Calculations!AK:AK,0),10),"")</f>
        <v>1.3391501682653664</v>
      </c>
      <c r="I8" s="8">
        <f>IF(D8&lt;=COUNT(Entry_number),INDEX(Lookup_table,MATCH(Number,Calculations!AK:AK,0),11),"")</f>
        <v>0.10068948223665335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5"/>
      <c r="O8" s="116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Saffaryazdi et al.</v>
      </c>
      <c r="F9" s="4">
        <f>IF(Ranked_number&lt;=COUNT(Entry_number),INDEX(Lookup_table,MATCH(Number,Calculations!AK:AK,0),5),"")</f>
        <v>1.0891038696537678</v>
      </c>
      <c r="G9" s="4">
        <f>IF(Ranked_number&lt;=COUNT(Entry_number),INDEX(Lookup_table,MATCH(Number,Calculations!AK:AK,0),9),"")</f>
        <v>0.75779514681658167</v>
      </c>
      <c r="H9" s="4">
        <f>IF(Ranked_number&lt;=COUNT(Entry_number),INDEX(Lookup_table,MATCH(Number,Calculations!AK:AK,0),10),"")</f>
        <v>1.5652610654445227</v>
      </c>
      <c r="I9" s="8">
        <f>IF(D9&lt;=COUNT(Entry_number),INDEX(Lookup_table,MATCH(Number,Calculations!AK:AK,0),11),"")</f>
        <v>8.6421743252310515E-2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5"/>
      <c r="O9" s="116"/>
    </row>
    <row r="10" spans="1:15" x14ac:dyDescent="0.3">
      <c r="D10" s="48">
        <v>9</v>
      </c>
      <c r="E10" s="16" t="str">
        <f>IF(Number&lt;=COUNT(Entry_number),INDEX(Lookup_table,MATCH(Number,Calculations!AK:AK,0),3),"")</f>
        <v>Quan et al.</v>
      </c>
      <c r="F10" s="4">
        <f>IF(Ranked_number&lt;=COUNT(Entry_number),INDEX(Lookup_table,MATCH(Number,Calculations!AK:AK,0),5),"")</f>
        <v>1.0300341505061592</v>
      </c>
      <c r="G10" s="4">
        <f>IF(Ranked_number&lt;=COUNT(Entry_number),INDEX(Lookup_table,MATCH(Number,Calculations!AK:AK,0),9),"")</f>
        <v>0.73506656400413839</v>
      </c>
      <c r="H10" s="4">
        <f>IF(Ranked_number&lt;=COUNT(Entry_number),INDEX(Lookup_table,MATCH(Number,Calculations!AK:AK,0),10),"")</f>
        <v>1.4433663604959888</v>
      </c>
      <c r="I10" s="8">
        <f>IF(D10&lt;=COUNT(Entry_number),INDEX(Lookup_table,MATCH(Number,Calculations!AK:AK,0),11),"")</f>
        <v>9.9781692470964245E-2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5"/>
      <c r="O10" s="116"/>
    </row>
    <row r="11" spans="1:15" x14ac:dyDescent="0.3">
      <c r="A11" s="118" t="s">
        <v>42</v>
      </c>
      <c r="B11" s="118"/>
      <c r="D11" s="48">
        <v>10</v>
      </c>
      <c r="E11" s="16" t="str">
        <f>IF(Number&lt;=COUNT(Entry_number),INDEX(Lookup_table,MATCH(Number,Calculations!AK:AK,0),3),"")</f>
        <v>Quan et al.</v>
      </c>
      <c r="F11" s="4">
        <f>IF(Ranked_number&lt;=COUNT(Entry_number),INDEX(Lookup_table,MATCH(Number,Calculations!AK:AK,0),5),"")</f>
        <v>1.0609812722488778</v>
      </c>
      <c r="G11" s="4">
        <f>IF(Ranked_number&lt;=COUNT(Entry_number),INDEX(Lookup_table,MATCH(Number,Calculations!AK:AK,0),9),"")</f>
        <v>0.75708480853453286</v>
      </c>
      <c r="H11" s="4">
        <f>IF(Ranked_number&lt;=COUNT(Entry_number),INDEX(Lookup_table,MATCH(Number,Calculations!AK:AK,0),10),"")</f>
        <v>1.486862828804868</v>
      </c>
      <c r="I11" s="8">
        <f>IF(D11&lt;=COUNT(Entry_number),INDEX(Lookup_table,MATCH(Number,Calculations!AK:AK,0),11),"")</f>
        <v>9.972964340050422E-2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5"/>
      <c r="O11" s="116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>Quan et al.</v>
      </c>
      <c r="F12" s="4">
        <f>IF(Ranked_number&lt;=COUNT(Entry_number),INDEX(Lookup_table,MATCH(Number,Calculations!AK:AK,0),5),"")</f>
        <v>1.0672431448401412</v>
      </c>
      <c r="G12" s="4">
        <f>IF(Ranked_number&lt;=COUNT(Entry_number),INDEX(Lookup_table,MATCH(Number,Calculations!AK:AK,0),9),"")</f>
        <v>0.70925320003371028</v>
      </c>
      <c r="H12" s="4">
        <f>IF(Ranked_number&lt;=COUNT(Entry_number),INDEX(Lookup_table,MATCH(Number,Calculations!AK:AK,0),10),"")</f>
        <v>1.6059256837390912</v>
      </c>
      <c r="I12" s="8">
        <f>IF(D12&lt;=COUNT(Entry_number),INDEX(Lookup_table,MATCH(Number,Calculations!AK:AK,0),11),"")</f>
        <v>6.802412686808422E-2</v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5"/>
      <c r="O12" s="116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5"/>
      <c r="O13" s="116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5"/>
      <c r="O14" s="116"/>
    </row>
    <row r="15" spans="1:15" x14ac:dyDescent="0.3">
      <c r="A15" s="118" t="s">
        <v>46</v>
      </c>
      <c r="B15" s="118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5"/>
      <c r="O15" s="116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1.0669572613298797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5"/>
      <c r="O16" s="116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1.014517876299285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5"/>
      <c r="O17" s="116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1.1221071842096622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5"/>
      <c r="O18" s="116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1.014517876299285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5"/>
      <c r="O19" s="116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1.1221071842096622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5"/>
      <c r="O20" s="116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5"/>
      <c r="O21" s="116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2.8653794926263645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5"/>
      <c r="O22" s="116"/>
    </row>
    <row r="23" spans="1:15" x14ac:dyDescent="0.3">
      <c r="A23" s="3" t="s">
        <v>50</v>
      </c>
      <c r="B23" s="26">
        <f>IF(Valid_options="Yes",IF(B22&lt;&gt;"",1-NORMSDIST(ABS(B22)),""),"")</f>
        <v>2.0825488351579047E-3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5"/>
      <c r="O23" s="116"/>
    </row>
    <row r="24" spans="1:15" x14ac:dyDescent="0.3">
      <c r="A24" s="3" t="s">
        <v>51</v>
      </c>
      <c r="B24" s="26">
        <f>IF(Valid_options="Yes",IF(B22&lt;&gt;"",2*(1-NORMSDIST(ABS(B22))),""),"")</f>
        <v>4.1650976703158094E-3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5"/>
      <c r="O24" s="116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5"/>
      <c r="O25" s="116"/>
    </row>
    <row r="26" spans="1:15" ht="12" customHeight="1" x14ac:dyDescent="0.3">
      <c r="A26" s="3" t="s">
        <v>52</v>
      </c>
      <c r="B26" s="7">
        <f>SUMIF(Sufficient_data,"Yes",Number_of_subjects)</f>
        <v>14870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5"/>
      <c r="O26" s="116"/>
    </row>
    <row r="27" spans="1:15" x14ac:dyDescent="0.3">
      <c r="A27" s="3" t="s">
        <v>53</v>
      </c>
      <c r="B27" s="7">
        <f>COUNT(Weightf)</f>
        <v>11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5"/>
      <c r="O27" s="116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5"/>
      <c r="O28" s="116"/>
    </row>
    <row r="29" spans="1:15" x14ac:dyDescent="0.3">
      <c r="A29" s="118" t="s">
        <v>54</v>
      </c>
      <c r="B29" s="118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5"/>
      <c r="O29" s="116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1.7324357332144662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5"/>
      <c r="O30" s="116"/>
    </row>
    <row r="31" spans="1:15" ht="13" x14ac:dyDescent="0.35">
      <c r="A31" s="3" t="s">
        <v>56</v>
      </c>
      <c r="B31" s="26">
        <f>IF(Valid_options="Yes",IF(B30&lt;&gt;"",CHIDIST(B30,k_-1),""),"")</f>
        <v>0.99801000106271953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5"/>
      <c r="O31" s="116"/>
    </row>
    <row r="32" spans="1:15" ht="13.5" x14ac:dyDescent="0.3">
      <c r="A32" s="3" t="s">
        <v>57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5"/>
      <c r="O32" s="116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5"/>
      <c r="O33" s="116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5"/>
      <c r="O34" s="116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5"/>
      <c r="O35" s="116"/>
    </row>
    <row r="36" spans="1:15" x14ac:dyDescent="0.3">
      <c r="A36" s="118" t="s">
        <v>58</v>
      </c>
      <c r="B36" s="119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5"/>
      <c r="O36" s="116"/>
    </row>
    <row r="37" spans="1:15" x14ac:dyDescent="0.3">
      <c r="A37" s="120" t="s">
        <v>35</v>
      </c>
      <c r="B37" s="120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5"/>
      <c r="O37" s="116"/>
    </row>
    <row r="38" spans="1:15" x14ac:dyDescent="0.3">
      <c r="A38" s="121" t="s">
        <v>59</v>
      </c>
      <c r="B38" s="121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5"/>
      <c r="O38" s="116"/>
    </row>
    <row r="39" spans="1:15" x14ac:dyDescent="0.3">
      <c r="A39" s="121" t="s">
        <v>60</v>
      </c>
      <c r="B39" s="121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5"/>
      <c r="O39" s="116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5"/>
      <c r="O40" s="116"/>
    </row>
    <row r="41" spans="1:15" x14ac:dyDescent="0.3">
      <c r="A41" s="118" t="s">
        <v>61</v>
      </c>
      <c r="B41" s="119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5"/>
      <c r="O41" s="116"/>
    </row>
    <row r="42" spans="1:15" x14ac:dyDescent="0.3">
      <c r="A42" s="120" t="str">
        <f>IF(Weighting_method="Peto","Peto Odds Ratio","Odds Ratio")</f>
        <v>Odds Ratio</v>
      </c>
      <c r="B42" s="120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5"/>
      <c r="O42" s="116"/>
    </row>
    <row r="43" spans="1:15" x14ac:dyDescent="0.3">
      <c r="A43" s="121" t="str">
        <f>IF(Weighting_method="Inverse variance","Risk Ratio","")</f>
        <v>Risk Ratio</v>
      </c>
      <c r="B43" s="121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5"/>
      <c r="O43" s="116"/>
    </row>
    <row r="44" spans="1:15" x14ac:dyDescent="0.3">
      <c r="A44" s="121" t="str">
        <f>IF(Weighting_method="Inverse variance","Risk Difference","")</f>
        <v>Risk Difference</v>
      </c>
      <c r="B44" s="121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5"/>
      <c r="O44" s="116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5"/>
      <c r="O45" s="116"/>
    </row>
    <row r="46" spans="1:15" x14ac:dyDescent="0.3">
      <c r="A46" s="118" t="s">
        <v>62</v>
      </c>
      <c r="B46" s="119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5"/>
      <c r="O46" s="116"/>
    </row>
    <row r="47" spans="1:15" x14ac:dyDescent="0.3">
      <c r="A47" s="120" t="str">
        <f>IF(Model_effect_size_measure&lt;&gt;"",Model_effect_size_measure,"")</f>
        <v>Odds Ratio</v>
      </c>
      <c r="B47" s="120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5"/>
      <c r="O47" s="116"/>
    </row>
    <row r="48" spans="1:15" x14ac:dyDescent="0.3">
      <c r="A48" s="121" t="str">
        <f>IF(OR(Model_effect_size_measure="Odds Ratio",Model_effect_size_measure="Peto Odds Ratio"),"Risk Ratio",IF(Model_effect_size_measure="Risk Ratio","Risk Difference",""))</f>
        <v>Risk Ratio</v>
      </c>
      <c r="B48" s="121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5"/>
      <c r="O48" s="116"/>
    </row>
    <row r="49" spans="1:15" x14ac:dyDescent="0.3">
      <c r="A49" s="121" t="str">
        <f>IF(OR(Model_effect_size_measure="Odds Ratio",Model_effect_size_measure="Peto Odds Ratio"),"Risk Difference","")</f>
        <v>Risk Difference</v>
      </c>
      <c r="B49" s="121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5"/>
      <c r="O49" s="116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5"/>
      <c r="O50" s="116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5"/>
      <c r="O51" s="116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5"/>
      <c r="O52" s="116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5"/>
      <c r="O53" s="116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5"/>
      <c r="O54" s="116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5"/>
      <c r="O55" s="116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5"/>
      <c r="O56" s="116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5"/>
      <c r="O57" s="116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5"/>
      <c r="O58" s="116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5"/>
      <c r="O59" s="116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5"/>
      <c r="O60" s="116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5"/>
      <c r="O61" s="116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5"/>
      <c r="O62" s="116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5"/>
      <c r="O63" s="116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5"/>
      <c r="O64" s="116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5"/>
      <c r="O65" s="116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5"/>
      <c r="O66" s="116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5"/>
      <c r="O67" s="116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5"/>
      <c r="O68" s="116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5"/>
      <c r="O69" s="116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5"/>
      <c r="O70" s="116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5"/>
      <c r="O71" s="116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5"/>
      <c r="O72" s="116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5"/>
      <c r="O73" s="116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5"/>
      <c r="O74" s="116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5"/>
      <c r="O75" s="116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5"/>
      <c r="O76" s="116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5"/>
      <c r="O77" s="116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5"/>
      <c r="O78" s="116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5"/>
      <c r="O79" s="116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5"/>
      <c r="O80" s="116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5"/>
      <c r="O81" s="116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5"/>
      <c r="O82" s="116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5"/>
      <c r="O83" s="116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5"/>
      <c r="O84" s="116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5"/>
      <c r="O85" s="116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5"/>
      <c r="O86" s="116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5"/>
      <c r="O87" s="116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5"/>
      <c r="O88" s="116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5"/>
      <c r="O89" s="116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5"/>
      <c r="O90" s="116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5"/>
      <c r="O91" s="116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5"/>
      <c r="O92" s="116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5"/>
      <c r="O93" s="116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5"/>
      <c r="O94" s="116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5"/>
      <c r="O95" s="116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5"/>
      <c r="O96" s="116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5"/>
      <c r="O97" s="116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5"/>
      <c r="O98" s="116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5"/>
      <c r="O99" s="116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5"/>
      <c r="O100" s="116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5"/>
      <c r="O101" s="116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5"/>
      <c r="O102" s="116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5"/>
      <c r="O103" s="116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5"/>
      <c r="O104" s="116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5"/>
      <c r="O105" s="116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5"/>
      <c r="O106" s="116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5"/>
      <c r="O107" s="116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5"/>
      <c r="O108" s="116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5"/>
      <c r="O109" s="116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5"/>
      <c r="O110" s="116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5"/>
      <c r="O111" s="116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5"/>
      <c r="O112" s="116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5"/>
      <c r="O113" s="116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5"/>
      <c r="O114" s="116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5"/>
      <c r="O115" s="116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5"/>
      <c r="O116" s="116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5"/>
      <c r="O117" s="116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5"/>
      <c r="O118" s="116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5"/>
      <c r="O119" s="116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5"/>
      <c r="O120" s="116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5"/>
      <c r="O121" s="116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5"/>
      <c r="O122" s="116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5"/>
      <c r="O123" s="116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5"/>
      <c r="O124" s="116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5"/>
      <c r="O125" s="116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5"/>
      <c r="O126" s="116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5"/>
      <c r="O127" s="116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5"/>
      <c r="O128" s="116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5"/>
      <c r="O129" s="116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5"/>
      <c r="O130" s="116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5"/>
      <c r="O131" s="116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5"/>
      <c r="O132" s="116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5"/>
      <c r="O133" s="116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5"/>
      <c r="O134" s="116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5"/>
      <c r="O135" s="116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5"/>
      <c r="O136" s="116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5"/>
      <c r="O137" s="116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5"/>
      <c r="O138" s="116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5"/>
      <c r="O139" s="116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5"/>
      <c r="O140" s="116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5"/>
      <c r="O141" s="116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5"/>
      <c r="O142" s="116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5"/>
      <c r="O143" s="116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5"/>
      <c r="O144" s="116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5"/>
      <c r="O145" s="116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5"/>
      <c r="O146" s="116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5"/>
      <c r="O147" s="116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5"/>
      <c r="O148" s="116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5"/>
      <c r="O149" s="116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5"/>
      <c r="O150" s="116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5"/>
      <c r="O151" s="116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5"/>
      <c r="O152" s="116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5"/>
      <c r="O153" s="116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5"/>
      <c r="O154" s="116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5"/>
      <c r="O155" s="116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5"/>
      <c r="O156" s="116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5"/>
      <c r="O157" s="116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5"/>
      <c r="O158" s="116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5"/>
      <c r="O159" s="116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5"/>
      <c r="O160" s="116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5"/>
      <c r="O161" s="116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5"/>
      <c r="O162" s="116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5"/>
      <c r="O163" s="116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5"/>
      <c r="O164" s="116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5"/>
      <c r="O165" s="116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5"/>
      <c r="O166" s="116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5"/>
      <c r="O167" s="116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5"/>
      <c r="O168" s="116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5"/>
      <c r="O169" s="116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5"/>
      <c r="O170" s="116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5"/>
      <c r="O171" s="116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5"/>
      <c r="O172" s="116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5"/>
      <c r="O173" s="116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5"/>
      <c r="O174" s="116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5"/>
      <c r="O175" s="116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5"/>
      <c r="O176" s="116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5"/>
      <c r="O177" s="116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5"/>
      <c r="O178" s="116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5"/>
      <c r="O179" s="116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5"/>
      <c r="O180" s="116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5"/>
      <c r="O181" s="116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5"/>
      <c r="O182" s="116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5"/>
      <c r="O183" s="116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5"/>
      <c r="O184" s="116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5"/>
      <c r="O185" s="116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5"/>
      <c r="O186" s="116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5"/>
      <c r="O187" s="116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5"/>
      <c r="O188" s="116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5"/>
      <c r="O189" s="116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5"/>
      <c r="O190" s="116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5"/>
      <c r="O191" s="116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5"/>
      <c r="O192" s="116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5"/>
      <c r="O193" s="116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5"/>
      <c r="O194" s="116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5"/>
      <c r="O195" s="116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5"/>
      <c r="O196" s="116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5"/>
      <c r="O197" s="116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5"/>
      <c r="O198" s="116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5"/>
      <c r="O199" s="116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5"/>
      <c r="O200" s="116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5"/>
      <c r="O201" s="117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N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8" t="s">
        <v>21</v>
      </c>
      <c r="B1" s="118"/>
      <c r="C1" s="118"/>
      <c r="D1" s="118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23" t="s">
        <v>69</v>
      </c>
      <c r="C2" s="123"/>
      <c r="D2" s="123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29" t="s">
        <v>70</v>
      </c>
      <c r="U2" s="116" t="s">
        <v>71</v>
      </c>
      <c r="W2" s="116" t="s">
        <v>72</v>
      </c>
      <c r="Y2" s="116" t="s">
        <v>73</v>
      </c>
      <c r="AA2" s="116" t="s">
        <v>74</v>
      </c>
    </row>
    <row r="3" spans="1:27" x14ac:dyDescent="0.3">
      <c r="A3" s="3" t="s">
        <v>75</v>
      </c>
      <c r="B3" s="124" t="s">
        <v>38</v>
      </c>
      <c r="C3" s="124"/>
      <c r="D3" s="124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29"/>
      <c r="U3" s="116"/>
      <c r="W3" s="116"/>
      <c r="Y3" s="116"/>
      <c r="AA3" s="116"/>
    </row>
    <row r="4" spans="1:27" ht="11.25" customHeight="1" x14ac:dyDescent="0.3">
      <c r="A4" s="3" t="s">
        <v>41</v>
      </c>
      <c r="B4" s="125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5"/>
      <c r="D4" s="125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9"/>
      <c r="U4" s="116"/>
      <c r="W4" s="116"/>
      <c r="Y4" s="116"/>
      <c r="AA4" s="116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29"/>
      <c r="U5" s="116"/>
      <c r="W5" s="116"/>
      <c r="Y5" s="116"/>
      <c r="AA5" s="116"/>
    </row>
    <row r="6" spans="1:27" x14ac:dyDescent="0.3">
      <c r="A6" s="3" t="s">
        <v>76</v>
      </c>
      <c r="B6" s="124" t="s">
        <v>77</v>
      </c>
      <c r="C6" s="124"/>
      <c r="D6" s="124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29"/>
      <c r="U6" s="116"/>
      <c r="W6" s="116"/>
      <c r="Y6" s="116"/>
      <c r="AA6" s="116"/>
    </row>
    <row r="7" spans="1:27" x14ac:dyDescent="0.3">
      <c r="A7" s="3" t="s">
        <v>78</v>
      </c>
      <c r="B7" s="124" t="s">
        <v>79</v>
      </c>
      <c r="C7" s="124"/>
      <c r="D7" s="124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29"/>
      <c r="U7" s="116"/>
      <c r="W7" s="116"/>
      <c r="Y7" s="116"/>
      <c r="AA7" s="116"/>
    </row>
    <row r="8" spans="1:27" x14ac:dyDescent="0.3">
      <c r="A8" s="3" t="s">
        <v>31</v>
      </c>
      <c r="B8" s="126">
        <v>0.95</v>
      </c>
      <c r="C8" s="126"/>
      <c r="D8" s="126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29"/>
      <c r="U8" s="116"/>
      <c r="W8" s="116"/>
      <c r="Y8" s="116"/>
      <c r="AA8" s="116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29"/>
      <c r="U9" s="116"/>
      <c r="W9" s="116"/>
      <c r="Y9" s="116"/>
      <c r="AA9" s="116"/>
    </row>
    <row r="10" spans="1:27" x14ac:dyDescent="0.3">
      <c r="A10" s="118" t="s">
        <v>46</v>
      </c>
      <c r="B10" s="118"/>
      <c r="C10" s="118"/>
      <c r="D10" s="118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29"/>
      <c r="U10" s="116"/>
      <c r="W10" s="116"/>
      <c r="Y10" s="116"/>
      <c r="AA10" s="116"/>
    </row>
    <row r="11" spans="1:27" x14ac:dyDescent="0.3">
      <c r="A11" s="3" t="str">
        <f>Subgroup_effect_size_measure</f>
        <v>Odds Ratio</v>
      </c>
      <c r="B11" s="127" t="e">
        <f>Calculations!EY9</f>
        <v>#DIV/0!</v>
      </c>
      <c r="C11" s="127"/>
      <c r="D11" s="127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29"/>
      <c r="U11" s="116"/>
      <c r="W11" s="116"/>
      <c r="Y11" s="116"/>
      <c r="AA11" s="116"/>
    </row>
    <row r="12" spans="1:27" x14ac:dyDescent="0.3">
      <c r="A12" s="3" t="s">
        <v>23</v>
      </c>
      <c r="B12" s="128" t="e">
        <f>Calculations!EY11</f>
        <v>#DIV/0!</v>
      </c>
      <c r="C12" s="128"/>
      <c r="D12" s="128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9"/>
      <c r="U12" s="116"/>
      <c r="W12" s="116"/>
      <c r="Y12" s="116"/>
      <c r="AA12" s="116"/>
    </row>
    <row r="13" spans="1:27" x14ac:dyDescent="0.3">
      <c r="A13" s="3" t="s">
        <v>24</v>
      </c>
      <c r="B13" s="128" t="e">
        <f>Calculations!EY12</f>
        <v>#DIV/0!</v>
      </c>
      <c r="C13" s="128"/>
      <c r="D13" s="128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29"/>
      <c r="U13" s="116"/>
      <c r="W13" s="116"/>
      <c r="Y13" s="116"/>
      <c r="AA13" s="116"/>
    </row>
    <row r="14" spans="1:27" x14ac:dyDescent="0.3">
      <c r="A14" s="3" t="s">
        <v>47</v>
      </c>
      <c r="B14" s="128" t="e">
        <f>Calculations!EY13</f>
        <v>#DIV/0!</v>
      </c>
      <c r="C14" s="128"/>
      <c r="D14" s="128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29"/>
      <c r="U14" s="116"/>
      <c r="W14" s="116"/>
      <c r="Y14" s="116"/>
      <c r="AA14" s="116"/>
    </row>
    <row r="15" spans="1:27" x14ac:dyDescent="0.3">
      <c r="A15" s="3" t="s">
        <v>48</v>
      </c>
      <c r="B15" s="128" t="e">
        <f>Calculations!EY14</f>
        <v>#DIV/0!</v>
      </c>
      <c r="C15" s="128"/>
      <c r="D15" s="128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29"/>
      <c r="U15" s="116"/>
      <c r="W15" s="116"/>
      <c r="Y15" s="116"/>
      <c r="AA15" s="116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29"/>
      <c r="U16" s="116"/>
      <c r="W16" s="116"/>
      <c r="Y16" s="116"/>
      <c r="AA16" s="116"/>
    </row>
    <row r="17" spans="1:27" x14ac:dyDescent="0.3">
      <c r="A17" s="3" t="s">
        <v>52</v>
      </c>
      <c r="B17" s="122">
        <f>SUMIF(Sufficient_data,"Yes",Number_of_subjects)</f>
        <v>14870</v>
      </c>
      <c r="C17" s="122"/>
      <c r="D17" s="122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29"/>
      <c r="U17" s="116"/>
      <c r="W17" s="116"/>
      <c r="Y17" s="116"/>
      <c r="AA17" s="116"/>
    </row>
    <row r="18" spans="1:27" x14ac:dyDescent="0.3">
      <c r="A18" s="3" t="s">
        <v>53</v>
      </c>
      <c r="B18" s="122">
        <f>COUNT(Subgroup_weightf)</f>
        <v>0</v>
      </c>
      <c r="C18" s="122"/>
      <c r="D18" s="122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29"/>
      <c r="U18" s="116"/>
      <c r="W18" s="116"/>
      <c r="Y18" s="116"/>
      <c r="AA18" s="116"/>
    </row>
    <row r="19" spans="1:27" x14ac:dyDescent="0.3">
      <c r="A19" s="3" t="s">
        <v>80</v>
      </c>
      <c r="B19" s="122">
        <f>COUNT(Calculations!DZ:DZ)</f>
        <v>0</v>
      </c>
      <c r="C19" s="122"/>
      <c r="D19" s="122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9"/>
      <c r="U19" s="116"/>
      <c r="W19" s="116"/>
      <c r="Y19" s="116"/>
      <c r="AA19" s="116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9"/>
      <c r="U20" s="116"/>
      <c r="W20" s="116"/>
      <c r="Y20" s="116"/>
      <c r="AA20" s="116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9"/>
      <c r="U21" s="116"/>
      <c r="W21" s="116"/>
      <c r="Y21" s="116"/>
      <c r="AA21" s="116"/>
    </row>
    <row r="22" spans="1:27" x14ac:dyDescent="0.3">
      <c r="A22" s="3" t="s">
        <v>84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9"/>
      <c r="U22" s="116"/>
      <c r="W22" s="116"/>
      <c r="Y22" s="116"/>
      <c r="AA22" s="116"/>
    </row>
    <row r="23" spans="1:27" x14ac:dyDescent="0.3">
      <c r="A23" s="3" t="s">
        <v>85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9"/>
      <c r="U23" s="116"/>
      <c r="W23" s="116"/>
      <c r="Y23" s="116"/>
      <c r="AA23" s="116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9"/>
      <c r="U24" s="116"/>
      <c r="W24" s="116"/>
      <c r="Y24" s="116"/>
      <c r="AA24" s="116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9"/>
      <c r="U25" s="116"/>
      <c r="W25" s="116"/>
      <c r="Y25" s="116"/>
      <c r="AA25" s="116"/>
    </row>
    <row r="26" spans="1:27" ht="13.5" x14ac:dyDescent="0.3">
      <c r="A26" s="3" t="s">
        <v>86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9"/>
      <c r="U26" s="116"/>
      <c r="W26" s="116"/>
      <c r="Y26" s="116"/>
      <c r="AA26" s="116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9"/>
      <c r="U27" s="116"/>
      <c r="W27" s="116"/>
      <c r="Y27" s="116"/>
      <c r="AA27" s="116"/>
    </row>
    <row r="28" spans="1:27" x14ac:dyDescent="0.3">
      <c r="A28" s="118" t="s">
        <v>58</v>
      </c>
      <c r="B28" s="118"/>
      <c r="C28" s="118"/>
      <c r="D28" s="118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9"/>
      <c r="U28" s="116"/>
      <c r="W28" s="116"/>
      <c r="Y28" s="116"/>
      <c r="AA28" s="116"/>
    </row>
    <row r="29" spans="1:27" x14ac:dyDescent="0.3">
      <c r="A29" s="120" t="s">
        <v>69</v>
      </c>
      <c r="B29" s="120"/>
      <c r="C29" s="120"/>
      <c r="D29" s="120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9"/>
      <c r="U29" s="116"/>
      <c r="W29" s="116"/>
      <c r="Y29" s="116"/>
      <c r="AA29" s="116"/>
    </row>
    <row r="30" spans="1:27" x14ac:dyDescent="0.3">
      <c r="A30" s="121" t="s">
        <v>59</v>
      </c>
      <c r="B30" s="121"/>
      <c r="C30" s="121"/>
      <c r="D30" s="121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9"/>
      <c r="U30" s="116"/>
      <c r="W30" s="116"/>
      <c r="Y30" s="116"/>
      <c r="AA30" s="116"/>
    </row>
    <row r="31" spans="1:27" x14ac:dyDescent="0.3">
      <c r="A31" s="121" t="s">
        <v>60</v>
      </c>
      <c r="B31" s="121"/>
      <c r="C31" s="121"/>
      <c r="D31" s="121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9"/>
      <c r="U31" s="116"/>
      <c r="W31" s="116"/>
      <c r="Y31" s="116"/>
      <c r="AA31" s="116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9"/>
      <c r="U32" s="116"/>
      <c r="W32" s="116"/>
      <c r="Y32" s="116"/>
      <c r="AA32" s="116"/>
    </row>
    <row r="33" spans="1:27" x14ac:dyDescent="0.3">
      <c r="A33" s="118" t="s">
        <v>87</v>
      </c>
      <c r="B33" s="118"/>
      <c r="C33" s="118"/>
      <c r="D33" s="118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9"/>
      <c r="U33" s="116"/>
      <c r="W33" s="116"/>
      <c r="Y33" s="116"/>
      <c r="AA33" s="116"/>
    </row>
    <row r="34" spans="1:27" x14ac:dyDescent="0.3">
      <c r="A34" s="120" t="str">
        <f>IF(Subgroup_weighting_method="Peto","Peto Odds Ratio","Odds Ratio")</f>
        <v>Odds Ratio</v>
      </c>
      <c r="B34" s="120"/>
      <c r="C34" s="120"/>
      <c r="D34" s="120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9"/>
      <c r="U34" s="116"/>
      <c r="W34" s="116"/>
      <c r="Y34" s="116"/>
      <c r="AA34" s="116"/>
    </row>
    <row r="35" spans="1:27" x14ac:dyDescent="0.3">
      <c r="A35" s="121" t="str">
        <f>IF(Subgroup_weighting_method="Inverse variance","Risk Ratio","")</f>
        <v>Risk Ratio</v>
      </c>
      <c r="B35" s="121"/>
      <c r="C35" s="121"/>
      <c r="D35" s="121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9"/>
      <c r="U35" s="116"/>
      <c r="W35" s="116"/>
      <c r="Y35" s="116"/>
      <c r="AA35" s="116"/>
    </row>
    <row r="36" spans="1:27" x14ac:dyDescent="0.3">
      <c r="A36" s="121" t="str">
        <f>IF(Subgroup_weighting_method="Inverse Variance","Risk Difference","")</f>
        <v>Risk Difference</v>
      </c>
      <c r="B36" s="121"/>
      <c r="C36" s="121"/>
      <c r="D36" s="121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9"/>
      <c r="U36" s="116"/>
      <c r="W36" s="116"/>
      <c r="Y36" s="116"/>
      <c r="AA36" s="116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9"/>
      <c r="U37" s="116"/>
      <c r="W37" s="116"/>
      <c r="Y37" s="116"/>
      <c r="AA37" s="116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9"/>
      <c r="U38" s="116"/>
      <c r="W38" s="116"/>
      <c r="Y38" s="116"/>
      <c r="AA38" s="116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9"/>
      <c r="U39" s="116"/>
      <c r="W39" s="116"/>
      <c r="Y39" s="116"/>
      <c r="AA39" s="116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9"/>
      <c r="U40" s="116"/>
      <c r="W40" s="116"/>
      <c r="Y40" s="116"/>
      <c r="AA40" s="116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9"/>
      <c r="U41" s="116"/>
      <c r="W41" s="116"/>
      <c r="Y41" s="116"/>
      <c r="AA41" s="116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9"/>
      <c r="U42" s="116"/>
      <c r="W42" s="116"/>
      <c r="Y42" s="116"/>
      <c r="AA42" s="116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9"/>
      <c r="U43" s="116"/>
      <c r="W43" s="116"/>
      <c r="Y43" s="116"/>
      <c r="AA43" s="116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9"/>
      <c r="U44" s="116"/>
      <c r="W44" s="116"/>
      <c r="Y44" s="116"/>
      <c r="AA44" s="116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9"/>
      <c r="U45" s="116"/>
      <c r="W45" s="116"/>
      <c r="Y45" s="116"/>
      <c r="AA45" s="116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9"/>
      <c r="U46" s="116"/>
      <c r="W46" s="116"/>
      <c r="Y46" s="116"/>
      <c r="AA46" s="116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9"/>
      <c r="U47" s="116"/>
      <c r="W47" s="116"/>
      <c r="Y47" s="116"/>
      <c r="AA47" s="116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9"/>
      <c r="U48" s="116"/>
      <c r="W48" s="116"/>
      <c r="Y48" s="116"/>
      <c r="AA48" s="116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9"/>
      <c r="U49" s="116"/>
      <c r="W49" s="116"/>
      <c r="Y49" s="116"/>
      <c r="AA49" s="116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9"/>
      <c r="U50" s="116"/>
      <c r="W50" s="116"/>
      <c r="Y50" s="116"/>
      <c r="AA50" s="116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9"/>
      <c r="U51" s="116"/>
      <c r="W51" s="116"/>
      <c r="Y51" s="116"/>
      <c r="AA51" s="116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9"/>
      <c r="U52" s="116"/>
      <c r="W52" s="116"/>
      <c r="Y52" s="116"/>
      <c r="AA52" s="116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9"/>
      <c r="U53" s="116"/>
      <c r="W53" s="116"/>
      <c r="Y53" s="116"/>
      <c r="AA53" s="116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9"/>
      <c r="U54" s="116"/>
      <c r="W54" s="116"/>
      <c r="Y54" s="116"/>
      <c r="AA54" s="116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9"/>
      <c r="U55" s="116"/>
      <c r="W55" s="116"/>
      <c r="Y55" s="116"/>
      <c r="AA55" s="116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9"/>
      <c r="U56" s="116"/>
      <c r="W56" s="116"/>
      <c r="Y56" s="116"/>
      <c r="AA56" s="116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9"/>
      <c r="U57" s="116"/>
      <c r="W57" s="116"/>
      <c r="Y57" s="116"/>
      <c r="AA57" s="116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9"/>
      <c r="U58" s="116"/>
      <c r="W58" s="116"/>
      <c r="Y58" s="116"/>
      <c r="AA58" s="116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9"/>
      <c r="U59" s="116"/>
      <c r="W59" s="116"/>
      <c r="Y59" s="116"/>
      <c r="AA59" s="116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9"/>
      <c r="U60" s="116"/>
      <c r="W60" s="116"/>
      <c r="Y60" s="116"/>
      <c r="AA60" s="116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9"/>
      <c r="U61" s="116"/>
      <c r="W61" s="116"/>
      <c r="Y61" s="116"/>
      <c r="AA61" s="116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9"/>
      <c r="U62" s="116"/>
      <c r="W62" s="116"/>
      <c r="Y62" s="116"/>
      <c r="AA62" s="116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9"/>
      <c r="U63" s="116"/>
      <c r="W63" s="116"/>
      <c r="Y63" s="116"/>
      <c r="AA63" s="116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9"/>
      <c r="U64" s="116"/>
      <c r="W64" s="116"/>
      <c r="Y64" s="116"/>
      <c r="AA64" s="116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9"/>
      <c r="U65" s="116"/>
      <c r="W65" s="116"/>
      <c r="Y65" s="116"/>
      <c r="AA65" s="116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9"/>
      <c r="U66" s="116"/>
      <c r="W66" s="116"/>
      <c r="Y66" s="116"/>
      <c r="AA66" s="116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9"/>
      <c r="U67" s="116"/>
      <c r="W67" s="116"/>
      <c r="Y67" s="116"/>
      <c r="AA67" s="116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9"/>
      <c r="U68" s="116"/>
      <c r="W68" s="116"/>
      <c r="Y68" s="116"/>
      <c r="AA68" s="116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9"/>
      <c r="U69" s="116"/>
      <c r="W69" s="116"/>
      <c r="Y69" s="116"/>
      <c r="AA69" s="116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9"/>
      <c r="U70" s="116"/>
      <c r="W70" s="116"/>
      <c r="Y70" s="116"/>
      <c r="AA70" s="116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9"/>
      <c r="U71" s="116"/>
      <c r="W71" s="116"/>
      <c r="Y71" s="116"/>
      <c r="AA71" s="116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9"/>
      <c r="U72" s="116"/>
      <c r="W72" s="116"/>
      <c r="Y72" s="116"/>
      <c r="AA72" s="116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9"/>
      <c r="U73" s="116"/>
      <c r="W73" s="116"/>
      <c r="Y73" s="116"/>
      <c r="AA73" s="116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9"/>
      <c r="U74" s="116"/>
      <c r="W74" s="116"/>
      <c r="Y74" s="116"/>
      <c r="AA74" s="116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9"/>
      <c r="U75" s="116"/>
      <c r="W75" s="116"/>
      <c r="Y75" s="116"/>
      <c r="AA75" s="116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9"/>
      <c r="U76" s="116"/>
      <c r="W76" s="116"/>
      <c r="Y76" s="116"/>
      <c r="AA76" s="116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9"/>
      <c r="U77" s="116"/>
      <c r="W77" s="116"/>
      <c r="Y77" s="116"/>
      <c r="AA77" s="116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9"/>
      <c r="U78" s="116"/>
      <c r="W78" s="116"/>
      <c r="Y78" s="116"/>
      <c r="AA78" s="116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9"/>
      <c r="U79" s="116"/>
      <c r="W79" s="116"/>
      <c r="Y79" s="116"/>
      <c r="AA79" s="116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9"/>
      <c r="U80" s="116"/>
      <c r="W80" s="116"/>
      <c r="Y80" s="116"/>
      <c r="AA80" s="116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9"/>
      <c r="U81" s="116"/>
      <c r="W81" s="116"/>
      <c r="Y81" s="116"/>
      <c r="AA81" s="116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9"/>
      <c r="U82" s="116"/>
      <c r="W82" s="116"/>
      <c r="Y82" s="116"/>
      <c r="AA82" s="116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9"/>
      <c r="U83" s="116"/>
      <c r="W83" s="116"/>
      <c r="Y83" s="116"/>
      <c r="AA83" s="116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9"/>
      <c r="U84" s="116"/>
      <c r="W84" s="116"/>
      <c r="Y84" s="116"/>
      <c r="AA84" s="116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9"/>
      <c r="U85" s="116"/>
      <c r="W85" s="116"/>
      <c r="Y85" s="116"/>
      <c r="AA85" s="116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9"/>
      <c r="U86" s="116"/>
      <c r="W86" s="116"/>
      <c r="Y86" s="116"/>
      <c r="AA86" s="116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9"/>
      <c r="U87" s="116"/>
      <c r="W87" s="116"/>
      <c r="Y87" s="116"/>
      <c r="AA87" s="116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9"/>
      <c r="U88" s="116"/>
      <c r="W88" s="116"/>
      <c r="Y88" s="116"/>
      <c r="AA88" s="116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9"/>
      <c r="U89" s="116"/>
      <c r="W89" s="116"/>
      <c r="Y89" s="116"/>
      <c r="AA89" s="116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9"/>
      <c r="U90" s="116"/>
      <c r="W90" s="116"/>
      <c r="Y90" s="116"/>
      <c r="AA90" s="116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9"/>
      <c r="U91" s="116"/>
      <c r="W91" s="116"/>
      <c r="Y91" s="116"/>
      <c r="AA91" s="116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9"/>
      <c r="U92" s="116"/>
      <c r="W92" s="116"/>
      <c r="Y92" s="116"/>
      <c r="AA92" s="116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9"/>
      <c r="U93" s="116"/>
      <c r="W93" s="116"/>
      <c r="Y93" s="116"/>
      <c r="AA93" s="116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9"/>
      <c r="U94" s="116"/>
      <c r="W94" s="116"/>
      <c r="Y94" s="116"/>
      <c r="AA94" s="116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9"/>
      <c r="U95" s="116"/>
      <c r="W95" s="116"/>
      <c r="Y95" s="116"/>
      <c r="AA95" s="116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9"/>
      <c r="U96" s="116"/>
      <c r="W96" s="116"/>
      <c r="Y96" s="116"/>
      <c r="AA96" s="116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9"/>
      <c r="U97" s="116"/>
      <c r="W97" s="116"/>
      <c r="Y97" s="116"/>
      <c r="AA97" s="116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9"/>
      <c r="U98" s="116"/>
      <c r="W98" s="116"/>
      <c r="Y98" s="116"/>
      <c r="AA98" s="116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9"/>
      <c r="U99" s="116"/>
      <c r="W99" s="116"/>
      <c r="Y99" s="116"/>
      <c r="AA99" s="116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9"/>
      <c r="U100" s="116"/>
      <c r="W100" s="116"/>
      <c r="Y100" s="116"/>
      <c r="AA100" s="116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9"/>
      <c r="U101" s="116"/>
      <c r="W101" s="116"/>
      <c r="Y101" s="116"/>
      <c r="AA101" s="116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9"/>
      <c r="U102" s="116"/>
      <c r="W102" s="116"/>
      <c r="Y102" s="116"/>
      <c r="AA102" s="116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9"/>
      <c r="U103" s="116"/>
      <c r="W103" s="116"/>
      <c r="Y103" s="116"/>
      <c r="AA103" s="116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9"/>
      <c r="U104" s="116"/>
      <c r="W104" s="116"/>
      <c r="Y104" s="116"/>
      <c r="AA104" s="116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9"/>
      <c r="U105" s="116"/>
      <c r="W105" s="116"/>
      <c r="Y105" s="116"/>
      <c r="AA105" s="116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9"/>
      <c r="U106" s="116"/>
      <c r="W106" s="116"/>
      <c r="Y106" s="116"/>
      <c r="AA106" s="116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9"/>
      <c r="U107" s="116"/>
      <c r="W107" s="116"/>
      <c r="Y107" s="116"/>
      <c r="AA107" s="116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9"/>
      <c r="U108" s="116"/>
      <c r="W108" s="116"/>
      <c r="Y108" s="116"/>
      <c r="AA108" s="116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9"/>
      <c r="U109" s="116"/>
      <c r="W109" s="116"/>
      <c r="Y109" s="116"/>
      <c r="AA109" s="116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9"/>
      <c r="U110" s="116"/>
      <c r="W110" s="116"/>
      <c r="Y110" s="116"/>
      <c r="AA110" s="116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9"/>
      <c r="U111" s="116"/>
      <c r="W111" s="116"/>
      <c r="Y111" s="116"/>
      <c r="AA111" s="116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9"/>
      <c r="U112" s="116"/>
      <c r="W112" s="116"/>
      <c r="Y112" s="116"/>
      <c r="AA112" s="116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9"/>
      <c r="U113" s="116"/>
      <c r="W113" s="116"/>
      <c r="Y113" s="116"/>
      <c r="AA113" s="116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9"/>
      <c r="U114" s="116"/>
      <c r="W114" s="116"/>
      <c r="Y114" s="116"/>
      <c r="AA114" s="116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9"/>
      <c r="U115" s="116"/>
      <c r="W115" s="116"/>
      <c r="Y115" s="116"/>
      <c r="AA115" s="116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9"/>
      <c r="U116" s="116"/>
      <c r="W116" s="116"/>
      <c r="Y116" s="116"/>
      <c r="AA116" s="116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9"/>
      <c r="U117" s="116"/>
      <c r="W117" s="116"/>
      <c r="Y117" s="116"/>
      <c r="AA117" s="116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9"/>
      <c r="U118" s="116"/>
      <c r="W118" s="116"/>
      <c r="Y118" s="116"/>
      <c r="AA118" s="116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9"/>
      <c r="U119" s="116"/>
      <c r="W119" s="116"/>
      <c r="Y119" s="116"/>
      <c r="AA119" s="116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9"/>
      <c r="U120" s="116"/>
      <c r="W120" s="116"/>
      <c r="Y120" s="116"/>
      <c r="AA120" s="116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9"/>
      <c r="U121" s="116"/>
      <c r="W121" s="116"/>
      <c r="Y121" s="116"/>
      <c r="AA121" s="116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9"/>
      <c r="U122" s="116"/>
      <c r="W122" s="116"/>
      <c r="Y122" s="116"/>
      <c r="AA122" s="116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9"/>
      <c r="U123" s="116"/>
      <c r="W123" s="116"/>
      <c r="Y123" s="116"/>
      <c r="AA123" s="116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9"/>
      <c r="U124" s="116"/>
      <c r="W124" s="116"/>
      <c r="Y124" s="116"/>
      <c r="AA124" s="116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9"/>
      <c r="U125" s="116"/>
      <c r="W125" s="116"/>
      <c r="Y125" s="116"/>
      <c r="AA125" s="116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9"/>
      <c r="U126" s="116"/>
      <c r="W126" s="116"/>
      <c r="Y126" s="116"/>
      <c r="AA126" s="116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9"/>
      <c r="U127" s="116"/>
      <c r="W127" s="116"/>
      <c r="Y127" s="116"/>
      <c r="AA127" s="116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9"/>
      <c r="U128" s="116"/>
      <c r="W128" s="116"/>
      <c r="Y128" s="116"/>
      <c r="AA128" s="116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9"/>
      <c r="U129" s="116"/>
      <c r="W129" s="116"/>
      <c r="Y129" s="116"/>
      <c r="AA129" s="116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9"/>
      <c r="U130" s="116"/>
      <c r="W130" s="116"/>
      <c r="Y130" s="116"/>
      <c r="AA130" s="116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9"/>
      <c r="U131" s="116"/>
      <c r="W131" s="116"/>
      <c r="Y131" s="116"/>
      <c r="AA131" s="116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9"/>
      <c r="U132" s="116"/>
      <c r="W132" s="116"/>
      <c r="Y132" s="116"/>
      <c r="AA132" s="116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9"/>
      <c r="U133" s="116"/>
      <c r="W133" s="116"/>
      <c r="Y133" s="116"/>
      <c r="AA133" s="116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9"/>
      <c r="U134" s="116"/>
      <c r="W134" s="116"/>
      <c r="Y134" s="116"/>
      <c r="AA134" s="116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9"/>
      <c r="U135" s="116"/>
      <c r="W135" s="116"/>
      <c r="Y135" s="116"/>
      <c r="AA135" s="116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9"/>
      <c r="U136" s="116"/>
      <c r="W136" s="116"/>
      <c r="Y136" s="116"/>
      <c r="AA136" s="116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9"/>
      <c r="U137" s="116"/>
      <c r="W137" s="116"/>
      <c r="Y137" s="116"/>
      <c r="AA137" s="116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9"/>
      <c r="U138" s="116"/>
      <c r="W138" s="116"/>
      <c r="Y138" s="116"/>
      <c r="AA138" s="116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9"/>
      <c r="U139" s="116"/>
      <c r="W139" s="116"/>
      <c r="Y139" s="116"/>
      <c r="AA139" s="116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9"/>
      <c r="U140" s="116"/>
      <c r="W140" s="116"/>
      <c r="Y140" s="116"/>
      <c r="AA140" s="116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9"/>
      <c r="U141" s="116"/>
      <c r="W141" s="116"/>
      <c r="Y141" s="116"/>
      <c r="AA141" s="116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9"/>
      <c r="U142" s="116"/>
      <c r="W142" s="116"/>
      <c r="Y142" s="116"/>
      <c r="AA142" s="116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9"/>
      <c r="U143" s="116"/>
      <c r="W143" s="116"/>
      <c r="Y143" s="116"/>
      <c r="AA143" s="116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9"/>
      <c r="U144" s="116"/>
      <c r="W144" s="116"/>
      <c r="Y144" s="116"/>
      <c r="AA144" s="116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9"/>
      <c r="U145" s="116"/>
      <c r="W145" s="116"/>
      <c r="Y145" s="116"/>
      <c r="AA145" s="116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9"/>
      <c r="U146" s="116"/>
      <c r="W146" s="116"/>
      <c r="Y146" s="116"/>
      <c r="AA146" s="116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9"/>
      <c r="U147" s="116"/>
      <c r="W147" s="116"/>
      <c r="Y147" s="116"/>
      <c r="AA147" s="116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9"/>
      <c r="U148" s="116"/>
      <c r="W148" s="116"/>
      <c r="Y148" s="116"/>
      <c r="AA148" s="116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9"/>
      <c r="U149" s="116"/>
      <c r="W149" s="116"/>
      <c r="Y149" s="116"/>
      <c r="AA149" s="116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9"/>
      <c r="U150" s="116"/>
      <c r="W150" s="116"/>
      <c r="Y150" s="116"/>
      <c r="AA150" s="116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9"/>
      <c r="U151" s="116"/>
      <c r="W151" s="116"/>
      <c r="Y151" s="116"/>
      <c r="AA151" s="116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9"/>
      <c r="U152" s="116"/>
      <c r="W152" s="116"/>
      <c r="Y152" s="116"/>
      <c r="AA152" s="116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9"/>
      <c r="U153" s="116"/>
      <c r="W153" s="116"/>
      <c r="Y153" s="116"/>
      <c r="AA153" s="116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9"/>
      <c r="U154" s="116"/>
      <c r="W154" s="116"/>
      <c r="Y154" s="116"/>
      <c r="AA154" s="116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9"/>
      <c r="U155" s="116"/>
      <c r="W155" s="116"/>
      <c r="Y155" s="116"/>
      <c r="AA155" s="116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9"/>
      <c r="U156" s="116"/>
      <c r="W156" s="116"/>
      <c r="Y156" s="116"/>
      <c r="AA156" s="116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9"/>
      <c r="U157" s="116"/>
      <c r="W157" s="116"/>
      <c r="Y157" s="116"/>
      <c r="AA157" s="116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9"/>
      <c r="U158" s="116"/>
      <c r="W158" s="116"/>
      <c r="Y158" s="116"/>
      <c r="AA158" s="116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9"/>
      <c r="U159" s="116"/>
      <c r="W159" s="116"/>
      <c r="Y159" s="116"/>
      <c r="AA159" s="116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9"/>
      <c r="U160" s="116"/>
      <c r="W160" s="116"/>
      <c r="Y160" s="116"/>
      <c r="AA160" s="116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9"/>
      <c r="U161" s="116"/>
      <c r="W161" s="116"/>
      <c r="Y161" s="116"/>
      <c r="AA161" s="116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9"/>
      <c r="U162" s="116"/>
      <c r="W162" s="116"/>
      <c r="Y162" s="116"/>
      <c r="AA162" s="116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9"/>
      <c r="U163" s="116"/>
      <c r="W163" s="116"/>
      <c r="Y163" s="116"/>
      <c r="AA163" s="116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9"/>
      <c r="U164" s="116"/>
      <c r="W164" s="116"/>
      <c r="Y164" s="116"/>
      <c r="AA164" s="116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9"/>
      <c r="U165" s="116"/>
      <c r="W165" s="116"/>
      <c r="Y165" s="116"/>
      <c r="AA165" s="116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9"/>
      <c r="U166" s="116"/>
      <c r="W166" s="116"/>
      <c r="Y166" s="116"/>
      <c r="AA166" s="116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9"/>
      <c r="U167" s="116"/>
      <c r="W167" s="116"/>
      <c r="Y167" s="116"/>
      <c r="AA167" s="116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9"/>
      <c r="U168" s="116"/>
      <c r="W168" s="116"/>
      <c r="Y168" s="116"/>
      <c r="AA168" s="116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9"/>
      <c r="U169" s="116"/>
      <c r="W169" s="116"/>
      <c r="Y169" s="116"/>
      <c r="AA169" s="116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9"/>
      <c r="U170" s="116"/>
      <c r="W170" s="116"/>
      <c r="Y170" s="116"/>
      <c r="AA170" s="116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9"/>
      <c r="U171" s="116"/>
      <c r="W171" s="116"/>
      <c r="Y171" s="116"/>
      <c r="AA171" s="116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9"/>
      <c r="U172" s="116"/>
      <c r="W172" s="116"/>
      <c r="Y172" s="116"/>
      <c r="AA172" s="116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9"/>
      <c r="U173" s="116"/>
      <c r="W173" s="116"/>
      <c r="Y173" s="116"/>
      <c r="AA173" s="116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9"/>
      <c r="U174" s="116"/>
      <c r="W174" s="116"/>
      <c r="Y174" s="116"/>
      <c r="AA174" s="116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9"/>
      <c r="U175" s="116"/>
      <c r="W175" s="116"/>
      <c r="Y175" s="116"/>
      <c r="AA175" s="116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9"/>
      <c r="U176" s="116"/>
      <c r="W176" s="116"/>
      <c r="Y176" s="116"/>
      <c r="AA176" s="116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9"/>
      <c r="U177" s="116"/>
      <c r="W177" s="116"/>
      <c r="Y177" s="116"/>
      <c r="AA177" s="116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9"/>
      <c r="U178" s="116"/>
      <c r="W178" s="116"/>
      <c r="Y178" s="116"/>
      <c r="AA178" s="116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9"/>
      <c r="U179" s="116"/>
      <c r="W179" s="116"/>
      <c r="Y179" s="116"/>
      <c r="AA179" s="116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9"/>
      <c r="U180" s="116"/>
      <c r="W180" s="116"/>
      <c r="Y180" s="116"/>
      <c r="AA180" s="116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9"/>
      <c r="U181" s="116"/>
      <c r="W181" s="116"/>
      <c r="Y181" s="116"/>
      <c r="AA181" s="116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9"/>
      <c r="U182" s="116"/>
      <c r="W182" s="116"/>
      <c r="Y182" s="116"/>
      <c r="AA182" s="116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9"/>
      <c r="U183" s="116"/>
      <c r="W183" s="116"/>
      <c r="Y183" s="116"/>
      <c r="AA183" s="116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9"/>
      <c r="U184" s="116"/>
      <c r="W184" s="116"/>
      <c r="Y184" s="116"/>
      <c r="AA184" s="116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9"/>
      <c r="U185" s="116"/>
      <c r="W185" s="116"/>
      <c r="Y185" s="116"/>
      <c r="AA185" s="116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9"/>
      <c r="U186" s="116"/>
      <c r="W186" s="116"/>
      <c r="Y186" s="116"/>
      <c r="AA186" s="116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9"/>
      <c r="U187" s="116"/>
      <c r="W187" s="116"/>
      <c r="Y187" s="116"/>
      <c r="AA187" s="116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9"/>
      <c r="U188" s="116"/>
      <c r="W188" s="116"/>
      <c r="Y188" s="116"/>
      <c r="AA188" s="116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9"/>
      <c r="U189" s="116"/>
      <c r="W189" s="116"/>
      <c r="Y189" s="116"/>
      <c r="AA189" s="116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9"/>
      <c r="U190" s="116"/>
      <c r="W190" s="116"/>
      <c r="Y190" s="116"/>
      <c r="AA190" s="116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9"/>
      <c r="U191" s="116"/>
      <c r="W191" s="116"/>
      <c r="Y191" s="116"/>
      <c r="AA191" s="116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9"/>
      <c r="U192" s="116"/>
      <c r="W192" s="116"/>
      <c r="Y192" s="116"/>
      <c r="AA192" s="116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9"/>
      <c r="U193" s="116"/>
      <c r="W193" s="116"/>
      <c r="Y193" s="116"/>
      <c r="AA193" s="116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9"/>
      <c r="U194" s="116"/>
      <c r="W194" s="116"/>
      <c r="Y194" s="116"/>
      <c r="AA194" s="116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9"/>
      <c r="U195" s="116"/>
      <c r="W195" s="116"/>
      <c r="Y195" s="116"/>
      <c r="AA195" s="116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9"/>
      <c r="U196" s="116"/>
      <c r="W196" s="116"/>
      <c r="Y196" s="116"/>
      <c r="AA196" s="116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9"/>
      <c r="U197" s="116"/>
      <c r="W197" s="116"/>
      <c r="Y197" s="116"/>
      <c r="AA197" s="116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9"/>
      <c r="U198" s="116"/>
      <c r="W198" s="116"/>
      <c r="Y198" s="116"/>
      <c r="AA198" s="116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9"/>
      <c r="U199" s="116"/>
      <c r="W199" s="116"/>
      <c r="Y199" s="116"/>
      <c r="AA199" s="116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9"/>
      <c r="U200" s="116"/>
      <c r="W200" s="116"/>
      <c r="Y200" s="116"/>
      <c r="AA200" s="116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0"/>
      <c r="U201" s="117"/>
      <c r="W201" s="117"/>
      <c r="Y201" s="117"/>
      <c r="AA201" s="117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8" t="s">
        <v>21</v>
      </c>
      <c r="B1" s="118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8" t="s">
        <v>58</v>
      </c>
      <c r="B9" s="118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0" t="s">
        <v>69</v>
      </c>
      <c r="B10" s="120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1" t="s">
        <v>59</v>
      </c>
      <c r="B11" s="121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1" t="s">
        <v>60</v>
      </c>
      <c r="B12" s="121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8" t="s">
        <v>87</v>
      </c>
      <c r="B14" s="118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0" t="str">
        <f>IF(Moderator_weighting_method="Peto","Log Peto Odds Ratio","Log Odds Ratio")</f>
        <v>Log Odds Ratio</v>
      </c>
      <c r="B15" s="120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1" t="str">
        <f>IF(Moderator_weighting_method="Inverse variance","Log Risk Ratio","")</f>
        <v>Log Risk Ratio</v>
      </c>
      <c r="B16" s="121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1" t="str">
        <f>IF(Moderator_weighting_method="Inverse Variance","Risk Difference","")</f>
        <v>Risk Difference</v>
      </c>
      <c r="B17" s="121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Normal="100" workbookViewId="0">
      <pane ySplit="1" topLeftCell="A2" activePane="bottomLeft" state="frozen"/>
      <selection pane="bottomLeft" activeCell="D2" sqref="D2:F12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12.5546875" customWidth="1" outlineLevel="1"/>
    <col min="23" max="23" width="10.5546875" customWidth="1" outlineLevel="1"/>
    <col min="24" max="24" width="18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18" t="s">
        <v>104</v>
      </c>
      <c r="P1" s="118"/>
      <c r="Q1" s="118"/>
      <c r="R1" s="118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>Saffaryazdi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0.1725989664928114</v>
      </c>
      <c r="M2" s="116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16" t="s">
        <v>115</v>
      </c>
      <c r="V2" s="77" t="str">
        <f t="shared" ref="V2:V33" si="3">IF(AND(Include_study?="Yes",Sufficient_data="Yes"),Study_name,"")</f>
        <v>Saffaryazdi et al.</v>
      </c>
      <c r="W2" s="34">
        <f>IF(AND(Include_study?="Yes",Sufficient_data="Yes"),((E:E-I$29)*SQRT(Calculations!FU:FU))/SQRT(1-Calculations!FU:FU/SUM(Calculations!FU:FU)),"")</f>
        <v>-0.39562028118293091</v>
      </c>
      <c r="AE2" s="116" t="s">
        <v>116</v>
      </c>
      <c r="AG2" s="77" t="str">
        <f t="shared" ref="AG2:AG33" si="4">IF(AND(Include_study?="Yes",Sufficient_data="Yes"),Study_name,"")</f>
        <v>Saffaryazdi et al.</v>
      </c>
      <c r="AH2" s="74">
        <f t="shared" ref="AH2:AH65" si="5">IF(AND(Sufficient_data="Yes",Include_study?="Yes"),c_/(c_+d_),"")</f>
        <v>0.13928571428571429</v>
      </c>
      <c r="AI2" s="34">
        <f t="shared" ref="AI2:AI65" si="6">IF(AND(Sufficient_data="Yes",Include_study?="Yes"),a_/(a_+b_),"")</f>
        <v>0.13928571428571429</v>
      </c>
      <c r="AR2" s="116" t="s">
        <v>117</v>
      </c>
      <c r="AT2" s="77" t="str">
        <f t="shared" ref="AT2:AT33" si="7">IF(AND(Include_study?="Yes",Sufficient_data="Yes"),Study_name,"")</f>
        <v>Saffaryazdi et al.</v>
      </c>
      <c r="AU2" s="74">
        <f t="shared" ref="AU2:AU33" si="8">IF(AND(Include_study?="Yes",Sufficient_data="Yes"),IF(AND(Additional_valid_options="No",Additional_model="Random effects"),NA(),Inverse_standard_error),"")</f>
        <v>5.7937774502354804</v>
      </c>
      <c r="AV2" s="34">
        <f t="shared" ref="AV2:AV33" si="9">IF(AND(Include_study?="Yes",Sufficient_data="Yes"),IF(AND(Additional_valid_options="No",Additional_model="Random effects"),NA(),Z_score),"")</f>
        <v>0</v>
      </c>
      <c r="BC2" s="116" t="s">
        <v>118</v>
      </c>
      <c r="BE2" s="74" t="str">
        <f t="shared" ref="BE2:BE33" si="10">IF(AND(Include_study?="Yes",Sufficient_data="Yes"),Study_name,"")</f>
        <v>Saffaryazdi et al.</v>
      </c>
      <c r="BF2" s="74">
        <f>IF(AND(Include_study?="Yes",Sufficient_data="Yes"),NORMSINV(Calculations!IW2),"")</f>
        <v>-0.72152228398234353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0</v>
      </c>
      <c r="BP2" s="116" t="s">
        <v>119</v>
      </c>
      <c r="BR2" s="133" t="s">
        <v>120</v>
      </c>
      <c r="BS2" s="133"/>
      <c r="BT2" s="116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Saffaryazdi et al.</v>
      </c>
      <c r="E3" s="3">
        <f t="shared" si="1"/>
        <v>0.17918609782910852</v>
      </c>
      <c r="F3" s="3">
        <f t="shared" si="2"/>
        <v>0.18966236806757217</v>
      </c>
      <c r="M3" s="116"/>
      <c r="O3" s="3" t="s">
        <v>96</v>
      </c>
      <c r="P3" s="4">
        <f>IF(Additional_valid_options="Yes",INTERCEPT(Z_score,Inverse_standard_error),NA())</f>
        <v>4.1727882744974361</v>
      </c>
      <c r="Q3" s="4">
        <f>IF(Additional_valid_options="Yes",Q4*SQRT(1/k_*SUMPRODUCT(Inverse_standard_error,Inverse_standard_error)),NA())</f>
        <v>1.7266371897585366</v>
      </c>
      <c r="R3" s="4">
        <f>P3-ABS(TINV((1-Additional_confidence_level),k_-1))*Q3</f>
        <v>0.3256008687120433</v>
      </c>
      <c r="S3" s="4">
        <f>P3+ABS(TINV((1-Additional_confidence_level),k_-1))*Q3</f>
        <v>8.0199756802828297</v>
      </c>
      <c r="T3" s="116"/>
      <c r="V3" s="76" t="str">
        <f t="shared" si="3"/>
        <v>Saffaryazdi et al.</v>
      </c>
      <c r="W3" s="35">
        <f>IF(AND(Include_study?="Yes",Sufficient_data="Yes"),((E:E-I$29)*SQRT(Calculations!FU:FU))/SQRT(1-Calculations!FU:FU/SUM(Calculations!FU:FU)),"")</f>
        <v>0.6294359929507769</v>
      </c>
      <c r="AE3" s="116"/>
      <c r="AG3" s="76" t="str">
        <f t="shared" si="4"/>
        <v>Saffaryazdi et al.</v>
      </c>
      <c r="AH3" s="3">
        <f t="shared" si="5"/>
        <v>0.10357142857142858</v>
      </c>
      <c r="AI3" s="35">
        <f t="shared" si="6"/>
        <v>0.12142857142857143</v>
      </c>
      <c r="AR3" s="116"/>
      <c r="AT3" s="76" t="str">
        <f t="shared" si="7"/>
        <v>Saffaryazdi et al.</v>
      </c>
      <c r="AU3" s="3">
        <f t="shared" si="8"/>
        <v>5.2725272292483654</v>
      </c>
      <c r="AV3" s="35">
        <f t="shared" si="9"/>
        <v>0.9447635799067361</v>
      </c>
      <c r="BC3" s="116"/>
      <c r="BE3" s="76" t="str">
        <f t="shared" si="10"/>
        <v>Saffaryazdi et al.</v>
      </c>
      <c r="BF3" s="3">
        <f>IF(AND(Include_study?="Yes",Sufficient_data="Yes"),NORMSINV(Calculations!IW3),"")</f>
        <v>1.0491313979639678</v>
      </c>
      <c r="BG3" s="35">
        <f t="shared" si="11"/>
        <v>0.9447635799067361</v>
      </c>
      <c r="BP3" s="116"/>
      <c r="BR3" s="3" t="s">
        <v>122</v>
      </c>
      <c r="BS3" s="4">
        <f>SUM(Calculations!JH:JH)/SQRT(k_)</f>
        <v>1.2397838142946291</v>
      </c>
      <c r="BT3" s="116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Saffaryazdi et al.</v>
      </c>
      <c r="E4" s="3">
        <f t="shared" si="1"/>
        <v>-1.450802648957852E-2</v>
      </c>
      <c r="F4" s="3">
        <f t="shared" si="2"/>
        <v>0.17034287486687794</v>
      </c>
      <c r="M4" s="116"/>
      <c r="O4" s="3" t="s">
        <v>123</v>
      </c>
      <c r="P4" s="4">
        <f>IF(Additional_valid_options="Yes",SLOPE(Z_score,Inverse_standard_error),NA())</f>
        <v>-0.68592255940915148</v>
      </c>
      <c r="Q4" s="4">
        <f>IF(Additional_valid_options="Yes",SQRT(((1/(k_-2))*SUMPRODUCT(Calculations!HM:HM,Calculations!HM:HM))/SUMPRODUCT(Calculations!HL:HL,Calculations!HL:HL)),NA())</f>
        <v>0.31119662748233134</v>
      </c>
      <c r="R4" s="4">
        <f>P4-ABS(TINV((1-Additional_confidence_level),k_-1))*Q4</f>
        <v>-1.3793118557096335</v>
      </c>
      <c r="S4" s="4">
        <f>P4+ABS(TINV((1-Additional_confidence_level),k_-1))*Q4</f>
        <v>7.4667368913305943E-3</v>
      </c>
      <c r="T4" s="116"/>
      <c r="V4" s="76" t="str">
        <f t="shared" si="3"/>
        <v>Saffaryazdi et al.</v>
      </c>
      <c r="W4" s="35">
        <f>IF(AND(Include_study?="Yes",Sufficient_data="Yes"),((E:E-I$29)*SQRT(Calculations!FU:FU))/SQRT(1-Calculations!FU:FU/SUM(Calculations!FU:FU)),"")</f>
        <v>-0.49131449191537319</v>
      </c>
      <c r="AE4" s="116"/>
      <c r="AG4" s="76" t="str">
        <f t="shared" si="4"/>
        <v>Saffaryazdi et al.</v>
      </c>
      <c r="AH4" s="3">
        <f t="shared" si="5"/>
        <v>0.14464285714285716</v>
      </c>
      <c r="AI4" s="35">
        <f t="shared" si="6"/>
        <v>0.14285714285714285</v>
      </c>
      <c r="AR4" s="116"/>
      <c r="AT4" s="76" t="str">
        <f t="shared" si="7"/>
        <v>Saffaryazdi et al.</v>
      </c>
      <c r="AU4" s="3">
        <f t="shared" si="8"/>
        <v>5.8705126397655008</v>
      </c>
      <c r="AV4" s="35">
        <f t="shared" si="9"/>
        <v>-8.5169552885123415E-2</v>
      </c>
      <c r="BC4" s="116"/>
      <c r="BE4" s="76" t="str">
        <f t="shared" si="10"/>
        <v>Saffaryazdi et al.</v>
      </c>
      <c r="BF4" s="3">
        <f>IF(AND(Include_study?="Yes",Sufficient_data="Yes"),NORMSINV(Calculations!IW4),"")</f>
        <v>-1.0491313979639725</v>
      </c>
      <c r="BG4" s="35">
        <f t="shared" si="11"/>
        <v>-8.5169552885123415E-2</v>
      </c>
      <c r="BP4" s="116"/>
      <c r="BR4" s="3" t="s">
        <v>124</v>
      </c>
      <c r="BS4" s="7">
        <f>MAX(0,ROUNDUP(k_*(BS3/NORMSINV((1-Additional_confidence_level)))^2-k_,0))</f>
        <v>0</v>
      </c>
      <c r="BT4" s="116"/>
    </row>
    <row r="5" spans="1:72" x14ac:dyDescent="0.3">
      <c r="D5" s="44" t="str">
        <f t="shared" si="0"/>
        <v>Saffaryazdi et al.</v>
      </c>
      <c r="E5" s="3">
        <f t="shared" si="1"/>
        <v>0.17918609782910852</v>
      </c>
      <c r="F5" s="3">
        <f t="shared" si="2"/>
        <v>0.18966236806757217</v>
      </c>
      <c r="M5" s="116"/>
      <c r="T5" s="116"/>
      <c r="V5" s="76" t="str">
        <f t="shared" si="3"/>
        <v>Saffaryazdi et al.</v>
      </c>
      <c r="W5" s="35">
        <f>IF(AND(Include_study?="Yes",Sufficient_data="Yes"),((E:E-I$29)*SQRT(Calculations!FU:FU))/SQRT(1-Calculations!FU:FU/SUM(Calculations!FU:FU)),"")</f>
        <v>0.6294359929507769</v>
      </c>
      <c r="AE5" s="116"/>
      <c r="AG5" s="76" t="str">
        <f t="shared" si="4"/>
        <v>Saffaryazdi et al.</v>
      </c>
      <c r="AH5" s="3">
        <f t="shared" si="5"/>
        <v>0.10357142857142858</v>
      </c>
      <c r="AI5" s="35">
        <f t="shared" si="6"/>
        <v>0.12142857142857143</v>
      </c>
      <c r="AR5" s="116"/>
      <c r="AT5" s="76" t="str">
        <f t="shared" si="7"/>
        <v>Saffaryazdi et al.</v>
      </c>
      <c r="AU5" s="3">
        <f t="shared" si="8"/>
        <v>5.2725272292483654</v>
      </c>
      <c r="AV5" s="35">
        <f t="shared" si="9"/>
        <v>0.9447635799067361</v>
      </c>
      <c r="BC5" s="116"/>
      <c r="BE5" s="76" t="str">
        <f t="shared" si="10"/>
        <v>Saffaryazdi et al.</v>
      </c>
      <c r="BF5" s="3">
        <f>IF(AND(Include_study?="Yes",Sufficient_data="Yes"),NORMSINV(Calculations!IW5),"")</f>
        <v>1.5647264713617974</v>
      </c>
      <c r="BG5" s="35">
        <f t="shared" si="11"/>
        <v>0.9447635799067361</v>
      </c>
      <c r="BP5" s="116"/>
      <c r="BR5" s="3" t="s">
        <v>125</v>
      </c>
      <c r="BS5" s="4" t="b">
        <f>BS4&lt;5*k_+10</f>
        <v>1</v>
      </c>
      <c r="BT5" s="116"/>
    </row>
    <row r="6" spans="1:72" x14ac:dyDescent="0.3">
      <c r="A6" s="3" t="s">
        <v>26</v>
      </c>
      <c r="B6" s="5" t="s">
        <v>89</v>
      </c>
      <c r="D6" s="44" t="str">
        <f t="shared" si="0"/>
        <v>Saffaryazdi et al.</v>
      </c>
      <c r="E6" s="3">
        <f t="shared" si="1"/>
        <v>9.1385264295458929E-2</v>
      </c>
      <c r="F6" s="3">
        <f t="shared" si="2"/>
        <v>0.17461170680810242</v>
      </c>
      <c r="M6" s="116"/>
      <c r="O6" s="3" t="s">
        <v>126</v>
      </c>
      <c r="P6" s="4">
        <f>P3/Q3</f>
        <v>2.4167140029463767</v>
      </c>
      <c r="T6" s="116"/>
      <c r="V6" s="76" t="str">
        <f t="shared" si="3"/>
        <v>Saffaryazdi et al.</v>
      </c>
      <c r="W6" s="35">
        <f>IF(AND(Include_study?="Yes",Sufficient_data="Yes"),((E:E-I$29)*SQRT(Calculations!FU:FU))/SQRT(1-Calculations!FU:FU/SUM(Calculations!FU:FU)),"")</f>
        <v>0.16014406368490217</v>
      </c>
      <c r="AE6" s="116"/>
      <c r="AG6" s="76" t="str">
        <f t="shared" si="4"/>
        <v>Saffaryazdi et al.</v>
      </c>
      <c r="AH6" s="3">
        <f t="shared" si="5"/>
        <v>0.13035714285714287</v>
      </c>
      <c r="AI6" s="35">
        <f t="shared" si="6"/>
        <v>0.14107142857142857</v>
      </c>
      <c r="AR6" s="116"/>
      <c r="AT6" s="76" t="str">
        <f t="shared" si="7"/>
        <v>Saffaryazdi et al.</v>
      </c>
      <c r="AU6" s="3">
        <f t="shared" si="8"/>
        <v>5.7269928705238309</v>
      </c>
      <c r="AV6" s="35">
        <f t="shared" si="9"/>
        <v>0.52336275709102931</v>
      </c>
      <c r="BC6" s="116"/>
      <c r="BE6" s="76" t="str">
        <f t="shared" si="10"/>
        <v>Saffaryazdi et al.</v>
      </c>
      <c r="BF6" s="3">
        <f>IF(AND(Include_study?="Yes",Sufficient_data="Yes"),NORMSINV(Calculations!IW6),"")</f>
        <v>0.45785193101249527</v>
      </c>
      <c r="BG6" s="35">
        <f t="shared" si="11"/>
        <v>0.52336275709102931</v>
      </c>
      <c r="BP6" s="116"/>
      <c r="BT6" s="116"/>
    </row>
    <row r="7" spans="1:72" x14ac:dyDescent="0.3">
      <c r="A7" s="3" t="s">
        <v>31</v>
      </c>
      <c r="B7" s="29">
        <v>0.95</v>
      </c>
      <c r="D7" s="44" t="str">
        <f t="shared" si="0"/>
        <v>Saffaryazdi et al.</v>
      </c>
      <c r="E7" s="3">
        <f t="shared" si="1"/>
        <v>0.14129252488388958</v>
      </c>
      <c r="F7" s="3">
        <f t="shared" si="2"/>
        <v>0.18816234837185439</v>
      </c>
      <c r="M7" s="116"/>
      <c r="O7" s="3" t="s">
        <v>95</v>
      </c>
      <c r="P7" s="26">
        <f>TDIST(ABS(P6),k_-2,2)</f>
        <v>3.8819260457424745E-2</v>
      </c>
      <c r="T7" s="116"/>
      <c r="V7" s="76" t="str">
        <f t="shared" si="3"/>
        <v>Saffaryazdi et al.</v>
      </c>
      <c r="W7" s="35">
        <f>IF(AND(Include_study?="Yes",Sufficient_data="Yes"),((E:E-I$29)*SQRT(Calculations!FU:FU))/SQRT(1-Calculations!FU:FU/SUM(Calculations!FU:FU)),"")</f>
        <v>0.42455732232526966</v>
      </c>
      <c r="AE7" s="116"/>
      <c r="AG7" s="76" t="str">
        <f t="shared" si="4"/>
        <v>Saffaryazdi et al.</v>
      </c>
      <c r="AH7" s="3">
        <f t="shared" si="5"/>
        <v>0.10714285714285714</v>
      </c>
      <c r="AI7" s="35">
        <f t="shared" si="6"/>
        <v>0.12142857142857143</v>
      </c>
      <c r="AR7" s="116"/>
      <c r="AT7" s="76" t="str">
        <f t="shared" si="7"/>
        <v>Saffaryazdi et al.</v>
      </c>
      <c r="AU7" s="3">
        <f t="shared" si="8"/>
        <v>5.3145595208227192</v>
      </c>
      <c r="AV7" s="35">
        <f t="shared" si="9"/>
        <v>0.75090753334275628</v>
      </c>
      <c r="BC7" s="116"/>
      <c r="BE7" s="76" t="str">
        <f t="shared" si="10"/>
        <v>Saffaryazdi et al.</v>
      </c>
      <c r="BF7" s="3">
        <f>IF(AND(Include_study?="Yes",Sufficient_data="Yes"),NORMSINV(Calculations!IW7),"")</f>
        <v>0.72152228398234308</v>
      </c>
      <c r="BG7" s="35">
        <f t="shared" si="11"/>
        <v>0.75090753334275628</v>
      </c>
      <c r="BP7" s="116"/>
      <c r="BR7" s="118" t="s">
        <v>127</v>
      </c>
      <c r="BS7" s="118"/>
      <c r="BT7" s="116"/>
    </row>
    <row r="8" spans="1:72" x14ac:dyDescent="0.3">
      <c r="D8" s="44" t="str">
        <f t="shared" si="0"/>
        <v>Saffaryazdi et al.</v>
      </c>
      <c r="E8" s="3">
        <f t="shared" si="1"/>
        <v>-4.3983844622532131E-2</v>
      </c>
      <c r="F8" s="3">
        <f t="shared" si="2"/>
        <v>0.17125584165736601</v>
      </c>
      <c r="M8" s="116"/>
      <c r="T8" s="116"/>
      <c r="V8" s="76" t="str">
        <f t="shared" si="3"/>
        <v>Saffaryazdi et al.</v>
      </c>
      <c r="W8" s="35">
        <f>IF(AND(Include_study?="Yes",Sufficient_data="Yes"),((E:E-I$29)*SQRT(Calculations!FU:FU))/SQRT(1-Calculations!FU:FU/SUM(Calculations!FU:FU)),"")</f>
        <v>-0.66989656707793244</v>
      </c>
      <c r="AE8" s="116"/>
      <c r="AG8" s="76" t="str">
        <f t="shared" si="4"/>
        <v>Saffaryazdi et al.</v>
      </c>
      <c r="AH8" s="3">
        <f t="shared" si="5"/>
        <v>0.14464285714285716</v>
      </c>
      <c r="AI8" s="35">
        <f t="shared" si="6"/>
        <v>0.13928571428571429</v>
      </c>
      <c r="AR8" s="116"/>
      <c r="AT8" s="76" t="str">
        <f t="shared" si="7"/>
        <v>Saffaryazdi et al.</v>
      </c>
      <c r="AU8" s="3">
        <f t="shared" si="8"/>
        <v>5.8392168717999944</v>
      </c>
      <c r="AV8" s="35">
        <f t="shared" si="9"/>
        <v>-0.25683120760651906</v>
      </c>
      <c r="BC8" s="116"/>
      <c r="BE8" s="76" t="str">
        <f t="shared" si="10"/>
        <v>Saffaryazdi et al.</v>
      </c>
      <c r="BF8" s="3">
        <f>IF(AND(Include_study?="Yes",Sufficient_data="Yes"),NORMSINV(Calculations!IW8),"")</f>
        <v>-1.5647264713617985</v>
      </c>
      <c r="BG8" s="35">
        <f t="shared" si="11"/>
        <v>-0.25683120760651906</v>
      </c>
      <c r="BP8" s="116"/>
      <c r="BR8" s="3" t="s">
        <v>128</v>
      </c>
      <c r="BS8" s="7">
        <f>MAX(0,ROUNDUP((k_*(1-MAX(Calculations!JI:JI))-1)/MAX(Calculations!JI:JI),0))</f>
        <v>9</v>
      </c>
      <c r="BT8" s="116"/>
    </row>
    <row r="9" spans="1:72" x14ac:dyDescent="0.3">
      <c r="A9" s="118" t="s">
        <v>58</v>
      </c>
      <c r="B9" s="118"/>
      <c r="D9" s="44" t="str">
        <f t="shared" si="0"/>
        <v>Saffaryazdi et al.</v>
      </c>
      <c r="E9" s="3">
        <f t="shared" si="1"/>
        <v>8.5355220167994433E-2</v>
      </c>
      <c r="F9" s="3">
        <f t="shared" si="2"/>
        <v>0.18485275906311724</v>
      </c>
      <c r="M9" s="116"/>
      <c r="O9" s="118" t="s">
        <v>129</v>
      </c>
      <c r="P9" s="118"/>
      <c r="T9" s="116"/>
      <c r="V9" s="76" t="str">
        <f t="shared" si="3"/>
        <v>Saffaryazdi et al.</v>
      </c>
      <c r="W9" s="35">
        <f>IF(AND(Include_study?="Yes",Sufficient_data="Yes"),((E:E-I$29)*SQRT(Calculations!FU:FU))/SQRT(1-Calculations!FU:FU/SUM(Calculations!FU:FU)),"")</f>
        <v>0.11627667667568063</v>
      </c>
      <c r="AE9" s="116"/>
      <c r="AG9" s="76" t="str">
        <f t="shared" si="4"/>
        <v>Saffaryazdi et al.</v>
      </c>
      <c r="AH9" s="3">
        <f t="shared" si="5"/>
        <v>0.11428571428571428</v>
      </c>
      <c r="AI9" s="35">
        <f t="shared" si="6"/>
        <v>0.12321428571428572</v>
      </c>
      <c r="AR9" s="116"/>
      <c r="AT9" s="76" t="str">
        <f t="shared" si="7"/>
        <v>Saffaryazdi et al.</v>
      </c>
      <c r="AU9" s="3">
        <f t="shared" si="8"/>
        <v>5.4097109779062267</v>
      </c>
      <c r="AV9" s="35">
        <f t="shared" si="9"/>
        <v>0.46174707156440242</v>
      </c>
      <c r="BC9" s="116"/>
      <c r="BE9" s="76" t="str">
        <f t="shared" si="10"/>
        <v>Saffaryazdi et al.</v>
      </c>
      <c r="BF9" s="3">
        <f>IF(AND(Include_study?="Yes",Sufficient_data="Yes"),NORMSINV(Calculations!IW9),"")</f>
        <v>0.22300783094036683</v>
      </c>
      <c r="BG9" s="35">
        <f t="shared" si="11"/>
        <v>0.46174707156440242</v>
      </c>
      <c r="BP9" s="116"/>
      <c r="BT9" s="116"/>
    </row>
    <row r="10" spans="1:72" ht="13" x14ac:dyDescent="0.35">
      <c r="A10" s="120" t="s">
        <v>69</v>
      </c>
      <c r="B10" s="120"/>
      <c r="D10" s="44" t="str">
        <f t="shared" si="0"/>
        <v>Quan et al.</v>
      </c>
      <c r="E10" s="3">
        <f t="shared" si="1"/>
        <v>2.9591957523124511E-2</v>
      </c>
      <c r="F10" s="3">
        <f t="shared" si="2"/>
        <v>0.17203309999867294</v>
      </c>
      <c r="M10" s="116"/>
      <c r="O10" s="3" t="s">
        <v>130</v>
      </c>
      <c r="P10" s="4">
        <f>IF(Additional_valid_options="Yes",SUM(Calculations!HT:HT)/2-SUM(Calculations!HU:HU)/2,NA())</f>
        <v>36</v>
      </c>
      <c r="T10" s="116"/>
      <c r="V10" s="76" t="str">
        <f t="shared" si="3"/>
        <v>Quan et al.</v>
      </c>
      <c r="W10" s="35">
        <f>IF(AND(Include_study?="Yes",Sufficient_data="Yes"),((E:E-I$29)*SQRT(Calculations!FU:FU))/SQRT(1-Calculations!FU:FU/SUM(Calculations!FU:FU)),"")</f>
        <v>-0.21576976041972273</v>
      </c>
      <c r="AE10" s="116"/>
      <c r="AG10" s="76" t="str">
        <f t="shared" si="4"/>
        <v>Quan et al.</v>
      </c>
      <c r="AH10" s="3">
        <f t="shared" si="5"/>
        <v>7.309644670050762E-2</v>
      </c>
      <c r="AI10" s="35">
        <f t="shared" si="6"/>
        <v>7.5126903553299498E-2</v>
      </c>
      <c r="AR10" s="116"/>
      <c r="AT10" s="76" t="str">
        <f t="shared" si="7"/>
        <v>Quan et al.</v>
      </c>
      <c r="AU10" s="3">
        <f t="shared" si="8"/>
        <v>5.8128348556627412</v>
      </c>
      <c r="AV10" s="35">
        <f t="shared" si="9"/>
        <v>0.17201316213770945</v>
      </c>
      <c r="BC10" s="116"/>
      <c r="BE10" s="76" t="str">
        <f t="shared" si="10"/>
        <v>Quan et al.</v>
      </c>
      <c r="BF10" s="3">
        <f>IF(AND(Include_study?="Yes",Sufficient_data="Yes"),NORMSINV(Calculations!IW10),"")</f>
        <v>-0.45785193101249527</v>
      </c>
      <c r="BG10" s="35">
        <f t="shared" si="11"/>
        <v>0.17201316213770945</v>
      </c>
      <c r="BP10" s="116"/>
      <c r="BR10" s="118" t="s">
        <v>131</v>
      </c>
      <c r="BS10" s="118"/>
      <c r="BT10" s="116"/>
    </row>
    <row r="11" spans="1:72" x14ac:dyDescent="0.3">
      <c r="A11" s="121" t="s">
        <v>59</v>
      </c>
      <c r="B11" s="121"/>
      <c r="D11" s="44" t="str">
        <f t="shared" si="0"/>
        <v>Quan et al.</v>
      </c>
      <c r="E11" s="3">
        <f t="shared" si="1"/>
        <v>5.9194208438249261E-2</v>
      </c>
      <c r="F11" s="3">
        <f t="shared" si="2"/>
        <v>0.1720779863265719</v>
      </c>
      <c r="M11" s="116"/>
      <c r="O11" s="3" t="s">
        <v>132</v>
      </c>
      <c r="P11" s="4">
        <f>IF(Additional_valid_options="Yes",(SUM(Calculations!HT:HT)/2-SUM(Calculations!HU:HU)/2)/(1/2*k_*(k_-1)),NA())</f>
        <v>0.65454545454545454</v>
      </c>
      <c r="T11" s="116"/>
      <c r="V11" s="76" t="str">
        <f t="shared" si="3"/>
        <v>Quan et al.</v>
      </c>
      <c r="W11" s="35">
        <f>IF(AND(Include_study?="Yes",Sufficient_data="Yes"),((E:E-I$29)*SQRT(Calculations!FU:FU))/SQRT(1-Calculations!FU:FU/SUM(Calculations!FU:FU)),"")</f>
        <v>-3.4400920476269352E-2</v>
      </c>
      <c r="AE11" s="116"/>
      <c r="AG11" s="76" t="str">
        <f t="shared" si="4"/>
        <v>Quan et al.</v>
      </c>
      <c r="AH11" s="3">
        <f t="shared" si="5"/>
        <v>7.208121827411168E-2</v>
      </c>
      <c r="AI11" s="35">
        <f t="shared" si="6"/>
        <v>7.6142131979695438E-2</v>
      </c>
      <c r="AR11" s="116"/>
      <c r="AT11" s="76" t="str">
        <f t="shared" si="7"/>
        <v>Quan et al.</v>
      </c>
      <c r="AU11" s="3">
        <f t="shared" si="8"/>
        <v>5.811318584947796</v>
      </c>
      <c r="AV11" s="35">
        <f t="shared" si="9"/>
        <v>0.34399640361847161</v>
      </c>
      <c r="BC11" s="116"/>
      <c r="BE11" s="76" t="str">
        <f t="shared" si="10"/>
        <v>Quan et al.</v>
      </c>
      <c r="BF11" s="3">
        <f>IF(AND(Include_study?="Yes",Sufficient_data="Yes"),NORMSINV(Calculations!IW11),"")</f>
        <v>0</v>
      </c>
      <c r="BG11" s="35">
        <f t="shared" si="11"/>
        <v>0.34399640361847161</v>
      </c>
      <c r="BP11" s="116"/>
      <c r="BR11" s="3" t="s">
        <v>100</v>
      </c>
      <c r="BS11" s="4">
        <f>I29</f>
        <v>6.4810916531339302E-2</v>
      </c>
      <c r="BT11" s="116"/>
    </row>
    <row r="12" spans="1:72" ht="13" x14ac:dyDescent="0.35">
      <c r="A12" s="121" t="s">
        <v>60</v>
      </c>
      <c r="B12" s="121"/>
      <c r="D12" s="44" t="str">
        <f t="shared" si="0"/>
        <v>Quan et al.</v>
      </c>
      <c r="E12" s="3">
        <f t="shared" si="1"/>
        <v>6.507882343562521E-2</v>
      </c>
      <c r="F12" s="3">
        <f t="shared" si="2"/>
        <v>0.20835597553773649</v>
      </c>
      <c r="M12" s="116"/>
      <c r="O12" s="3" t="s">
        <v>133</v>
      </c>
      <c r="P12" s="4">
        <f>P10/SQRT((k_*(k_-1)*(2*k_+5)/18))</f>
        <v>2.8025961989814827</v>
      </c>
      <c r="T12" s="116"/>
      <c r="V12" s="76" t="str">
        <f t="shared" si="3"/>
        <v>Quan et al.</v>
      </c>
      <c r="W12" s="35">
        <f>IF(AND(Include_study?="Yes",Sufficient_data="Yes"),((E:E-I$29)*SQRT(Calculations!FU:FU))/SQRT(1-Calculations!FU:FU/SUM(Calculations!FU:FU)),"")</f>
        <v>1.3319122429363655E-3</v>
      </c>
      <c r="AE12" s="116"/>
      <c r="AG12" s="76" t="str">
        <f t="shared" si="4"/>
        <v>Quan et al.</v>
      </c>
      <c r="AH12" s="3">
        <f t="shared" si="5"/>
        <v>4.7715736040609136E-2</v>
      </c>
      <c r="AI12" s="35">
        <f t="shared" si="6"/>
        <v>5.0761421319796954E-2</v>
      </c>
      <c r="AR12" s="116"/>
      <c r="AT12" s="76" t="str">
        <f t="shared" si="7"/>
        <v>Quan et al.</v>
      </c>
      <c r="AU12" s="3">
        <f t="shared" si="8"/>
        <v>4.799478380301526</v>
      </c>
      <c r="AV12" s="35">
        <f t="shared" si="9"/>
        <v>0.31234440609474351</v>
      </c>
      <c r="BC12" s="116"/>
      <c r="BE12" s="76" t="str">
        <f t="shared" si="10"/>
        <v>Quan et al.</v>
      </c>
      <c r="BF12" s="3">
        <f>IF(AND(Include_study?="Yes",Sufficient_data="Yes"),NORMSINV(Calculations!IW12),"")</f>
        <v>-0.22300783094036683</v>
      </c>
      <c r="BG12" s="35">
        <f t="shared" si="11"/>
        <v>0.31234440609474351</v>
      </c>
      <c r="BP12" s="116"/>
      <c r="BR12" s="3" t="s">
        <v>134</v>
      </c>
      <c r="BS12" s="5">
        <v>0</v>
      </c>
      <c r="BT12" s="116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16"/>
      <c r="O13" s="3" t="s">
        <v>83</v>
      </c>
      <c r="P13" s="26">
        <f>2*(1-NORMSDIST(ABS(P12)))</f>
        <v>5.0693095567015956E-3</v>
      </c>
      <c r="T13" s="116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16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16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16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16"/>
      <c r="BR13" s="3" t="s">
        <v>135</v>
      </c>
      <c r="BS13" s="5">
        <v>-0.69</v>
      </c>
      <c r="BT13" s="116"/>
    </row>
    <row r="14" spans="1:72" x14ac:dyDescent="0.3">
      <c r="A14" s="118" t="s">
        <v>87</v>
      </c>
      <c r="B14" s="118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16"/>
      <c r="T14" s="116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16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16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16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16"/>
      <c r="BR14" s="3" t="s">
        <v>124</v>
      </c>
      <c r="BS14" s="7">
        <f>MAX(0,ROUNDUP(k_*(BS11-BS12)/(BS12-BS13),0))</f>
        <v>2</v>
      </c>
      <c r="BT14" s="116"/>
    </row>
    <row r="15" spans="1:72" x14ac:dyDescent="0.3">
      <c r="A15" s="120" t="str">
        <f>IF(Additional_weighting_method="Peto","Log Peto Odds Ratio","Log Odds Ratio")</f>
        <v>Log Odds Ratio</v>
      </c>
      <c r="B15" s="120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6"/>
      <c r="T15" s="116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6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6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6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6"/>
      <c r="BT15" s="116"/>
    </row>
    <row r="16" spans="1:72" x14ac:dyDescent="0.3">
      <c r="A16" s="121" t="str">
        <f>IF(Additional_weighting_method="Inverse variance","Log Risk Ratio","")</f>
        <v>Log Risk Ratio</v>
      </c>
      <c r="B16" s="121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6"/>
      <c r="T16" s="116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6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6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6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6"/>
      <c r="BR16" s="118" t="s">
        <v>136</v>
      </c>
      <c r="BS16" s="118"/>
      <c r="BT16" s="116"/>
    </row>
    <row r="17" spans="1:72" x14ac:dyDescent="0.3">
      <c r="A17" s="121" t="str">
        <f>IF(Additional_weighting_method="Inverse Variance","Risk Difference","")</f>
        <v>Risk Difference</v>
      </c>
      <c r="B17" s="121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6"/>
      <c r="T17" s="116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6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6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6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6"/>
      <c r="BR17" s="3" t="s">
        <v>124</v>
      </c>
      <c r="BS17" s="7">
        <f>MAX(0,ROUNDUP(-2*SUM(Calculations!JJ:JJ),0))</f>
        <v>26</v>
      </c>
      <c r="BT17" s="116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6"/>
      <c r="T18" s="116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6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6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6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6"/>
      <c r="BR18" s="3" t="s">
        <v>137</v>
      </c>
      <c r="BS18" s="26">
        <f>CHIDIST(BS17,k_*2)</f>
        <v>0.25168202739119883</v>
      </c>
      <c r="BT18" s="116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6"/>
      <c r="T19" s="116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6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6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6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6"/>
      <c r="BT19" s="116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6"/>
      <c r="T20" s="116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6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6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6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6"/>
      <c r="BT20" s="116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6"/>
      <c r="T21" s="116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6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6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6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6"/>
      <c r="BT21" s="116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6"/>
      <c r="T22" s="116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6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6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6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6"/>
      <c r="BT22" s="116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6"/>
      <c r="T23" s="116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6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6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6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6"/>
      <c r="BT23" s="116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6"/>
      <c r="T24" s="116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6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6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6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6"/>
      <c r="BT24" s="116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6"/>
      <c r="T25" s="116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6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6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6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6"/>
      <c r="BT25" s="116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6"/>
      <c r="T26" s="116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6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6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6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6"/>
      <c r="BT26" s="116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6"/>
      <c r="T27" s="116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6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6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6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6"/>
      <c r="BT27" s="116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18" t="s">
        <v>54</v>
      </c>
      <c r="L28" s="118"/>
      <c r="M28" s="116"/>
      <c r="T28" s="116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6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6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1" t="s">
        <v>139</v>
      </c>
      <c r="AY28" s="131"/>
      <c r="AZ28" s="131"/>
      <c r="BA28" s="131"/>
      <c r="BB28" s="134"/>
      <c r="BC28" s="116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1" t="s">
        <v>139</v>
      </c>
      <c r="BJ28" s="131"/>
      <c r="BK28" s="131"/>
      <c r="BL28" s="131"/>
      <c r="BM28" s="131"/>
      <c r="BP28" s="116"/>
      <c r="BT28" s="116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6.4810916531339302E-2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1.9663132929150502</v>
      </c>
      <c r="M29" s="116"/>
      <c r="T29" s="116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16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6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16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16"/>
      <c r="BT29" s="116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5.4342229008391051E-2</v>
      </c>
      <c r="K30" s="3" t="s">
        <v>56</v>
      </c>
      <c r="L30" s="26">
        <f>IF(Additional_valid_options="Yes",CHIDIST(L29,k_-1+IF(Trim_and_fill="On",L39,0)),"")</f>
        <v>0.99861081536324736</v>
      </c>
      <c r="M30" s="116"/>
      <c r="T30" s="116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6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6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16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0.37380888483372227</v>
      </c>
      <c r="BK30" s="4">
        <f>BK31*SQRT(1/k_*SUMPRODUCT(BF:BF,BF:BF))</f>
        <v>1.9951552062934232E-2</v>
      </c>
      <c r="BL30" s="4">
        <f>BJ30-ABS(TINV((1-Additional_confidence_level),k_-1))*BK30</f>
        <v>0.3293540565248716</v>
      </c>
      <c r="BM30" s="4">
        <f>BJ30+ABS(TINV((1-Additional_confidence_level),k_-1))*BK30</f>
        <v>0.41826371314257293</v>
      </c>
      <c r="BP30" s="116"/>
      <c r="BT30" s="116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-5.6271115225792354E-2</v>
      </c>
      <c r="K31" s="3" t="s">
        <v>57</v>
      </c>
      <c r="L31" s="8">
        <f>IF(Additional_valid_options="Yes",IF(L29-(k_-1+IF(Trim_and_fill="On",L39,0))&lt;=0,0,(L29-(k_-1+IF(Trim_and_fill="On",L39,0)))/L29),"")</f>
        <v>0</v>
      </c>
      <c r="M31" s="116"/>
      <c r="T31" s="116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-0.7</v>
      </c>
      <c r="Z31" s="4">
        <f t="array" ref="Z31:Z39">FREQUENCY(W:W,Calculations!HZ2:HZ10)/k_</f>
        <v>0</v>
      </c>
      <c r="AA31" s="4">
        <f>NORMSDIST(Calculations!HZ2)</f>
        <v>0.24196365222307298</v>
      </c>
      <c r="AE31" s="116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6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6.4810916531339302E-2</v>
      </c>
      <c r="AZ31" s="4">
        <f>I30</f>
        <v>5.4342229008391051E-2</v>
      </c>
      <c r="BA31" s="4">
        <f>AY31-ABS(TINV((1-Additional_confidence_level),k_-1))*AZ31</f>
        <v>-5.6271115225792354E-2</v>
      </c>
      <c r="BB31" s="4">
        <f>AY31+ABS(TINV((1-Additional_confidence_level),k_-1))*AZ31</f>
        <v>0.18589294828847097</v>
      </c>
      <c r="BC31" s="116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0.42696721593378428</v>
      </c>
      <c r="BK31" s="4">
        <f>SQRT(((1/(k_-2))*SUMPRODUCT(Calculations!JA:JA,Calculations!JA:JA))/SUMPRODUCT(Calculations!IZ:IZ,Calculations!IZ:IZ))</f>
        <v>2.2488691766814485E-2</v>
      </c>
      <c r="BL31" s="4">
        <f>BJ31-ABS(TINV((1-Additional_confidence_level),k_-1))*BK31</f>
        <v>0.37685928807780106</v>
      </c>
      <c r="BM31" s="4">
        <f>BJ31+ABS(TINV((1-Additional_confidence_level),k_-1))*BK31</f>
        <v>0.47707514378976751</v>
      </c>
      <c r="BP31" s="116"/>
      <c r="BT31" s="116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0.18589294828847097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16"/>
      <c r="T32" s="116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-0.7; -0.5</v>
      </c>
      <c r="Z32" s="4">
        <v>9.0909090909090912E-2</v>
      </c>
      <c r="AA32" s="4">
        <f>NORMSDIST(Calculations!HZ3)-(SUM(AA$31:AA31))</f>
        <v>6.6573886502913904E-2</v>
      </c>
      <c r="AE32" s="116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1" t="s">
        <v>100</v>
      </c>
      <c r="AL32" s="131"/>
      <c r="AM32" s="131"/>
      <c r="AR32" s="116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6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6"/>
      <c r="BT32" s="116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-5.6271115225792354E-2</v>
      </c>
      <c r="K33" s="3" t="s">
        <v>67</v>
      </c>
      <c r="L33" s="4">
        <f>IF(Additional_valid_options="Yes",SQRT(L32),"")</f>
        <v>0</v>
      </c>
      <c r="M33" s="116"/>
      <c r="T33" s="116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-0.5; -0.3</v>
      </c>
      <c r="Z33" s="4">
        <v>0.18181818181818182</v>
      </c>
      <c r="AA33" s="4">
        <f>NORMSDIST(Calculations!HZ4)-(SUM(AA$31:AA32))</f>
        <v>7.3551039085060443E-2</v>
      </c>
      <c r="AE33" s="116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2" t="s">
        <v>144</v>
      </c>
      <c r="AL33" s="132"/>
      <c r="AM33" s="132"/>
      <c r="AR33" s="116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6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16"/>
      <c r="BT33" s="116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0.18589294828847097</v>
      </c>
      <c r="M34" s="116"/>
      <c r="T34" s="116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-0.3; -0.1</v>
      </c>
      <c r="Z34" s="4">
        <v>9.0909090909090912E-2</v>
      </c>
      <c r="AA34" s="4">
        <f>NORMSDIST(Calculations!HZ5)-(SUM(AA$31:AA33))</f>
        <v>7.8083584911923687E-2</v>
      </c>
      <c r="AE34" s="116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1.0584965006733555</v>
      </c>
      <c r="AR34" s="116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6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6"/>
      <c r="BT34" s="116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6"/>
      <c r="T35" s="116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-0.1; 0.1</v>
      </c>
      <c r="Z35" s="4">
        <v>0.18181818181818182</v>
      </c>
      <c r="AA35" s="4">
        <f>NORMSDIST(Calculations!HZ6)-(SUM(AA$31:AA34))</f>
        <v>7.9655674554057976E-2</v>
      </c>
      <c r="AE35" s="116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6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6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6"/>
      <c r="BT35" s="116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16"/>
      <c r="T36" s="116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0.1; 0.3</v>
      </c>
      <c r="Z36" s="4">
        <v>0.18181818181818182</v>
      </c>
      <c r="AA36" s="4">
        <f>NORMSDIST(Calculations!HZ7)-(SUM(AA$31:AA35))</f>
        <v>7.8083584911923687E-2</v>
      </c>
      <c r="AE36" s="116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6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6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6"/>
      <c r="BT36" s="116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5.4581608697862861E-2</v>
      </c>
      <c r="K37" s="3" t="s">
        <v>151</v>
      </c>
      <c r="L37" s="5" t="s">
        <v>152</v>
      </c>
      <c r="M37" s="116"/>
      <c r="T37" s="116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0.3; 0.5</v>
      </c>
      <c r="Z37" s="4">
        <v>9.0909090909090912E-2</v>
      </c>
      <c r="AA37" s="4">
        <f>NORMSDIST(Calculations!HZ8)-(SUM(AA$31:AA36))</f>
        <v>7.3551039085060443E-2</v>
      </c>
      <c r="AE37" s="116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6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6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6"/>
      <c r="BT37" s="116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5.2240209570811019E-2</v>
      </c>
      <c r="K38" s="3" t="s">
        <v>153</v>
      </c>
      <c r="L38" s="91" t="str">
        <f>IF(Trim_and_fill="Off","",IF(I29&gt;0,"Left",IF(I29&lt;0,"Right","NA")))</f>
        <v>Left</v>
      </c>
      <c r="M38" s="116"/>
      <c r="T38" s="116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0.5; 0.7</v>
      </c>
      <c r="Z38" s="4">
        <v>0.18181818181818182</v>
      </c>
      <c r="AA38" s="4">
        <f>NORMSDIST(Calculations!HZ9)-(SUM(AA$31:AA37))</f>
        <v>6.6573886502913848E-2</v>
      </c>
      <c r="AE38" s="116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6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6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6"/>
      <c r="BT38" s="116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-6.0398317327569374E-2</v>
      </c>
      <c r="K39" s="3" t="s">
        <v>154</v>
      </c>
      <c r="L39" s="7">
        <f>IF(L38&lt;&gt;"",Calculations!GW21,"")</f>
        <v>1</v>
      </c>
      <c r="M39" s="116"/>
      <c r="T39" s="116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0.7; ∞</v>
      </c>
      <c r="Z39" s="4">
        <v>0</v>
      </c>
      <c r="AA39" s="4">
        <f>1-(SUM(AA31:AA38))</f>
        <v>0.24196365222307303</v>
      </c>
      <c r="AE39" s="116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6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6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6"/>
      <c r="BT39" s="116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0.1695615347232951</v>
      </c>
      <c r="M40" s="116"/>
      <c r="T40" s="116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6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6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6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6"/>
      <c r="BT40" s="116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-6.0398317327569374E-2</v>
      </c>
      <c r="M41" s="116"/>
      <c r="T41" s="116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16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6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6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6"/>
      <c r="BT41" s="116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0.1695615347232951</v>
      </c>
      <c r="M42" s="116"/>
      <c r="T42" s="116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6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6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6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6"/>
      <c r="BT42" s="116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6"/>
      <c r="T43" s="116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6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6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6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6"/>
      <c r="BT43" s="116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6"/>
      <c r="T44" s="116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6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6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6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6"/>
      <c r="BT44" s="116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6"/>
      <c r="T45" s="116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6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6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6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6"/>
      <c r="BT45" s="116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6"/>
      <c r="T46" s="116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6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6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6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6"/>
      <c r="BT46" s="116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6"/>
      <c r="T47" s="116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6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6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6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6"/>
      <c r="BT47" s="116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6"/>
      <c r="T48" s="116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6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6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6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6"/>
      <c r="BT48" s="116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6"/>
      <c r="T49" s="116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6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6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6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6"/>
      <c r="BT49" s="116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6"/>
      <c r="T50" s="116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6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6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6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6"/>
      <c r="BT50" s="116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6"/>
      <c r="T51" s="116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6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6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6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6"/>
      <c r="BT51" s="116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6"/>
      <c r="T52" s="116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6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6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6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6"/>
      <c r="BT52" s="116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6"/>
      <c r="T53" s="116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6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6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6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6"/>
      <c r="BT53" s="116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6"/>
      <c r="T54" s="116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6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6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6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6"/>
      <c r="BT54" s="116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6"/>
      <c r="T55" s="116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6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6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6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6"/>
      <c r="BT55" s="116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6"/>
      <c r="T56" s="116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6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6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6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6"/>
      <c r="BT56" s="116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6"/>
      <c r="T57" s="116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6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6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6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6"/>
      <c r="BT57" s="116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6"/>
      <c r="T58" s="116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6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6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6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6"/>
      <c r="BT58" s="116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6"/>
      <c r="T59" s="116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6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6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6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6"/>
      <c r="BT59" s="116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6"/>
      <c r="T60" s="116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6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6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6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6"/>
      <c r="BT60" s="116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6"/>
      <c r="T61" s="116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6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6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6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6"/>
      <c r="BT61" s="116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6"/>
      <c r="T62" s="116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6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6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6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6"/>
      <c r="BT62" s="116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6"/>
      <c r="T63" s="116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6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6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6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6"/>
      <c r="BT63" s="116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6"/>
      <c r="T64" s="116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6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6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6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6"/>
      <c r="BT64" s="116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6"/>
      <c r="T65" s="116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6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6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6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6"/>
      <c r="BT65" s="116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6"/>
      <c r="T66" s="116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6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6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6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6"/>
      <c r="BT66" s="116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6"/>
      <c r="T67" s="116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6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6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6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6"/>
      <c r="BT67" s="116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6"/>
      <c r="T68" s="116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6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6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6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6"/>
      <c r="BT68" s="116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6"/>
      <c r="T69" s="116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6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6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6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6"/>
      <c r="BT69" s="116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6"/>
      <c r="T70" s="116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6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6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6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6"/>
      <c r="BT70" s="116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6"/>
      <c r="T71" s="116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6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6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6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6"/>
      <c r="BT71" s="116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6"/>
      <c r="T72" s="116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6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6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6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6"/>
      <c r="BT72" s="116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6"/>
      <c r="T73" s="116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6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6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6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6"/>
      <c r="BT73" s="116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6"/>
      <c r="T74" s="116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6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6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6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6"/>
      <c r="BT74" s="116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6"/>
      <c r="T75" s="116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6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6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6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6"/>
      <c r="BT75" s="116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6"/>
      <c r="T76" s="116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6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6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6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6"/>
      <c r="BT76" s="116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6"/>
      <c r="T77" s="116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6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6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6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6"/>
      <c r="BT77" s="116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6"/>
      <c r="T78" s="116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6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6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6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6"/>
      <c r="BT78" s="116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6"/>
      <c r="T79" s="116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6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6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6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6"/>
      <c r="BT79" s="116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6"/>
      <c r="T80" s="116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6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6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6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6"/>
      <c r="BT80" s="116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6"/>
      <c r="T81" s="116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6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6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6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6"/>
      <c r="BT81" s="116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6"/>
      <c r="T82" s="116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6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6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6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6"/>
      <c r="BT82" s="116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6"/>
      <c r="T83" s="116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6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6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6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6"/>
      <c r="BT83" s="116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6"/>
      <c r="T84" s="116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6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6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6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6"/>
      <c r="BT84" s="116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6"/>
      <c r="T85" s="116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6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6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6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6"/>
      <c r="BT85" s="116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6"/>
      <c r="T86" s="116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6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6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6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6"/>
      <c r="BT86" s="116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6"/>
      <c r="T87" s="116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6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6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6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6"/>
      <c r="BT87" s="116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6"/>
      <c r="T88" s="116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6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6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6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6"/>
      <c r="BT88" s="116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6"/>
      <c r="T89" s="116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6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6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6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6"/>
      <c r="BT89" s="116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6"/>
      <c r="T90" s="116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6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6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6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6"/>
      <c r="BT90" s="116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6"/>
      <c r="T91" s="116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6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6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6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6"/>
      <c r="BT91" s="116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6"/>
      <c r="T92" s="116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6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6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6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6"/>
      <c r="BT92" s="116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6"/>
      <c r="T93" s="116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6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6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6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6"/>
      <c r="BT93" s="116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6"/>
      <c r="T94" s="116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6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6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6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6"/>
      <c r="BT94" s="116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6"/>
      <c r="T95" s="116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6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6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6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6"/>
      <c r="BT95" s="116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6"/>
      <c r="T96" s="116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6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6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6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6"/>
      <c r="BT96" s="116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6"/>
      <c r="T97" s="116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6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6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6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6"/>
      <c r="BT97" s="116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6"/>
      <c r="T98" s="116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6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6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6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6"/>
      <c r="BT98" s="116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6"/>
      <c r="T99" s="116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6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6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6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6"/>
      <c r="BT99" s="116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6"/>
      <c r="T100" s="116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6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6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6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6"/>
      <c r="BT100" s="116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6"/>
      <c r="T101" s="116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6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6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6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6"/>
      <c r="BT101" s="116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6"/>
      <c r="T102" s="116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6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6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6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6"/>
      <c r="BT102" s="116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6"/>
      <c r="T103" s="116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6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6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6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6"/>
      <c r="BT103" s="116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6"/>
      <c r="T104" s="116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6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6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6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6"/>
      <c r="BT104" s="116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6"/>
      <c r="T105" s="116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6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6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6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6"/>
      <c r="BT105" s="116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6"/>
      <c r="T106" s="116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6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6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6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6"/>
      <c r="BT106" s="116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6"/>
      <c r="T107" s="116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6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6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6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6"/>
      <c r="BT107" s="116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6"/>
      <c r="T108" s="116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6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6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6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6"/>
      <c r="BT108" s="116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6"/>
      <c r="T109" s="116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6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6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6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6"/>
      <c r="BT109" s="116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6"/>
      <c r="T110" s="116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6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6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6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6"/>
      <c r="BT110" s="116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6"/>
      <c r="T111" s="116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6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6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6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6"/>
      <c r="BT111" s="116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6"/>
      <c r="T112" s="116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6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6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6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6"/>
      <c r="BT112" s="116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6"/>
      <c r="T113" s="116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6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6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6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6"/>
      <c r="BT113" s="116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6"/>
      <c r="T114" s="116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6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6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6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6"/>
      <c r="BT114" s="116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6"/>
      <c r="T115" s="116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6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6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6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6"/>
      <c r="BT115" s="116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6"/>
      <c r="T116" s="116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6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6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6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6"/>
      <c r="BT116" s="116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6"/>
      <c r="T117" s="116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6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6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6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6"/>
      <c r="BT117" s="116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6"/>
      <c r="T118" s="116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6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6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6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6"/>
      <c r="BT118" s="116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6"/>
      <c r="T119" s="116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6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6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6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6"/>
      <c r="BT119" s="116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6"/>
      <c r="T120" s="116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6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6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6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6"/>
      <c r="BT120" s="116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6"/>
      <c r="T121" s="116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6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6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6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6"/>
      <c r="BT121" s="116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6"/>
      <c r="T122" s="116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6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6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6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6"/>
      <c r="BT122" s="116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6"/>
      <c r="T123" s="116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6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6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6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6"/>
      <c r="BT123" s="116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6"/>
      <c r="T124" s="116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6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6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6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6"/>
      <c r="BT124" s="116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6"/>
      <c r="T125" s="116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6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6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6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6"/>
      <c r="BT125" s="116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6"/>
      <c r="T126" s="116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6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6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6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6"/>
      <c r="BT126" s="116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6"/>
      <c r="T127" s="116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6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6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6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6"/>
      <c r="BT127" s="116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6"/>
      <c r="T128" s="116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6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6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6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6"/>
      <c r="BT128" s="116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6"/>
      <c r="T129" s="116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6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6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6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6"/>
      <c r="BT129" s="116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6"/>
      <c r="T130" s="116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6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6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6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6"/>
      <c r="BT130" s="116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6"/>
      <c r="T131" s="116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6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6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6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6"/>
      <c r="BT131" s="116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6"/>
      <c r="T132" s="116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6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6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6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6"/>
      <c r="BT132" s="116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6"/>
      <c r="T133" s="116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6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6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6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6"/>
      <c r="BT133" s="116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6"/>
      <c r="T134" s="116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6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6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6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6"/>
      <c r="BT134" s="116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6"/>
      <c r="T135" s="116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6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6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6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6"/>
      <c r="BT135" s="116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6"/>
      <c r="T136" s="116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6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6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6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6"/>
      <c r="BT136" s="116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6"/>
      <c r="T137" s="116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6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6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6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6"/>
      <c r="BT137" s="116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6"/>
      <c r="T138" s="116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6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6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6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6"/>
      <c r="BT138" s="116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6"/>
      <c r="T139" s="116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6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6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6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6"/>
      <c r="BT139" s="116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6"/>
      <c r="T140" s="116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6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6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6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6"/>
      <c r="BT140" s="116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6"/>
      <c r="T141" s="116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6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6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6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6"/>
      <c r="BT141" s="116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6"/>
      <c r="T142" s="116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6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6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6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6"/>
      <c r="BT142" s="116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6"/>
      <c r="T143" s="116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6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6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6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6"/>
      <c r="BT143" s="116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6"/>
      <c r="T144" s="116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6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6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6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6"/>
      <c r="BT144" s="116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6"/>
      <c r="T145" s="116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6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6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6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6"/>
      <c r="BT145" s="116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6"/>
      <c r="T146" s="116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6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6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6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6"/>
      <c r="BT146" s="116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6"/>
      <c r="T147" s="116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6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6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6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6"/>
      <c r="BT147" s="116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6"/>
      <c r="T148" s="116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6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6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6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6"/>
      <c r="BT148" s="116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6"/>
      <c r="T149" s="116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6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6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6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6"/>
      <c r="BT149" s="116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6"/>
      <c r="T150" s="116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6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6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6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6"/>
      <c r="BT150" s="116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6"/>
      <c r="T151" s="116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6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6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6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6"/>
      <c r="BT151" s="116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6"/>
      <c r="T152" s="116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6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6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6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6"/>
      <c r="BT152" s="116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6"/>
      <c r="T153" s="116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6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6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6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6"/>
      <c r="BT153" s="116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6"/>
      <c r="T154" s="116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6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6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6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6"/>
      <c r="BT154" s="116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6"/>
      <c r="T155" s="116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6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6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6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6"/>
      <c r="BT155" s="116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6"/>
      <c r="T156" s="116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6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6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6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6"/>
      <c r="BT156" s="116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6"/>
      <c r="T157" s="116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6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6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6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6"/>
      <c r="BT157" s="116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6"/>
      <c r="T158" s="116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6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6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6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6"/>
      <c r="BT158" s="116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6"/>
      <c r="T159" s="116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6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6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6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6"/>
      <c r="BT159" s="116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6"/>
      <c r="T160" s="116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6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6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6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6"/>
      <c r="BT160" s="116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6"/>
      <c r="T161" s="116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6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6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6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6"/>
      <c r="BT161" s="116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6"/>
      <c r="T162" s="116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6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6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6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6"/>
      <c r="BT162" s="116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6"/>
      <c r="T163" s="116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6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6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6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6"/>
      <c r="BT163" s="116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6"/>
      <c r="T164" s="116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6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6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6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6"/>
      <c r="BT164" s="116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6"/>
      <c r="T165" s="116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6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6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6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6"/>
      <c r="BT165" s="116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6"/>
      <c r="T166" s="116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6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6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6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6"/>
      <c r="BT166" s="116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6"/>
      <c r="T167" s="116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6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6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6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6"/>
      <c r="BT167" s="116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6"/>
      <c r="T168" s="116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6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6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6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6"/>
      <c r="BT168" s="116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6"/>
      <c r="T169" s="116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6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6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6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6"/>
      <c r="BT169" s="116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6"/>
      <c r="T170" s="116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6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6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6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6"/>
      <c r="BT170" s="116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6"/>
      <c r="T171" s="116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6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6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6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6"/>
      <c r="BT171" s="116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6"/>
      <c r="T172" s="116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6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6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6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6"/>
      <c r="BT172" s="116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6"/>
      <c r="T173" s="116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6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6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6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6"/>
      <c r="BT173" s="116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6"/>
      <c r="T174" s="116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6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6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6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6"/>
      <c r="BT174" s="116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6"/>
      <c r="T175" s="116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6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6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6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6"/>
      <c r="BT175" s="116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6"/>
      <c r="T176" s="116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6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6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6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6"/>
      <c r="BT176" s="116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6"/>
      <c r="T177" s="116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6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6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6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6"/>
      <c r="BT177" s="116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6"/>
      <c r="T178" s="116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6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6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6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6"/>
      <c r="BT178" s="116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6"/>
      <c r="T179" s="116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6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6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6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6"/>
      <c r="BT179" s="116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6"/>
      <c r="T180" s="116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6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6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6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6"/>
      <c r="BT180" s="116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6"/>
      <c r="T181" s="116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6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6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6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6"/>
      <c r="BT181" s="116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6"/>
      <c r="T182" s="116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6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6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6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6"/>
      <c r="BT182" s="116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6"/>
      <c r="T183" s="116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6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6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6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6"/>
      <c r="BT183" s="116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6"/>
      <c r="T184" s="116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6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6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6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6"/>
      <c r="BT184" s="116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6"/>
      <c r="T185" s="116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6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6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6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6"/>
      <c r="BT185" s="116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6"/>
      <c r="T186" s="116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6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6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6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6"/>
      <c r="BT186" s="116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6"/>
      <c r="T187" s="116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6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6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6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6"/>
      <c r="BT187" s="116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6"/>
      <c r="T188" s="116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6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6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6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6"/>
      <c r="BT188" s="116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6"/>
      <c r="T189" s="116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6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6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6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6"/>
      <c r="BT189" s="116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6"/>
      <c r="T190" s="116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6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6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6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6"/>
      <c r="BT190" s="116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6"/>
      <c r="T191" s="116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6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6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6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6"/>
      <c r="BT191" s="116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6"/>
      <c r="T192" s="116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6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6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6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6"/>
      <c r="BT192" s="116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6"/>
      <c r="T193" s="116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6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6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6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6"/>
      <c r="BT193" s="116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6"/>
      <c r="T194" s="116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6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6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6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6"/>
      <c r="BT194" s="116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6"/>
      <c r="T195" s="116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6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6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6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6"/>
      <c r="BT195" s="116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6"/>
      <c r="T196" s="116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6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6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6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6"/>
      <c r="BT196" s="116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6"/>
      <c r="T197" s="116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6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6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6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6"/>
      <c r="BT197" s="116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6"/>
      <c r="T198" s="116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6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6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6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6"/>
      <c r="BT198" s="116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6"/>
      <c r="T199" s="116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6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6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6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6"/>
      <c r="BT199" s="116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6"/>
      <c r="T200" s="116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6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6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6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6"/>
      <c r="BT200" s="116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7"/>
      <c r="T201" s="117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7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7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7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7"/>
      <c r="BT201" s="117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18" t="s">
        <v>174</v>
      </c>
      <c r="AK1" s="118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18" t="s">
        <v>177</v>
      </c>
      <c r="BB1" s="118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18" t="s">
        <v>46</v>
      </c>
      <c r="BM1" s="118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18" t="s">
        <v>46</v>
      </c>
      <c r="CB1" s="118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18" t="s">
        <v>46</v>
      </c>
      <c r="CN1" s="118"/>
      <c r="CP1" s="85"/>
      <c r="CQ1" s="1" t="s">
        <v>189</v>
      </c>
      <c r="CS1" s="118" t="s">
        <v>38</v>
      </c>
      <c r="CT1" s="118"/>
      <c r="CU1" s="118"/>
      <c r="CV1" s="118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8" t="s">
        <v>219</v>
      </c>
      <c r="GH1" s="118"/>
      <c r="GI1" s="118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18" t="s">
        <v>229</v>
      </c>
      <c r="GW1" s="118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18" t="s">
        <v>246</v>
      </c>
      <c r="II1" s="118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18" t="s">
        <v>249</v>
      </c>
      <c r="IR1" s="118"/>
      <c r="IS1" s="118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18" t="s">
        <v>249</v>
      </c>
      <c r="JD1" s="118"/>
      <c r="JE1" s="118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78</v>
      </c>
      <c r="C2" s="6">
        <f>IF(AND(Include_study?="Yes",Sufficient_data="Yes"),IF(Input!b_&lt;&gt;"",Input!b_,Input!n1_-Input!a_),"")</f>
        <v>482</v>
      </c>
      <c r="D2" s="6">
        <f>IF(AND(Include_study?="Yes",Sufficient_data="Yes"),IF(Input!c_&lt;&gt;"",Input!c_,Input!n2_-Input!d_),"")</f>
        <v>78</v>
      </c>
      <c r="E2" s="6">
        <f>IF(AND(Include_study?="Yes",Sufficient_data="Yes"),IF(Input!d_&lt;&gt;"",Input!d_,Input!n2_-Input!c_),"")</f>
        <v>482</v>
      </c>
      <c r="F2" s="35" t="str">
        <f t="shared" ref="F2:F33" si="1">IF(AND(Include_study?="Yes",Sufficient_data="Yes"),IF(OR(a_=0,b_=0,c_=0,d_=0),"Yes","No"),"")</f>
        <v>No</v>
      </c>
      <c r="H2" s="135" t="s">
        <v>256</v>
      </c>
      <c r="I2" s="129" t="s">
        <v>38</v>
      </c>
      <c r="J2" s="77">
        <f t="shared" ref="J2:J65" si="2">IF(AND(Include_study?="Yes",Sufficient_data="Yes"),IF(Add_0_5="Yes",((a_+0.5)*(d_+0.5))/((b_+0.5)*(c_+0.5)),(a_*d_)/(b_*c_)),"")</f>
        <v>1</v>
      </c>
      <c r="K2" s="74">
        <f t="shared" ref="K2:K33" si="3">IF(AND(Include_study?="Yes",Sufficient_data="Yes"),LN(OddsRatio),"")</f>
        <v>0</v>
      </c>
      <c r="L2" s="74">
        <f t="shared" ref="L2:L33" si="4">IF(AND(Include_study?="Yes",Sufficient_data="Yes"),SQRT(IF(Add_0_5="Yes",1/(a_+0.5)+1/(b_+0.5)+1/(c_+0.5)+1/(d_+0.5),1/a_+1/b_+1/c_+1/d_)),"")</f>
        <v>0.1725989664928114</v>
      </c>
      <c r="M2" s="74">
        <f t="shared" ref="M2:M33" si="5">IF(AND(Include_study?="Yes",Sufficient_data="Yes"),EXP(LogOddsRatio-ABS(TINV((1-Confidence_level),Number_of_subjects-2))*SELogOddsRatio),"")</f>
        <v>0.71272873704745698</v>
      </c>
      <c r="N2" s="34">
        <f t="shared" ref="N2:N33" si="6">IF(AND(Include_study?="Yes",Sufficient_data="Yes"),EXP(LogOddsRatio+ABS(TINV((1-Confidence_level),Number_of_subjects-2))*SELogOddsRatio),"")</f>
        <v>1.4030583418631191</v>
      </c>
      <c r="P2" s="116" t="s">
        <v>257</v>
      </c>
      <c r="Q2" s="77">
        <f t="shared" ref="Q2:Q33" si="7">IF(AND(Include_study?="Yes",Sufficient_data="Yes"),EXP(LogPetoOddsRatio),"")</f>
        <v>1</v>
      </c>
      <c r="R2" s="74">
        <f t="shared" ref="R2:R33" si="8">IF(AND(Include_study?="Yes",Sufficient_data="Yes"),SQRT(VarLogPetoOddsRatio),"")</f>
        <v>0.17252189617573249</v>
      </c>
      <c r="S2" s="74">
        <f t="shared" ref="S2:S33" si="9">IF(AND(Include_study?="Yes",Sufficient_data="Yes"),EXP(LogPetoOddsRatio-ABS(TINV((1-Confidence_level),Number_of_subjects-2))*SELogPetoOddsRatio),"")</f>
        <v>0.71283652314883261</v>
      </c>
      <c r="T2" s="34">
        <f t="shared" ref="T2:T33" si="10">IF(AND(Include_study?="Yes",Sufficient_data="Yes"),EXP(LogPetoOddsRatio+ABS(TINV((1-Confidence_level),Number_of_subjects-2))*SELogPetoOddsRatio),"")</f>
        <v>1.4028461891692532</v>
      </c>
      <c r="V2" s="116" t="s">
        <v>166</v>
      </c>
      <c r="W2" s="77">
        <f t="shared" ref="W2:W33" si="11">IF(AND(Include_study?="Yes",Sufficient_data="Yes"),a_/(a_+b_)-c_/(c_+d_),"")</f>
        <v>0</v>
      </c>
      <c r="X2" s="74">
        <f t="shared" ref="X2:X33" si="12">IF(AND(Include_study?="Yes",Sufficient_data="Yes"),SQRT(a_*b_/(a_+b_)^3+c_*d_/(c_+d_)^3),"")</f>
        <v>2.0692062322269573E-2</v>
      </c>
      <c r="Y2" s="74">
        <f t="shared" ref="Y2:Y33" si="13">IF(AND(Include_study?="Yes",Sufficient_data="Yes"),Risk_Difference-SERiskDifference*ABS(TINV((1-Confidence_level),Number_of_subjects-2)),"")</f>
        <v>-4.0599649927865501E-2</v>
      </c>
      <c r="Z2" s="34">
        <f t="shared" ref="Z2:Z33" si="14">IF(AND(Include_study?="Yes",Sufficient_data="Yes"),Risk_Difference+SERiskDifference*ABS(TINV((1-Confidence_level),Number_of_subjects-2)),"")</f>
        <v>4.0599649927865501E-2</v>
      </c>
      <c r="AB2" s="116" t="s">
        <v>147</v>
      </c>
      <c r="AC2" s="77">
        <f t="shared" ref="AC2:AC33" si="15">IF(AND(Include_study?="Yes",Sufficient_data="Yes"),IF(Add_0_5="Yes",((a_+0.5)/(a_+0.5+b_+0.5))/((c_+0.5)/(c_+0.5+d_+0.5)),(a_/(a_+b_))/(c_/(c_+d_))),"")</f>
        <v>1</v>
      </c>
      <c r="AD2" s="74">
        <f t="shared" ref="AD2:AD33" si="16">IF(AND(Include_study?="Yes",Sufficient_data="Yes"),LN(Risk_Ratio),"")</f>
        <v>0</v>
      </c>
      <c r="AE2" s="74">
        <f t="shared" ref="AE2:AE33" si="17">IF(AND(Include_study?="Yes",Sufficient_data="Yes"),IF(Add_0_5="Yes",SQRT(1/(a_+0.5)-1/(a_+0.5+b_+0.5)+1/(c_+0.5)-1/(c_+0.5+d_+0.5)),SQRT(1/a_-1/(a_+b_)+1/c_-1/(c_+d_))),"")</f>
        <v>0.14855839615988412</v>
      </c>
      <c r="AF2" s="74">
        <f t="shared" ref="AF2:AF33" si="18">IF(AND(Include_study?="Yes",Sufficient_data="Yes"),EXP(LN(Risk_Ratio)-ABS(TINV((1-Confidence_level),Number_of_subjects-2))*SELogRiskRatio),"")</f>
        <v>0.74715347025528589</v>
      </c>
      <c r="AG2" s="34">
        <f t="shared" ref="AG2:AG33" si="19">IF(AND(Include_study?="Yes",Sufficient_data="Yes"),EXP(LN(Risk_Ratio)+ABS(TINV((1-Confidence_level),Number_of_subjects-2))*SELogRiskRatio),"")</f>
        <v>1.3384131103056003</v>
      </c>
      <c r="AI2" s="135" t="s">
        <v>258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Saffaryazdi et al.</v>
      </c>
      <c r="AN2" s="6">
        <f t="shared" ref="AN2:AN65" si="21">IF(AND(Sufficient_data="Yes",Include_study?="Yes"),(a_+b_+c_+d_),"")</f>
        <v>1120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1</v>
      </c>
      <c r="AP2" s="3">
        <f t="shared" ref="AP2:AP33" si="23">IF(AND(Include_study?="Yes",Sufficient_data="Yes"),IF(Weighting_method="Inverse variance",Weightf,IF(Weighting_method="Mantel-Haenszel",Weightf_MH,Weightf_Peto)),"")</f>
        <v>33.56785714285715</v>
      </c>
      <c r="AQ2" s="3">
        <f t="shared" ref="AQ2:AQ33" si="24">IF(AND(Include_study?="Yes",Sufficient_data="Yes"),IF(Weighting_method="Inverse variance",Weight,IF(Weighting_method="Mantel-Haenszel",Weight_MH,Weight_Peto)),"")</f>
        <v>33.56785714285715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0.1725989664928114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0.71272873704745698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1.4030583418631191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9.912849552139405E-2</v>
      </c>
      <c r="AW2" s="43">
        <f t="shared" ref="AW2:AW33" si="29">IF(Effect_size_lookup&lt;&gt;"",Effect_size_lookup,NA())</f>
        <v>1</v>
      </c>
      <c r="AX2" s="3">
        <f t="shared" ref="AX2:AX33" si="30">IF(Effect_size_lookup&lt;&gt;"",Effect_size_lookup-AS2,NA())</f>
        <v>0.28727126295254302</v>
      </c>
      <c r="AY2" s="34">
        <f t="shared" ref="AY2:AY33" si="31">IF(Effect_size_lookup&lt;&gt;"",AT2-Effect_size_lookup,NA())</f>
        <v>0.40305834186311906</v>
      </c>
      <c r="BA2" s="2" t="s">
        <v>259</v>
      </c>
      <c r="BB2" s="3">
        <f>'Forest Plot'!$B$16</f>
        <v>1.0669572613298797</v>
      </c>
      <c r="BD2" s="135" t="s">
        <v>260</v>
      </c>
      <c r="BE2" s="129" t="s">
        <v>261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0.1725989664928114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33.56785714285715</v>
      </c>
      <c r="BI2" s="74">
        <f>IF(Weightf&lt;&gt;"",1/(IF(Model_effect_size_measure="Odds Ratio",SELogOddsRatio,IF(Model_effect_size_measure="Risk Ratio",SELogRiskRatio,SERiskDifference))^2+T2_),"")</f>
        <v>33.56785714285715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-6.4810916531339302E-2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6.4810916531339302E-2</v>
      </c>
      <c r="BO2" s="116" t="s">
        <v>262</v>
      </c>
      <c r="BP2" s="3">
        <f t="shared" ref="BP2:BP33" si="36">IF(AND(Sufficient_data="Yes",Include_study?="Yes"),IF(Add_0_5="Yes",(a_+0.5)*(d_+0.5)/(Number_of_subjects+2),a_*d_/Number_of_subjects),"")</f>
        <v>33.567857142857143</v>
      </c>
      <c r="BQ2" s="3">
        <f t="shared" ref="BQ2:BQ33" si="37">IF(AND(Sufficient_data="Yes",Include_study?="Yes"),IF(Add_0_5="Yes",(b_+0.5)*(c_+0.5)/(Number_of_subjects+2),b_*c_/Number_of_subjects),"")</f>
        <v>33.567857142857143</v>
      </c>
      <c r="BR2" s="3">
        <f t="shared" ref="BR2:BR33" si="38">IF(AND(Sufficient_data="Yes",Include_study?="Yes"),IF(Add_0_5="Yes",(a_+d_+1)*(a_+0.5)*(d_+0.5)/(Number_of_subjects+2)^2,(a_+d_)*a_*d_/Number_of_subjects^2),"")</f>
        <v>16.783928571428572</v>
      </c>
      <c r="BS2" s="3">
        <f>IF(AND(Sufficient_data="Yes",Include_study?="Yes"),IF(Add_0_5="Yes",(a_+d_+1)*(ab_+0.5)*(c_+0.5)/(Number_of_subjects+2)^2,(a_+d_)*b_*c_/Number_of_subjects^2),"")</f>
        <v>16.783928571428572</v>
      </c>
      <c r="BT2" s="3">
        <f t="shared" ref="BT2:BT33" si="39">IF(AND(Sufficient_data="Yes",Include_study?="Yes"),IF(Add_0_5="Yes",(b_+c_+1)*(a_+0.5)*(d_+0.5)/(Number_of_subjects+2)^2,(b_+c_)*a_*d_/Number_of_subjects^2),"")</f>
        <v>16.783928571428572</v>
      </c>
      <c r="BU2" s="3">
        <f t="shared" ref="BU2:BU33" si="40">IF(AND(Sufficient_data="Yes",Include_study?="Yes"),IF(Add_0_5="Yes",(b_+c_+1)*(b_+0.5)*(c_+0.5)/(Number_of_subjects+2)^2,(b_+c_)*b_*c_/Number_of_subjects^2),"")</f>
        <v>16.783928571428572</v>
      </c>
      <c r="BV2" s="3">
        <f t="shared" ref="BV2:BV33" si="41">IF(AND(Sufficient_data="Yes",Include_study?="Yes"),IF(Add_0_5="Yes",(b_+0.5)*(c_+0.5)/(Number_of_subjects+2),b_*c_/Number_of_subjects),"")</f>
        <v>33.567857142857143</v>
      </c>
      <c r="BW2" s="3">
        <f t="shared" ref="BW2:BW33" si="42">IF(AND(Sufficient_data="Yes",Include_study?="Yes"),1/(SELogOddsRatio^2)*(LogOddsRatio-LN(SUMPRODUCT(Weightf_MH,OddsRatio)/SUM(Weightf_MH)))^2,"")</f>
        <v>0.1412540110735091</v>
      </c>
      <c r="BX2" s="74">
        <f t="shared" ref="BX2:BX33" si="43">IF(Weithf_MH&lt;&gt;"",1/(SELogOddsRatio^2+T2_MH),"")</f>
        <v>33.56785714285715</v>
      </c>
      <c r="BY2" s="34">
        <f t="shared" ref="BY2:BY33" si="44">IF(Weithf_MH&lt;&gt;"",LogOddsRatio-lnCES_OddsRatio_MH,"")</f>
        <v>-6.4810916531339274E-2</v>
      </c>
      <c r="CA2" s="3" t="s">
        <v>263</v>
      </c>
      <c r="CB2" s="3">
        <f>LN(CES_OddsRatio_MH)</f>
        <v>6.4810916531339274E-2</v>
      </c>
      <c r="CD2" s="116" t="s">
        <v>264</v>
      </c>
      <c r="CE2" s="77">
        <f t="shared" ref="CE2:CE33" si="45">IF(AND(Include_study?="Yes",Sufficient_data="Yes"),((a_+b_)*(a_+c_))/(Number_of_subjects),"")</f>
        <v>78</v>
      </c>
      <c r="CF2" s="74">
        <f t="shared" ref="CF2:CF33" si="46">IF(AND(Include_study?="Yes",Sufficient_data="Yes"),((a_+b_)*(c_+d_)*(a_+c_)*(b_+d_))/((Number_of_subjects)^2*(Number_of_subjects-1)),"")</f>
        <v>33.597855227882036</v>
      </c>
      <c r="CG2" s="74">
        <f t="shared" ref="CG2:CG33" si="47">IF(AND(Include_study?="Yes",Sufficient_data="Yes"),(a_-Expected)/VarExpected,"")</f>
        <v>0</v>
      </c>
      <c r="CH2" s="74">
        <f t="shared" ref="CH2:CH33" si="48">IF(AND(Include_study?="Yes",Sufficient_data="Yes"),1/VarExpected,"")</f>
        <v>2.9763804660070222E-2</v>
      </c>
      <c r="CI2" s="74">
        <f t="shared" ref="CI2:CI33" si="49">IF(AND(Sufficient_data="Yes",Include_study?="Yes"),VarExpected,"")</f>
        <v>33.597855227882036</v>
      </c>
      <c r="CJ2" s="74">
        <f t="shared" ref="CJ2:CJ65" si="50">IF(Weightf_Peto&lt;&gt;"",1/(VarLogPetoOddsRatio+T2_Peto),"")</f>
        <v>33.597855227882036</v>
      </c>
      <c r="CK2" s="34">
        <f t="shared" ref="CK2:CK33" si="51">IF(Weightf_Peto&lt;&gt;"",LogPetoOddsRatio-lnCES_PetoOddsRatio,"")</f>
        <v>-6.4810232065763515E-2</v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6.4810232065763515E-2</v>
      </c>
      <c r="CP2" s="116" t="s">
        <v>266</v>
      </c>
      <c r="CQ2" s="51">
        <f t="shared" ref="CQ2:CQ33" si="52">IF(AND(Sufficient_data="Yes",Include_study?="Yes"),c_/(c_+d_),"")</f>
        <v>0.13928571428571429</v>
      </c>
      <c r="CS2" s="2"/>
      <c r="CT2" s="2" t="s">
        <v>35</v>
      </c>
      <c r="CU2" s="2" t="s">
        <v>59</v>
      </c>
      <c r="CV2" s="2" t="s">
        <v>60</v>
      </c>
      <c r="CX2" s="135" t="s">
        <v>267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5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35" t="s">
        <v>269</v>
      </c>
      <c r="FS2" s="129" t="s">
        <v>113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33.56785714285715</v>
      </c>
      <c r="FU2" s="74">
        <f>IF(AND(Include_study?="Yes",Sufficient_data="Yes"),1/('Publication Bias Analysis'!F:F^2+IF(Additional_model="Fixed effect",0,Calculations!GH$12)),"")</f>
        <v>33.56785714285715</v>
      </c>
      <c r="FV2" s="74">
        <f>IF(AND(Include_study?="Yes",Sufficient_data="Yes"),1/('Publication Bias Analysis'!F:F^2+IF(Additional_model="Fixed effect",0,'Publication Bias Analysis'!L$32)),"")</f>
        <v>33.56785714285715</v>
      </c>
      <c r="FW2" s="74">
        <f>IF(AND(Include_study?="Yes",Sufficient_data="Yes"),'Publication Bias Analysis'!E:E-'Publication Bias Analysis'!I$37,"")</f>
        <v>-5.4581608697862861E-2</v>
      </c>
      <c r="FX2" s="74">
        <f>IF(AND(Include_study?="Yes",Sufficient_data="Yes"),IF(Additional_model="Fixed effect",1/'Publication Bias Analysis'!F:F,1/SQRT('Publication Bias Analysis'!F:F^2+GH$12)),"")</f>
        <v>5.7937774502354804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0</v>
      </c>
      <c r="FZ2" s="37">
        <f t="shared" ref="FZ2:FZ33" si="80">IF(AND(Include_study?="Yes",Sufficient_data="Yes"),RANK(GM:GM,GM:GM,1)*IF(GL:GL&gt;0,1,-1),"")</f>
        <v>-6</v>
      </c>
      <c r="GA2" s="82">
        <f>IF(AND(Include_study?="Yes",Sufficient_data="Yes"),FZ:FZ,"")</f>
        <v>-6</v>
      </c>
      <c r="GB2" s="82">
        <f>IF(AND(Include_study?="Yes",Sufficient_data="Yes"),RANK(GP:GP,GP:GP,1)*IF(GO:GO&lt;0,-1,1),"")</f>
        <v>-6</v>
      </c>
      <c r="GC2" s="82">
        <f>IF(AND(Include_study?="Yes",Sufficient_data="Yes"),RANK(GS:GS,GS:GS,1)*IF(GR:GR&lt;0,-1,1),"")</f>
        <v>-6</v>
      </c>
      <c r="GD2" s="74">
        <f>IF(AND(Include_study?="Yes",Sufficient_data="Yes"),'Publication Bias Analysis'!E2,NA())</f>
        <v>0</v>
      </c>
      <c r="GE2" s="34">
        <f>IF(AND(Include_study?="Yes",Sufficient_data="Yes"),'Publication Bias Analysis'!F2,NA())</f>
        <v>0.1725989664928114</v>
      </c>
      <c r="GG2" s="24" t="s">
        <v>270</v>
      </c>
      <c r="GH2" s="2" t="s">
        <v>240</v>
      </c>
      <c r="GI2" s="2" t="s">
        <v>241</v>
      </c>
      <c r="GK2" s="116" t="s">
        <v>271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-6.4810916531339302E-2</v>
      </c>
      <c r="GM2" s="74">
        <f t="shared" ref="GM2:GM33" si="81">IF(AND(Include_study?="Yes",Sufficient_data="Yes"),ABS(GL2),"")</f>
        <v>6.4810916531339302E-2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33.56785714285715</v>
      </c>
      <c r="GO2" s="74">
        <f>IF(AND(Include_study?="Yes",Sufficient_data="Yes"),IF('Publication Bias Analysis'!L$38="Left",'Publication Bias Analysis'!E:E-GW$3,GW$3-'Publication Bias Analysis'!E:E),"")</f>
        <v>-5.4581608697862875E-2</v>
      </c>
      <c r="GP2" s="74">
        <f t="shared" ref="GP2:GP33" si="82">IF(GO2&lt;&gt;"",ABS(GO2),"")</f>
        <v>5.4581608697862875E-2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33.56785714285715</v>
      </c>
      <c r="GR2" s="74">
        <f>IF(AND(Include_study?="Yes",Sufficient_data="Yes"),IF('Publication Bias Analysis'!L$38="Left",'Publication Bias Analysis'!E:E-GW$10,GW$10-'Publication Bias Analysis'!E:E),"")</f>
        <v>-5.4581608697862875E-2</v>
      </c>
      <c r="GS2" s="74">
        <f t="shared" ref="GS2:GS33" si="83">IF(GR2&lt;&gt;"",ABS(GR2),"")</f>
        <v>5.4581608697862875E-2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33.56785714285715</v>
      </c>
      <c r="GV2" s="133" t="s">
        <v>100</v>
      </c>
      <c r="GW2" s="133"/>
      <c r="GY2" s="47">
        <v>1</v>
      </c>
      <c r="GZ2" s="6">
        <f>IF(Trim_and_fill="On",IF(GW$21&gt;(GY2-1),IF(COUNTIF(GA:GA,-1*(MAX(GA:GA)-GY2+1))=1,"",MAX(GA:GA)-GY2+1),""),"")</f>
        <v>11</v>
      </c>
      <c r="HA2" s="3">
        <f t="shared" ref="HA2:HA41" si="84">IF(GZ2&lt;&gt;"",GW$17-(INDEX(GA:GE,MATCH(GZ2,GA:GA,0),4)-GW$17),"")</f>
        <v>-7.0022880433382756E-2</v>
      </c>
      <c r="HB2" s="3">
        <f t="shared" ref="HB2:HB41" si="85">IF(GZ2&lt;&gt;"",INDEX(GA:GE,MATCH(GZ2,GA:GA,0),5),"")</f>
        <v>0.18966236806757217</v>
      </c>
      <c r="HC2" s="3">
        <f t="shared" ref="HC2:HC41" si="86">IF(GZ2&lt;&gt;"",1/HB2^2,"")</f>
        <v>27.799543383165446</v>
      </c>
      <c r="HD2" s="74">
        <f>IF(GZ2&lt;&gt;"",1/(HB2^2+'Publication Bias Analysis'!L$32),"")</f>
        <v>27.799543383165446</v>
      </c>
      <c r="HE2" s="34">
        <f>IF(GZ2&lt;&gt;"",HA:HA-'Publication Bias Analysis'!I$37,"")</f>
        <v>-0.12460448913124561</v>
      </c>
      <c r="HG2" s="47">
        <v>1</v>
      </c>
      <c r="HH2" s="3">
        <f t="shared" ref="HH2:HH41" si="87">IF(GZ2&lt;&gt;"",HA2,NA())</f>
        <v>-7.0022880433382756E-2</v>
      </c>
      <c r="HI2" s="34">
        <f t="shared" ref="HI2:HI41" si="88">IF(GZ2&lt;&gt;"",HB2,NA())</f>
        <v>0.18966236806757217</v>
      </c>
      <c r="HK2" s="116" t="s">
        <v>104</v>
      </c>
      <c r="HL2" s="3">
        <f t="shared" ref="HL2:HL65" si="89">IF(AND(Include_study?="Yes",Sufficient_data="Yes"),Inverse_standard_error-AVERAGE(Inverse_standard_error),"")</f>
        <v>0.25528139473888523</v>
      </c>
      <c r="HM2" s="34">
        <f>IF(AND(Include_study?="Yes",Sufficient_data="Yes"),Z_score-('Publication Bias Analysis'!P$3+'Publication Bias Analysis'!P$4*Inverse_standard_error),"")</f>
        <v>-0.19870561718488755</v>
      </c>
      <c r="HO2" s="116" t="s">
        <v>272</v>
      </c>
      <c r="HP2" s="3">
        <f>IF(AND(Include_study?="Yes",Sufficient_data="Yes"),(GD:GD-SUMPRODUCT(Calculations!FT:FT,'Publication Bias Analysis'!E:E)/SUM(Calculations!FT:FT))/SQRT(Calculations!HQ:HQ),"")</f>
        <v>-0.39562028118293091</v>
      </c>
      <c r="HQ2" s="3">
        <f>IF(AND(Include_study?="Yes",Sufficient_data="Yes"),GE:GE^2-1/SUM(Calculations!FT:FT),"")</f>
        <v>2.6837325380786214E-2</v>
      </c>
      <c r="HR2" s="6">
        <f t="shared" ref="HR2:HR33" si="90">IF(AND(Include_study?="Yes",Sufficient_data="Yes"),RANK(HP:HP,HP:HP,0),"")</f>
        <v>9</v>
      </c>
      <c r="HS2" s="6">
        <f t="shared" ref="HS2:HS33" si="91">IF(AND(Include_study?="Yes",Sufficient_data="Yes"),RANK(HQ:HQ,HQ:HQ,0),"")</f>
        <v>7</v>
      </c>
      <c r="HT2" s="6">
        <f>IF(AND(Include_study?="Yes",Sufficient_data="Yes"),COUNTIFS(HR3:HR201,"&lt;"&amp;HR2,HS3:HS201,"&lt;"&amp;HS2)+COUNTIFS(HR3:HR201,"&gt;"&amp;HR2,HS3:HS201,"&gt;"&amp;HS2),"")</f>
        <v>8</v>
      </c>
      <c r="HU2" s="56">
        <f>IF(AND(Include_study?="Yes",Sufficient_data="Yes"),COUNTIFS(HR3:HR201,"&lt;"&amp;HR2,HS3:HS201,"&gt;"&amp;HS2)+COUNTIFS(HR3:HR201,"&gt;"&amp;HR2,HS3:HS201,"&lt;"&amp;HS2),"")</f>
        <v>2</v>
      </c>
      <c r="HW2" s="116" t="s">
        <v>116</v>
      </c>
      <c r="HX2" s="20">
        <v>1</v>
      </c>
      <c r="HY2" s="3"/>
      <c r="HZ2" s="34">
        <f>HZ3-HY14</f>
        <v>-0.7</v>
      </c>
      <c r="IB2" s="116" t="s">
        <v>273</v>
      </c>
      <c r="IC2" s="77">
        <f t="shared" ref="IC2:IC33" si="92">IF(AND(Include_study?="Yes",Sufficient_data="Yes"),a_/(a_+b_),NA())</f>
        <v>0.13928571428571429</v>
      </c>
      <c r="ID2" s="74">
        <f t="shared" ref="ID2:ID33" si="93">IF(AND(Include_study?="Yes",Sufficient_data="Yes"),c_/(c_+d_),NA())</f>
        <v>0.13928571428571429</v>
      </c>
      <c r="IE2" s="74">
        <f t="shared" ref="IE2:IE33" si="94">IF(AND(Include_study?="Yes",Sufficient_data="Yes"),1/SELogRiskRatio^2,"")</f>
        <v>45.31120331950207</v>
      </c>
      <c r="IF2" s="74">
        <f t="shared" ref="IF2:IF33" si="95">IF(AND(Include_study?="Yes",Sufficient_data="Yes"),IF(Additional_model="Fixed effect",Weightf,Weightr),"")</f>
        <v>33.56785714285715</v>
      </c>
      <c r="IH2" s="2" t="s">
        <v>240</v>
      </c>
      <c r="II2" s="2" t="s">
        <v>241</v>
      </c>
      <c r="IK2" s="116" t="s">
        <v>118</v>
      </c>
      <c r="IL2" s="3">
        <f>IF(AND(Include_study?="Yes",Sufficient_data="Yes"),'Publication Bias Analysis'!AV:AV,NA())</f>
        <v>0</v>
      </c>
      <c r="IM2" s="3">
        <f>IF(AND(Sufficient_data="Yes",Include_study?="Yes"),'Publication Bias Analysis'!AU:AU,NA())</f>
        <v>5.7937774502354804</v>
      </c>
      <c r="IN2" s="3">
        <f t="shared" ref="IN2:IN33" si="96">IF(AND(Include_study?="Yes",Sufficient_data="Yes"),Inverse_standard_error-AVERAGE(Inverse_standard_error),"")</f>
        <v>0.25528139473888523</v>
      </c>
      <c r="IO2" s="34">
        <f>IF(AND(Include_study?="Yes",Sufficient_data="Yes"),Z_score-('Publication Bias Analysis'!AY$30+'Publication Bias Analysis'!AY$31*Inverse_standard_error),"")</f>
        <v>-0.37550002672836758</v>
      </c>
      <c r="IQ2" s="24" t="s">
        <v>274</v>
      </c>
      <c r="IR2" s="2" t="s">
        <v>240</v>
      </c>
      <c r="IS2" s="2" t="s">
        <v>241</v>
      </c>
      <c r="IU2" s="116" t="s">
        <v>119</v>
      </c>
      <c r="IV2" s="6">
        <f>IF('Publication Bias Analysis'!BG:BG&lt;&gt;"",RANK('Publication Bias Analysis'!BG:BG,'Publication Bias Analysis'!BG:BG,1),"")</f>
        <v>3</v>
      </c>
      <c r="IW2" s="3">
        <f t="shared" ref="IW2:IW33" si="97">IF(IV:IV&lt;&gt;"",(IV:IV-1/3)/(k_+1/3),"")</f>
        <v>0.23529411764705879</v>
      </c>
      <c r="IX2" s="3">
        <f>IF('Publication Bias Analysis'!BF2&lt;&gt;"",'Publication Bias Analysis'!BF2,NA())</f>
        <v>-0.72152228398234353</v>
      </c>
      <c r="IY2" s="3">
        <f>IF('Publication Bias Analysis'!BG2&lt;&gt;"",'Publication Bias Analysis'!BG2,NA())</f>
        <v>0</v>
      </c>
      <c r="IZ2" s="3">
        <f>IF(AND(Include_study?="Yes",Sufficient_data="Yes"),'Publication Bias Analysis'!BF:BF-AVERAGE('Publication Bias Analysis'!BF:BF),"")</f>
        <v>-0.72152228398234297</v>
      </c>
      <c r="JA2" s="34">
        <f>IF(AND(Include_study?="Yes",Sufficient_data="Yes"),'Publication Bias Analysis'!BG:BG-('Publication Bias Analysis'!BJ$30+'Publication Bias Analysis'!BJ$31*'Publication Bias Analysis'!BF:BF),"")</f>
        <v>-6.5742524007595782E-2</v>
      </c>
      <c r="JC2" s="24" t="s">
        <v>275</v>
      </c>
      <c r="JD2" s="2" t="s">
        <v>240</v>
      </c>
      <c r="JE2" s="2" t="s">
        <v>241</v>
      </c>
      <c r="JG2" s="116" t="s">
        <v>121</v>
      </c>
      <c r="JH2" s="74">
        <f t="shared" ref="JH2:JH33" si="98">IF(AND(Include_study?="Yes",Sufficient_data="Yes"),IF(AND(Additional_valid_options="No",Additional_model="Random effects"),NA(),Z_score),"")</f>
        <v>0</v>
      </c>
      <c r="JI2" s="84">
        <f>IF(JH2&lt;&gt;"",1-NORMSDIST(ABS(JH2)),"")</f>
        <v>0.5</v>
      </c>
      <c r="JJ2" s="34">
        <f>IF(JI2&lt;&gt;"",LN(MAX(10^-306,JI2)),"")</f>
        <v>-0.69314718055994529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68</v>
      </c>
      <c r="C3" s="6">
        <f>IF(AND(Include_study?="Yes",Sufficient_data="Yes"),IF(Input!b_&lt;&gt;"",Input!b_,Input!n1_-Input!a_),"")</f>
        <v>492</v>
      </c>
      <c r="D3" s="6">
        <f>IF(AND(Include_study?="Yes",Sufficient_data="Yes"),IF(Input!c_&lt;&gt;"",Input!c_,Input!n2_-Input!d_),"")</f>
        <v>58</v>
      </c>
      <c r="E3" s="6">
        <f>IF(AND(Include_study?="Yes",Sufficient_data="Yes"),IF(Input!d_&lt;&gt;"",Input!d_,Input!n2_-Input!c_),"")</f>
        <v>502</v>
      </c>
      <c r="F3" s="35" t="str">
        <f t="shared" si="1"/>
        <v>No</v>
      </c>
      <c r="H3" s="135"/>
      <c r="I3" s="129"/>
      <c r="J3" s="76">
        <f t="shared" si="2"/>
        <v>1.1962433417437623</v>
      </c>
      <c r="K3" s="3">
        <f t="shared" si="3"/>
        <v>0.17918609782910852</v>
      </c>
      <c r="L3" s="3">
        <f t="shared" si="4"/>
        <v>0.18966236806757217</v>
      </c>
      <c r="M3" s="3">
        <f t="shared" si="5"/>
        <v>0.82452469675644158</v>
      </c>
      <c r="N3" s="35">
        <f t="shared" si="6"/>
        <v>1.735543081117666</v>
      </c>
      <c r="P3" s="116"/>
      <c r="Q3" s="76">
        <f t="shared" si="7"/>
        <v>1.1956514637489482</v>
      </c>
      <c r="R3" s="3">
        <f t="shared" si="8"/>
        <v>0.1890456002068148</v>
      </c>
      <c r="S3" s="3">
        <f t="shared" si="9"/>
        <v>0.82511464888598929</v>
      </c>
      <c r="T3" s="35">
        <f t="shared" si="10"/>
        <v>1.7325864044410337</v>
      </c>
      <c r="V3" s="116"/>
      <c r="W3" s="76">
        <f t="shared" si="11"/>
        <v>1.7857142857142849E-2</v>
      </c>
      <c r="X3" s="3">
        <f t="shared" si="12"/>
        <v>1.8875913470066716E-2</v>
      </c>
      <c r="Y3" s="3">
        <f t="shared" si="13"/>
        <v>-1.9179062960225535E-2</v>
      </c>
      <c r="Z3" s="35">
        <f t="shared" si="14"/>
        <v>5.4893348674511233E-2</v>
      </c>
      <c r="AB3" s="116"/>
      <c r="AC3" s="76">
        <f t="shared" si="15"/>
        <v>1.1724137931034482</v>
      </c>
      <c r="AD3" s="3">
        <f t="shared" si="16"/>
        <v>0.15906469462968728</v>
      </c>
      <c r="AE3" s="3">
        <f t="shared" si="17"/>
        <v>0.16845127809505464</v>
      </c>
      <c r="AF3" s="3">
        <f t="shared" si="18"/>
        <v>0.84244107564111659</v>
      </c>
      <c r="AG3" s="35">
        <f t="shared" si="19"/>
        <v>1.6316323384554208</v>
      </c>
      <c r="AI3" s="135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Saffaryazdi et al.</v>
      </c>
      <c r="AN3" s="6">
        <f t="shared" si="21"/>
        <v>1120</v>
      </c>
      <c r="AO3" s="3">
        <f t="shared" si="22"/>
        <v>1.1962433417437623</v>
      </c>
      <c r="AP3" s="3">
        <f t="shared" si="23"/>
        <v>27.799543383165446</v>
      </c>
      <c r="AQ3" s="3">
        <f t="shared" si="24"/>
        <v>27.799543383165446</v>
      </c>
      <c r="AR3" s="3">
        <f t="shared" si="25"/>
        <v>0.18966236806757217</v>
      </c>
      <c r="AS3" s="3">
        <f t="shared" si="26"/>
        <v>0.82452469675644158</v>
      </c>
      <c r="AT3" s="3">
        <f t="shared" si="27"/>
        <v>1.735543081117666</v>
      </c>
      <c r="AU3" s="80">
        <f t="shared" si="28"/>
        <v>8.209421590502991E-2</v>
      </c>
      <c r="AW3" s="44">
        <f t="shared" si="29"/>
        <v>1.1962433417437623</v>
      </c>
      <c r="AX3" s="3">
        <f t="shared" si="30"/>
        <v>0.37171864498732077</v>
      </c>
      <c r="AY3" s="35">
        <f t="shared" si="31"/>
        <v>0.53929973937390363</v>
      </c>
      <c r="BA3" s="2" t="s">
        <v>276</v>
      </c>
      <c r="BB3" s="6">
        <f>IF(BB2&lt;&gt;"",MAX(Entry_number)+1,"")</f>
        <v>12</v>
      </c>
      <c r="BD3" s="135"/>
      <c r="BE3" s="129"/>
      <c r="BF3" s="3">
        <f t="shared" si="32"/>
        <v>0.17918609782910852</v>
      </c>
      <c r="BG3" s="3">
        <f t="shared" si="33"/>
        <v>0.18966236806757217</v>
      </c>
      <c r="BH3" s="3">
        <f t="shared" si="34"/>
        <v>27.799543383165446</v>
      </c>
      <c r="BI3" s="3">
        <f t="shared" ref="BI3:BI33" si="99">IF(Weightf&lt;&gt;"",1/(IF(Model_effect_size_measure="Odds Ratio",SELogOddsRatio,IF(Model_effect_size_measure="Risk Ratio",SELogRiskRatio,SERiskDifference))^2+T2_),"")</f>
        <v>27.799543383165446</v>
      </c>
      <c r="BJ3" s="35">
        <f t="shared" si="35"/>
        <v>0.11437518129776922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2.2618615334590315E-2</v>
      </c>
      <c r="BO3" s="116"/>
      <c r="BP3" s="3">
        <f t="shared" si="36"/>
        <v>30.478571428571428</v>
      </c>
      <c r="BQ3" s="3">
        <f t="shared" si="37"/>
        <v>25.478571428571428</v>
      </c>
      <c r="BR3" s="3">
        <f t="shared" si="38"/>
        <v>15.511415816326531</v>
      </c>
      <c r="BS3" s="3">
        <f>IF(AND(Sufficient_data="Yes",Include_study?="Yes"),IF(Add_0_5="Yes",(a_+d_+1)*(ab_+0.5)*(c_+0.5)/(Number_of_subjects+2)^2,(a_+d_)*b_*c_/Number_of_subjects^2),"")</f>
        <v>12.966772959183674</v>
      </c>
      <c r="BT3" s="3">
        <f t="shared" si="39"/>
        <v>14.967155612244898</v>
      </c>
      <c r="BU3" s="3">
        <f t="shared" si="40"/>
        <v>12.511798469387756</v>
      </c>
      <c r="BV3" s="3">
        <f t="shared" si="41"/>
        <v>25.478571428571428</v>
      </c>
      <c r="BW3" s="3">
        <f t="shared" si="42"/>
        <v>0.36329420862588768</v>
      </c>
      <c r="BX3" s="3">
        <f t="shared" si="43"/>
        <v>27.799543383165446</v>
      </c>
      <c r="BY3" s="35">
        <f t="shared" si="44"/>
        <v>0.11437518129776925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5.116017596541641E-4</v>
      </c>
      <c r="CD3" s="116"/>
      <c r="CE3" s="76">
        <f t="shared" si="45"/>
        <v>63</v>
      </c>
      <c r="CF3" s="3">
        <f t="shared" si="46"/>
        <v>27.981233243967829</v>
      </c>
      <c r="CG3" s="3">
        <f t="shared" si="47"/>
        <v>0.17869119478777426</v>
      </c>
      <c r="CH3" s="3">
        <f t="shared" si="48"/>
        <v>3.5738238957554853E-2</v>
      </c>
      <c r="CI3" s="3">
        <f t="shared" si="49"/>
        <v>27.981233243967829</v>
      </c>
      <c r="CJ3" s="3">
        <f t="shared" si="50"/>
        <v>27.981233243967829</v>
      </c>
      <c r="CK3" s="35">
        <f t="shared" si="51"/>
        <v>0.11388096272201075</v>
      </c>
      <c r="CM3" s="3" t="s">
        <v>277</v>
      </c>
      <c r="CN3" s="3">
        <f>IF(Meta_analysis_model="Fixed effect model",1/SUM(Weightf_Peto),SUMPRODUCT(Weight_Peto,CK:CK,CK:CK)/((k_-1)*SUM(Weight_Peto)))</f>
        <v>5.098114239269802E-4</v>
      </c>
      <c r="CP3" s="116"/>
      <c r="CQ3" s="52">
        <f t="shared" si="52"/>
        <v>0.10357142857142858</v>
      </c>
      <c r="CS3" s="2" t="s">
        <v>278</v>
      </c>
      <c r="CT3" s="3">
        <f>IF(Weighting_method="Inverse variance",IF(Model_effect_size_measure="Odds Ratio",CES_IV,NA()),NA())</f>
        <v>1.0669572613298797</v>
      </c>
      <c r="CU3" s="3">
        <f>IF(Model_effect_size_measure="Odds Ratio",CES_OddsRatio_MH,NA())</f>
        <v>1.0669572613298797</v>
      </c>
      <c r="CV3" s="3" t="e">
        <f>IF(Model_effect_size_measure="Peto Odds Ratio",CES_PetoOddsRatio,NA())</f>
        <v>#N/A</v>
      </c>
      <c r="CX3" s="135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5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35"/>
      <c r="FS3" s="129"/>
      <c r="FT3" s="76">
        <f>IF(AND(Include_study?="Yes",Sufficient_data="Yes"),IF(Additional_weighting_method="Inverse Variance",1/'Publication Bias Analysis'!F:F^2,IF(Additional_weighting_method="Mantel-Haenszel",Weightf_MH,Weightf_Peto)),"")</f>
        <v>27.799543383165446</v>
      </c>
      <c r="FU3" s="3">
        <f>IF(AND(Include_study?="Yes",Sufficient_data="Yes"),1/('Publication Bias Analysis'!F:F^2+IF(Additional_model="Fixed effect",0,Calculations!GH$12)),"")</f>
        <v>27.799543383165446</v>
      </c>
      <c r="FV3" s="3">
        <f>IF(AND(Include_study?="Yes",Sufficient_data="Yes"),1/('Publication Bias Analysis'!F:F^2+IF(Additional_model="Fixed effect",0,'Publication Bias Analysis'!L$32)),"")</f>
        <v>27.799543383165446</v>
      </c>
      <c r="FW3" s="3">
        <f>IF(AND(Include_study?="Yes",Sufficient_data="Yes"),'Publication Bias Analysis'!E:E-'Publication Bias Analysis'!I$37,"")</f>
        <v>0.12460448913124567</v>
      </c>
      <c r="FX3" s="3">
        <f>IF(AND(Include_study?="Yes",Sufficient_data="Yes"),IF(Additional_model="Fixed effect",1/'Publication Bias Analysis'!F:F,1/SQRT('Publication Bias Analysis'!F:F^2+GH$12)),"")</f>
        <v>5.2725272292483654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0.9447635799067361</v>
      </c>
      <c r="FZ3" s="6">
        <f t="shared" si="80"/>
        <v>10</v>
      </c>
      <c r="GA3" s="83">
        <f>IF(AND(Include_study?="Yes",Sufficient_data="Yes"),FZ:FZ+IF(GL:GL&lt;0,-1,1)*COUNTIF(FZ$2:FZ2,FZ:FZ),"")</f>
        <v>10</v>
      </c>
      <c r="GB3" s="83">
        <f>IF(AND(Include_study?="Yes",Sufficient_data="Yes"),RANK(GP:GP,GP:GP,1)*IF(GO:GO&lt;0,-1,1)+IF(GO:GO&lt;0,-1,1)*COUNTIF(FZ$2:FZ2,FZ:FZ),"")</f>
        <v>10</v>
      </c>
      <c r="GC3" s="83">
        <f>IF(AND(Include_study?="Yes",Sufficient_data="Yes"),RANK(GS:GS,GS:GS,1)*IF(GR:GR&lt;0,-1,1)+IF(GR:GR&lt;0,-1,1)*COUNTIF(FZ$2:FZ2,FZ:FZ),"")</f>
        <v>10</v>
      </c>
      <c r="GD3" s="3">
        <f>IF(AND(Include_study?="Yes",Sufficient_data="Yes"),'Publication Bias Analysis'!E3,NA())</f>
        <v>0.17918609782910852</v>
      </c>
      <c r="GE3" s="35">
        <f>IF(AND(Include_study?="Yes",Sufficient_data="Yes"),'Publication Bias Analysis'!F3,NA())</f>
        <v>0.18966236806757217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-0.50251364426909606</v>
      </c>
      <c r="GI3" s="3">
        <f>IF(Trim_and_fill="Off",GH17,GH22)</f>
        <v>0.25002717064528379</v>
      </c>
      <c r="GK3" s="116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0.11437518129776922</v>
      </c>
      <c r="GM3" s="3">
        <f t="shared" si="81"/>
        <v>0.11437518129776922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27.799543383165446</v>
      </c>
      <c r="GO3" s="3">
        <f>IF(AND(Include_study?="Yes",Sufficient_data="Yes"),IF('Publication Bias Analysis'!L$38="Left",'Publication Bias Analysis'!E:E-GW$3,GW$3-'Publication Bias Analysis'!E:E),"")</f>
        <v>0.12460448913124564</v>
      </c>
      <c r="GP3" s="3">
        <f t="shared" si="82"/>
        <v>0.12460448913124564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27.799543383165446</v>
      </c>
      <c r="GR3" s="3">
        <f>IF(AND(Include_study?="Yes",Sufficient_data="Yes"),IF('Publication Bias Analysis'!L$38="Left",'Publication Bias Analysis'!E:E-GW$10,GW$10-'Publication Bias Analysis'!E:E),"")</f>
        <v>0.12460448913124564</v>
      </c>
      <c r="GS3" s="3">
        <f t="shared" si="83"/>
        <v>0.12460448913124564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27.799543383165446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5.4581608697862875E-2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6"/>
      <c r="HL3" s="3">
        <f t="shared" si="89"/>
        <v>-0.26596882624822982</v>
      </c>
      <c r="HM3" s="35">
        <f>IF(AND(Include_study?="Yes",Sufficient_data="Yes"),Z_score-('Publication Bias Analysis'!P$3+'Publication Bias Analysis'!P$4*Inverse_standard_error),"")</f>
        <v>0.38852067704978055</v>
      </c>
      <c r="HO3" s="116"/>
      <c r="HP3" s="3">
        <f>IF(AND(Include_study?="Yes",Sufficient_data="Yes"),(GD:GD-SUMPRODUCT(Calculations!FT:FT,'Publication Bias Analysis'!E:E)/SUM(Calculations!FT:FT))/SQRT(Calculations!HQ:HQ),"")</f>
        <v>0.6294359929507769</v>
      </c>
      <c r="HQ3" s="3">
        <f>IF(AND(Include_study?="Yes",Sufficient_data="Yes"),GE:GE^2-1/SUM(Calculations!FT:FT),"")</f>
        <v>3.3018736007398804E-2</v>
      </c>
      <c r="HR3" s="6">
        <f t="shared" si="90"/>
        <v>1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8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1</v>
      </c>
      <c r="HW3" s="116"/>
      <c r="HX3" s="20">
        <v>2</v>
      </c>
      <c r="HY3" s="3">
        <f t="shared" ref="HY3:HY10" si="123">HZ2</f>
        <v>-0.7</v>
      </c>
      <c r="HZ3" s="35">
        <f>HZ4-HY14</f>
        <v>-0.5</v>
      </c>
      <c r="IB3" s="116"/>
      <c r="IC3" s="76">
        <f t="shared" si="92"/>
        <v>0.12142857142857143</v>
      </c>
      <c r="ID3" s="3">
        <f t="shared" si="93"/>
        <v>0.10357142857142858</v>
      </c>
      <c r="IE3" s="3">
        <f t="shared" si="94"/>
        <v>35.241256063313756</v>
      </c>
      <c r="IF3" s="35">
        <f t="shared" si="95"/>
        <v>27.799543383165446</v>
      </c>
      <c r="IH3" s="3">
        <v>0</v>
      </c>
      <c r="II3" s="3">
        <v>0</v>
      </c>
      <c r="IK3" s="116"/>
      <c r="IL3" s="3">
        <f>IF(AND(Include_study?="Yes",Sufficient_data="Yes"),'Publication Bias Analysis'!AV:AV,NA())</f>
        <v>0.9447635799067361</v>
      </c>
      <c r="IM3" s="3">
        <f>IF(AND(Sufficient_data="Yes",Include_study?="Yes"),'Publication Bias Analysis'!AU:AU,NA())</f>
        <v>5.2725272292483654</v>
      </c>
      <c r="IN3" s="3">
        <f t="shared" si="96"/>
        <v>-0.26596882624822982</v>
      </c>
      <c r="IO3" s="35">
        <f>IF(AND(Include_study?="Yes",Sufficient_data="Yes"),Z_score-('Publication Bias Analysis'!AY$30+'Publication Bias Analysis'!AY$31*Inverse_standard_error),"")</f>
        <v>0.60304625774270659</v>
      </c>
      <c r="IQ3" s="2" t="s">
        <v>96</v>
      </c>
      <c r="IR3" s="3">
        <v>0</v>
      </c>
      <c r="IS3" s="3">
        <v>0</v>
      </c>
      <c r="IU3" s="116"/>
      <c r="IV3" s="6">
        <f>IF('Publication Bias Analysis'!BG:BG&lt;&gt;"",RANK('Publication Bias Analysis'!BG:BG,'Publication Bias Analysis'!BG:BG,1)+COUNTIF('Publication Bias Analysis'!BG$2:BG2,'Publication Bias Analysis'!BG3),"")</f>
        <v>10</v>
      </c>
      <c r="IW3" s="3">
        <f t="shared" si="97"/>
        <v>0.85294117647058809</v>
      </c>
      <c r="IX3" s="3">
        <f>IF('Publication Bias Analysis'!BF3&lt;&gt;"",'Publication Bias Analysis'!BF3,NA())</f>
        <v>1.0491313979639678</v>
      </c>
      <c r="IY3" s="3">
        <f>IF('Publication Bias Analysis'!BG3&lt;&gt;"",'Publication Bias Analysis'!BG3,NA())</f>
        <v>0.9447635799067361</v>
      </c>
      <c r="IZ3" s="3">
        <f>IF(AND(Include_study?="Yes",Sufficient_data="Yes"),'Publication Bias Analysis'!BF:BF-AVERAGE('Publication Bias Analysis'!BF:BF),"")</f>
        <v>1.0491313979639685</v>
      </c>
      <c r="JA3" s="35">
        <f>IF(AND(Include_study?="Yes",Sufficient_data="Yes"),'Publication Bias Analysis'!BG:BG-('Publication Bias Analysis'!BJ$30+'Publication Bias Analysis'!BJ$31*'Publication Bias Analysis'!BF:BF),"")</f>
        <v>0.12300998293561938</v>
      </c>
      <c r="JC3" s="2" t="s">
        <v>243</v>
      </c>
      <c r="JD3" s="3">
        <f>MIN('Publication Bias Analysis'!BF:BF)</f>
        <v>-1.5647264713617985</v>
      </c>
      <c r="JE3" s="3">
        <f>'Publication Bias Analysis'!BJ$30+JD3*'Publication Bias Analysis'!BJ$31</f>
        <v>-0.29427802034151912</v>
      </c>
      <c r="JG3" s="116"/>
      <c r="JH3" s="3">
        <f t="shared" si="98"/>
        <v>0.9447635799067361</v>
      </c>
      <c r="JI3" s="10">
        <f t="shared" ref="JI3:JI66" si="124">IF(JH3&lt;&gt;"",1-NORMSDIST(ABS(JH3)),"")</f>
        <v>0.17238979465169568</v>
      </c>
      <c r="JJ3" s="35">
        <f t="shared" ref="JJ3:JJ66" si="125">IF(JI3&lt;&gt;"",LN(MAX(10^-306,JI3)),"")</f>
        <v>-1.7579971182605076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80</v>
      </c>
      <c r="C4" s="6">
        <f>IF(AND(Include_study?="Yes",Sufficient_data="Yes"),IF(Input!b_&lt;&gt;"",Input!b_,Input!n1_-Input!a_),"")</f>
        <v>480</v>
      </c>
      <c r="D4" s="6">
        <f>IF(AND(Include_study?="Yes",Sufficient_data="Yes"),IF(Input!c_&lt;&gt;"",Input!c_,Input!n2_-Input!d_),"")</f>
        <v>81</v>
      </c>
      <c r="E4" s="6">
        <f>IF(AND(Include_study?="Yes",Sufficient_data="Yes"),IF(Input!d_&lt;&gt;"",Input!d_,Input!n2_-Input!c_),"")</f>
        <v>479</v>
      </c>
      <c r="F4" s="35" t="str">
        <f t="shared" si="1"/>
        <v>No</v>
      </c>
      <c r="H4" s="135"/>
      <c r="I4" s="129"/>
      <c r="J4" s="76">
        <f t="shared" si="2"/>
        <v>0.98559670781893005</v>
      </c>
      <c r="K4" s="3">
        <f t="shared" si="3"/>
        <v>-1.450802648957852E-2</v>
      </c>
      <c r="L4" s="3">
        <f t="shared" si="4"/>
        <v>0.17034287486687794</v>
      </c>
      <c r="M4" s="3">
        <f t="shared" si="5"/>
        <v>0.70557954812667012</v>
      </c>
      <c r="N4" s="35">
        <f t="shared" si="6"/>
        <v>1.3767418188956937</v>
      </c>
      <c r="P4" s="116"/>
      <c r="Q4" s="76">
        <f t="shared" si="7"/>
        <v>0.98560963297727622</v>
      </c>
      <c r="R4" s="3">
        <f t="shared" si="8"/>
        <v>0.17026398639651849</v>
      </c>
      <c r="S4" s="3">
        <f t="shared" si="9"/>
        <v>0.70569802494164824</v>
      </c>
      <c r="T4" s="35">
        <f t="shared" si="10"/>
        <v>1.3765467867051564</v>
      </c>
      <c r="V4" s="116"/>
      <c r="W4" s="76">
        <f t="shared" si="11"/>
        <v>-1.7857142857143071E-3</v>
      </c>
      <c r="X4" s="3">
        <f t="shared" si="12"/>
        <v>2.0966396609994293E-2</v>
      </c>
      <c r="Y4" s="3">
        <f t="shared" si="13"/>
        <v>-4.2923632263973555E-2</v>
      </c>
      <c r="Z4" s="35">
        <f t="shared" si="14"/>
        <v>3.935220369254494E-2</v>
      </c>
      <c r="AB4" s="116"/>
      <c r="AC4" s="76">
        <f t="shared" si="15"/>
        <v>0.98765432098765416</v>
      </c>
      <c r="AD4" s="3">
        <f t="shared" si="16"/>
        <v>-1.2422519998557322E-2</v>
      </c>
      <c r="AE4" s="3">
        <f t="shared" si="17"/>
        <v>0.14585695198007226</v>
      </c>
      <c r="AF4" s="3">
        <f t="shared" si="18"/>
        <v>0.74185111129577819</v>
      </c>
      <c r="AG4" s="35">
        <f t="shared" si="19"/>
        <v>1.3149013904714164</v>
      </c>
      <c r="AI4" s="135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Saffaryazdi et al.</v>
      </c>
      <c r="AN4" s="6">
        <f t="shared" si="21"/>
        <v>1120</v>
      </c>
      <c r="AO4" s="3">
        <f t="shared" si="22"/>
        <v>0.98559670781893005</v>
      </c>
      <c r="AP4" s="3">
        <f t="shared" si="23"/>
        <v>34.462918653646511</v>
      </c>
      <c r="AQ4" s="3">
        <f t="shared" si="24"/>
        <v>34.462918653646511</v>
      </c>
      <c r="AR4" s="3">
        <f t="shared" si="25"/>
        <v>0.17034287486687794</v>
      </c>
      <c r="AS4" s="3">
        <f t="shared" si="26"/>
        <v>0.70557954812667012</v>
      </c>
      <c r="AT4" s="3">
        <f t="shared" si="27"/>
        <v>1.3767418188956937</v>
      </c>
      <c r="AU4" s="80">
        <f t="shared" si="28"/>
        <v>0.10177168184651623</v>
      </c>
      <c r="AW4" s="44">
        <f t="shared" si="29"/>
        <v>0.98559670781893005</v>
      </c>
      <c r="AX4" s="3">
        <f t="shared" si="30"/>
        <v>0.28001715969225993</v>
      </c>
      <c r="AY4" s="35">
        <f t="shared" si="31"/>
        <v>0.39114511107676364</v>
      </c>
      <c r="BA4" s="2" t="s">
        <v>281</v>
      </c>
      <c r="BB4" s="3">
        <f>'Forest Plot'!$B$16-CES_CI_Lower_limit</f>
        <v>5.2439385030594643E-2</v>
      </c>
      <c r="BD4" s="135"/>
      <c r="BE4" s="129"/>
      <c r="BF4" s="3">
        <f t="shared" si="32"/>
        <v>-1.450802648957852E-2</v>
      </c>
      <c r="BG4" s="3">
        <f t="shared" si="33"/>
        <v>0.17034287486687794</v>
      </c>
      <c r="BH4" s="3">
        <f t="shared" si="34"/>
        <v>34.462918653646511</v>
      </c>
      <c r="BI4" s="3">
        <f t="shared" si="99"/>
        <v>34.462918653646511</v>
      </c>
      <c r="BJ4" s="35">
        <f t="shared" si="35"/>
        <v>-7.9318943020917826E-2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1.4413500926206094E-2</v>
      </c>
      <c r="BO4" s="116"/>
      <c r="BP4" s="3">
        <f t="shared" si="36"/>
        <v>34.214285714285715</v>
      </c>
      <c r="BQ4" s="3">
        <f t="shared" si="37"/>
        <v>34.714285714285715</v>
      </c>
      <c r="BR4" s="3">
        <f t="shared" si="38"/>
        <v>17.076594387755101</v>
      </c>
      <c r="BS4" s="3">
        <f>IF(AND(Sufficient_data="Yes",Include_study?="Yes"),IF(Add_0_5="Yes",(a_+d_+1)*(ab_+0.5)*(c_+0.5)/(Number_of_subjects+2)^2,(a_+d_)*b_*c_/Number_of_subjects^2),"")</f>
        <v>17.326147959183672</v>
      </c>
      <c r="BT4" s="3">
        <f t="shared" si="39"/>
        <v>17.137691326530611</v>
      </c>
      <c r="BU4" s="3">
        <f t="shared" si="40"/>
        <v>17.38813775510204</v>
      </c>
      <c r="BV4" s="3">
        <f t="shared" si="41"/>
        <v>34.714285714285715</v>
      </c>
      <c r="BW4" s="3">
        <f t="shared" si="42"/>
        <v>0.2171420662761579</v>
      </c>
      <c r="BX4" s="3">
        <f t="shared" si="43"/>
        <v>34.462918653646511</v>
      </c>
      <c r="BY4" s="35">
        <f t="shared" si="44"/>
        <v>-7.9318943020917798E-2</v>
      </c>
      <c r="CA4" s="3" t="s">
        <v>282</v>
      </c>
      <c r="CB4" s="3">
        <f>SQRT(VarlnCES_MH)</f>
        <v>2.2618615334590315E-2</v>
      </c>
      <c r="CD4" s="116"/>
      <c r="CE4" s="76">
        <f t="shared" si="45"/>
        <v>80.5</v>
      </c>
      <c r="CF4" s="3">
        <f t="shared" si="46"/>
        <v>34.494861483467382</v>
      </c>
      <c r="CG4" s="3">
        <f t="shared" si="47"/>
        <v>-1.4494912531816916E-2</v>
      </c>
      <c r="CH4" s="3">
        <f t="shared" si="48"/>
        <v>2.8989825063633831E-2</v>
      </c>
      <c r="CI4" s="3">
        <f t="shared" si="49"/>
        <v>34.494861483467382</v>
      </c>
      <c r="CJ4" s="3">
        <f t="shared" si="50"/>
        <v>34.494861483467382</v>
      </c>
      <c r="CK4" s="35">
        <f t="shared" si="51"/>
        <v>-7.9305144597580424E-2</v>
      </c>
      <c r="CM4" s="3" t="s">
        <v>282</v>
      </c>
      <c r="CN4" s="3">
        <f>SQRT(VarlnCES_Peto)</f>
        <v>2.2579004050820757E-2</v>
      </c>
      <c r="CP4" s="116"/>
      <c r="CQ4" s="52">
        <f t="shared" si="52"/>
        <v>0.14464285714285716</v>
      </c>
      <c r="CS4" s="2" t="s">
        <v>92</v>
      </c>
      <c r="CT4" s="3">
        <f>IF(Weighting_method="Inverse variance",IF(Model_effect_size_measure="Odds Ratio",CICES_LL,""),"")</f>
        <v>1.014517876299285</v>
      </c>
      <c r="CU4" s="3">
        <f>IF(Model_effect_size_measure="Odds Ratio",CICES_LL_MH,"")</f>
        <v>1.014517876299285</v>
      </c>
      <c r="CV4" s="3" t="str">
        <f>IF(Model_effect_size_measure="Peto Odds Ratio",CICES_LL_Peto,"")</f>
        <v/>
      </c>
      <c r="CX4" s="135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5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35"/>
      <c r="FS4" s="129"/>
      <c r="FT4" s="76">
        <f>IF(AND(Include_study?="Yes",Sufficient_data="Yes"),IF(Additional_weighting_method="Inverse Variance",1/'Publication Bias Analysis'!F:F^2,IF(Additional_weighting_method="Mantel-Haenszel",Weightf_MH,Weightf_Peto)),"")</f>
        <v>34.462918653646511</v>
      </c>
      <c r="FU4" s="3">
        <f>IF(AND(Include_study?="Yes",Sufficient_data="Yes"),1/('Publication Bias Analysis'!F:F^2+IF(Additional_model="Fixed effect",0,Calculations!GH$12)),"")</f>
        <v>34.462918653646511</v>
      </c>
      <c r="FV4" s="3">
        <f>IF(AND(Include_study?="Yes",Sufficient_data="Yes"),1/('Publication Bias Analysis'!F:F^2+IF(Additional_model="Fixed effect",0,'Publication Bias Analysis'!L$32)),"")</f>
        <v>34.462918653646511</v>
      </c>
      <c r="FW4" s="3">
        <f>IF(AND(Include_study?="Yes",Sufficient_data="Yes"),'Publication Bias Analysis'!E:E-'Publication Bias Analysis'!I$37,"")</f>
        <v>-6.9089635187441378E-2</v>
      </c>
      <c r="FX4" s="3">
        <f>IF(AND(Include_study?="Yes",Sufficient_data="Yes"),IF(Additional_model="Fixed effect",1/'Publication Bias Analysis'!F:F,1/SQRT('Publication Bias Analysis'!F:F^2+GH$12)),"")</f>
        <v>5.8705126397655008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-8.5169552885123415E-2</v>
      </c>
      <c r="FZ4" s="6">
        <f t="shared" si="80"/>
        <v>-8</v>
      </c>
      <c r="GA4" s="83">
        <f>IF(AND(Include_study?="Yes",Sufficient_data="Yes"),FZ:FZ+IF(GL:GL&lt;0,-1,1)*COUNTIF(FZ$2:FZ3,FZ:FZ),"")</f>
        <v>-8</v>
      </c>
      <c r="GB4" s="83">
        <f>IF(AND(Include_study?="Yes",Sufficient_data="Yes"),RANK(GP:GP,GP:GP,1)*IF(GO:GO&lt;0,-1,1)+IF(GO:GO&lt;0,-1,1)*COUNTIF(FZ$2:FZ3,FZ:FZ),"")</f>
        <v>-7</v>
      </c>
      <c r="GC4" s="83">
        <f>IF(AND(Include_study?="Yes",Sufficient_data="Yes"),RANK(GS:GS,GS:GS,1)*IF(GR:GR&lt;0,-1,1)+IF(GR:GR&lt;0,-1,1)*COUNTIF(FZ$2:FZ3,FZ:FZ),"")</f>
        <v>-7</v>
      </c>
      <c r="GD4" s="3">
        <f>IF(AND(Include_study?="Yes",Sufficient_data="Yes"),'Publication Bias Analysis'!E4,NA())</f>
        <v>-1.450802648957852E-2</v>
      </c>
      <c r="GE4" s="35">
        <f>IF(AND(Include_study?="Yes",Sufficient_data="Yes"),'Publication Bias Analysis'!F4,NA())</f>
        <v>0.17034287486687794</v>
      </c>
      <c r="GG4" s="2" t="s">
        <v>274</v>
      </c>
      <c r="GH4" s="3">
        <f>IF(Trim_and_fill="Off",'Publication Bias Analysis'!I29,'Publication Bias Analysis'!I37)</f>
        <v>5.4581608697862861E-2</v>
      </c>
      <c r="GI4" s="3">
        <v>0</v>
      </c>
      <c r="GK4" s="116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-7.9318943020917826E-2</v>
      </c>
      <c r="GM4" s="3">
        <f t="shared" si="81"/>
        <v>7.9318943020917826E-2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34.462918653646511</v>
      </c>
      <c r="GO4" s="3">
        <f>IF(AND(Include_study?="Yes",Sufficient_data="Yes"),IF('Publication Bias Analysis'!L$38="Left",'Publication Bias Analysis'!E:E-GW$3,GW$3-'Publication Bias Analysis'!E:E),"")</f>
        <v>-6.9089635187441392E-2</v>
      </c>
      <c r="GP4" s="3">
        <f t="shared" si="82"/>
        <v>6.9089635187441392E-2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34.462918653646511</v>
      </c>
      <c r="GR4" s="3">
        <f>IF(AND(Include_study?="Yes",Sufficient_data="Yes"),IF('Publication Bias Analysis'!L$38="Left",'Publication Bias Analysis'!E:E-GW$10,GW$10-'Publication Bias Analysis'!E:E),"")</f>
        <v>-6.9089635187441392E-2</v>
      </c>
      <c r="GS4" s="3">
        <f t="shared" si="83"/>
        <v>6.9089635187441392E-2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34.462918653646511</v>
      </c>
      <c r="GV4" s="118" t="s">
        <v>54</v>
      </c>
      <c r="GW4" s="118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6"/>
      <c r="HL4" s="3">
        <f t="shared" si="89"/>
        <v>0.33201658426890557</v>
      </c>
      <c r="HM4" s="35">
        <f>IF(AND(Include_study?="Yes",Sufficient_data="Yes"),Z_score-('Publication Bias Analysis'!P$3+'Publication Bias Analysis'!P$4*Inverse_standard_error),"")</f>
        <v>-0.23124077247083308</v>
      </c>
      <c r="HO4" s="116"/>
      <c r="HP4" s="3">
        <f>IF(AND(Include_study?="Yes",Sufficient_data="Yes"),(GD:GD-SUMPRODUCT(Calculations!FT:FT,'Publication Bias Analysis'!E:E)/SUM(Calculations!FT:FT))/SQRT(Calculations!HQ:HQ),"")</f>
        <v>-0.49131449191537324</v>
      </c>
      <c r="HQ4" s="3">
        <f>IF(AND(Include_study?="Yes",Sufficient_data="Yes"),GE:GE^2-1/SUM(Calculations!FT:FT),"")</f>
        <v>2.6063617164312415E-2</v>
      </c>
      <c r="HR4" s="6">
        <f t="shared" si="90"/>
        <v>10</v>
      </c>
      <c r="HS4" s="6">
        <f t="shared" si="91"/>
        <v>11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9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</v>
      </c>
      <c r="HW4" s="116"/>
      <c r="HX4" s="20">
        <v>3</v>
      </c>
      <c r="HY4" s="3">
        <f t="shared" si="123"/>
        <v>-0.5</v>
      </c>
      <c r="HZ4" s="35">
        <f>HZ5-HY14</f>
        <v>-0.30000000000000004</v>
      </c>
      <c r="IB4" s="116"/>
      <c r="IC4" s="76">
        <f t="shared" si="92"/>
        <v>0.14285714285714285</v>
      </c>
      <c r="ID4" s="3">
        <f t="shared" si="93"/>
        <v>0.14464285714285716</v>
      </c>
      <c r="IE4" s="3">
        <f t="shared" si="94"/>
        <v>47.00518134715027</v>
      </c>
      <c r="IF4" s="35">
        <f t="shared" si="95"/>
        <v>34.462918653646511</v>
      </c>
      <c r="IH4" s="3">
        <f>MAX('Publication Bias Analysis'!AH:AH)</f>
        <v>0.14464285714285716</v>
      </c>
      <c r="II4" s="3">
        <f>MAX('Publication Bias Analysis'!AH:AH)</f>
        <v>0.14464285714285716</v>
      </c>
      <c r="IK4" s="116"/>
      <c r="IL4" s="3">
        <f>IF(AND(Include_study?="Yes",Sufficient_data="Yes"),'Publication Bias Analysis'!AV:AV,NA())</f>
        <v>-8.5169552885123415E-2</v>
      </c>
      <c r="IM4" s="3">
        <f>IF(AND(Sufficient_data="Yes",Include_study?="Yes"),'Publication Bias Analysis'!AU:AU,NA())</f>
        <v>5.8705126397655008</v>
      </c>
      <c r="IN4" s="3">
        <f t="shared" si="96"/>
        <v>0.33201658426890557</v>
      </c>
      <c r="IO4" s="35">
        <f>IF(AND(Include_study?="Yes",Sufficient_data="Yes"),Z_score-('Publication Bias Analysis'!AY$30+'Publication Bias Analysis'!AY$31*Inverse_standard_error),"")</f>
        <v>-0.46564285757713764</v>
      </c>
      <c r="IQ4" s="2" t="s">
        <v>283</v>
      </c>
      <c r="IR4" s="3">
        <f>MAX(Inverse_standard_error)</f>
        <v>5.8705126397655008</v>
      </c>
      <c r="IS4" s="3">
        <f>IR4*'Publication Bias Analysis'!AY31</f>
        <v>0.38047330469201424</v>
      </c>
      <c r="IU4" s="116"/>
      <c r="IV4" s="6">
        <f>IF('Publication Bias Analysis'!BG:BG&lt;&gt;"",RANK('Publication Bias Analysis'!BG:BG,'Publication Bias Analysis'!BG:BG,1)+COUNTIF('Publication Bias Analysis'!BG$2:BG3,'Publication Bias Analysis'!BG4),"")</f>
        <v>2</v>
      </c>
      <c r="IW4" s="3">
        <f t="shared" si="97"/>
        <v>0.14705882352941177</v>
      </c>
      <c r="IX4" s="3">
        <f>IF('Publication Bias Analysis'!BF4&lt;&gt;"",'Publication Bias Analysis'!BF4,NA())</f>
        <v>-1.0491313979639725</v>
      </c>
      <c r="IY4" s="3">
        <f>IF('Publication Bias Analysis'!BG4&lt;&gt;"",'Publication Bias Analysis'!BG4,NA())</f>
        <v>-8.5169552885123415E-2</v>
      </c>
      <c r="IZ4" s="3">
        <f>IF(AND(Include_study?="Yes",Sufficient_data="Yes"),'Publication Bias Analysis'!BF:BF-AVERAGE('Publication Bias Analysis'!BF:BF),"")</f>
        <v>-1.0491313979639718</v>
      </c>
      <c r="JA4" s="35">
        <f>IF(AND(Include_study?="Yes",Sufficient_data="Yes"),'Publication Bias Analysis'!BG:BG-('Publication Bias Analysis'!BJ$30+'Publication Bias Analysis'!BJ$31*'Publication Bias Analysis'!BF:BF),"")</f>
        <v>-1.1033725581449286E-2</v>
      </c>
      <c r="JC4" s="2" t="s">
        <v>244</v>
      </c>
      <c r="JD4" s="3">
        <f>MAX('Publication Bias Analysis'!BF:BF)</f>
        <v>1.5647264713617974</v>
      </c>
      <c r="JE4" s="3">
        <f>'Publication Bias Analysis'!BJ$30+JD4*'Publication Bias Analysis'!BJ$31</f>
        <v>1.0418957900089632</v>
      </c>
      <c r="JG4" s="116"/>
      <c r="JH4" s="3">
        <f t="shared" si="98"/>
        <v>-8.5169552885123415E-2</v>
      </c>
      <c r="JI4" s="10">
        <f t="shared" si="124"/>
        <v>0.46606329794193901</v>
      </c>
      <c r="JJ4" s="35">
        <f t="shared" si="125"/>
        <v>-0.76343382158745765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68</v>
      </c>
      <c r="C5" s="6">
        <f>IF(AND(Include_study?="Yes",Sufficient_data="Yes"),IF(Input!b_&lt;&gt;"",Input!b_,Input!n1_-Input!a_),"")</f>
        <v>492</v>
      </c>
      <c r="D5" s="6">
        <f>IF(AND(Include_study?="Yes",Sufficient_data="Yes"),IF(Input!c_&lt;&gt;"",Input!c_,Input!n2_-Input!d_),"")</f>
        <v>58</v>
      </c>
      <c r="E5" s="6">
        <f>IF(AND(Include_study?="Yes",Sufficient_data="Yes"),IF(Input!d_&lt;&gt;"",Input!d_,Input!n2_-Input!c_),"")</f>
        <v>502</v>
      </c>
      <c r="F5" s="35" t="str">
        <f t="shared" si="1"/>
        <v>No</v>
      </c>
      <c r="H5" s="135"/>
      <c r="I5" s="129"/>
      <c r="J5" s="76">
        <f t="shared" si="2"/>
        <v>1.1962433417437623</v>
      </c>
      <c r="K5" s="3">
        <f t="shared" si="3"/>
        <v>0.17918609782910852</v>
      </c>
      <c r="L5" s="3">
        <f t="shared" si="4"/>
        <v>0.18966236806757217</v>
      </c>
      <c r="M5" s="3">
        <f t="shared" si="5"/>
        <v>0.82452469675644158</v>
      </c>
      <c r="N5" s="35">
        <f t="shared" si="6"/>
        <v>1.735543081117666</v>
      </c>
      <c r="P5" s="116"/>
      <c r="Q5" s="76">
        <f t="shared" si="7"/>
        <v>1.1956514637489482</v>
      </c>
      <c r="R5" s="3">
        <f t="shared" si="8"/>
        <v>0.1890456002068148</v>
      </c>
      <c r="S5" s="3">
        <f t="shared" si="9"/>
        <v>0.82511464888598929</v>
      </c>
      <c r="T5" s="35">
        <f t="shared" si="10"/>
        <v>1.7325864044410337</v>
      </c>
      <c r="V5" s="116"/>
      <c r="W5" s="76">
        <f t="shared" si="11"/>
        <v>1.7857142857142849E-2</v>
      </c>
      <c r="X5" s="3">
        <f t="shared" si="12"/>
        <v>1.8875913470066716E-2</v>
      </c>
      <c r="Y5" s="3">
        <f t="shared" si="13"/>
        <v>-1.9179062960225535E-2</v>
      </c>
      <c r="Z5" s="35">
        <f t="shared" si="14"/>
        <v>5.4893348674511233E-2</v>
      </c>
      <c r="AB5" s="116"/>
      <c r="AC5" s="76">
        <f t="shared" si="15"/>
        <v>1.1724137931034482</v>
      </c>
      <c r="AD5" s="3">
        <f t="shared" si="16"/>
        <v>0.15906469462968728</v>
      </c>
      <c r="AE5" s="3">
        <f t="shared" si="17"/>
        <v>0.16845127809505464</v>
      </c>
      <c r="AF5" s="3">
        <f t="shared" si="18"/>
        <v>0.84244107564111659</v>
      </c>
      <c r="AG5" s="35">
        <f t="shared" si="19"/>
        <v>1.6316323384554208</v>
      </c>
      <c r="AI5" s="135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Saffaryazdi et al.</v>
      </c>
      <c r="AN5" s="6">
        <f t="shared" si="21"/>
        <v>1120</v>
      </c>
      <c r="AO5" s="3">
        <f t="shared" si="22"/>
        <v>1.1962433417437623</v>
      </c>
      <c r="AP5" s="3">
        <f t="shared" si="23"/>
        <v>27.799543383165446</v>
      </c>
      <c r="AQ5" s="3">
        <f t="shared" si="24"/>
        <v>27.799543383165446</v>
      </c>
      <c r="AR5" s="3">
        <f t="shared" si="25"/>
        <v>0.18966236806757217</v>
      </c>
      <c r="AS5" s="3">
        <f t="shared" si="26"/>
        <v>0.82452469675644158</v>
      </c>
      <c r="AT5" s="3">
        <f t="shared" si="27"/>
        <v>1.735543081117666</v>
      </c>
      <c r="AU5" s="80">
        <f t="shared" si="28"/>
        <v>8.209421590502991E-2</v>
      </c>
      <c r="AW5" s="44">
        <f t="shared" si="29"/>
        <v>1.1962433417437623</v>
      </c>
      <c r="AX5" s="3">
        <f t="shared" si="30"/>
        <v>0.37171864498732077</v>
      </c>
      <c r="AY5" s="35">
        <f t="shared" si="31"/>
        <v>0.53929973937390363</v>
      </c>
      <c r="BA5" s="2" t="s">
        <v>284</v>
      </c>
      <c r="BB5" s="3">
        <f>CES_CI_Upper_limit-'Forest Plot'!$B$16</f>
        <v>5.5149922879782487E-2</v>
      </c>
      <c r="BD5" s="135"/>
      <c r="BE5" s="129"/>
      <c r="BF5" s="3">
        <f t="shared" si="32"/>
        <v>0.17918609782910852</v>
      </c>
      <c r="BG5" s="3">
        <f t="shared" si="33"/>
        <v>0.18966236806757217</v>
      </c>
      <c r="BH5" s="3">
        <f t="shared" si="34"/>
        <v>27.799543383165446</v>
      </c>
      <c r="BI5" s="3">
        <f t="shared" si="99"/>
        <v>27.799543383165446</v>
      </c>
      <c r="BJ5" s="35">
        <f t="shared" si="35"/>
        <v>0.11437518129776922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0.11520833213647251</v>
      </c>
      <c r="BO5" s="116"/>
      <c r="BP5" s="3">
        <f t="shared" si="36"/>
        <v>30.478571428571428</v>
      </c>
      <c r="BQ5" s="3">
        <f t="shared" si="37"/>
        <v>25.478571428571428</v>
      </c>
      <c r="BR5" s="3">
        <f t="shared" si="38"/>
        <v>15.511415816326531</v>
      </c>
      <c r="BS5" s="3">
        <f>IF(AND(Sufficient_data="Yes",Include_study?="Yes"),IF(Add_0_5="Yes",(a_+d_+1)*(ab_+0.5)*(c_+0.5)/(Number_of_subjects+2)^2,(a_+d_)*b_*c_/Number_of_subjects^2),"")</f>
        <v>12.966772959183674</v>
      </c>
      <c r="BT5" s="3">
        <f t="shared" si="39"/>
        <v>14.967155612244898</v>
      </c>
      <c r="BU5" s="3">
        <f t="shared" si="40"/>
        <v>12.511798469387756</v>
      </c>
      <c r="BV5" s="3">
        <f t="shared" si="41"/>
        <v>25.478571428571428</v>
      </c>
      <c r="BW5" s="3">
        <f t="shared" si="42"/>
        <v>0.36329420862588768</v>
      </c>
      <c r="BX5" s="3">
        <f t="shared" si="43"/>
        <v>27.799543383165446</v>
      </c>
      <c r="BY5" s="35">
        <f t="shared" si="44"/>
        <v>0.11437518129776925</v>
      </c>
      <c r="CA5" s="3" t="s">
        <v>285</v>
      </c>
      <c r="CB5" s="3">
        <f>lnCES_OddsRatio_MH-ABS(TINV((1-Confidence_level),k_-1))*SElnCES_MH</f>
        <v>1.4413500926206066E-2</v>
      </c>
      <c r="CD5" s="116"/>
      <c r="CE5" s="76">
        <f t="shared" si="45"/>
        <v>63</v>
      </c>
      <c r="CF5" s="3">
        <f t="shared" si="46"/>
        <v>27.981233243967829</v>
      </c>
      <c r="CG5" s="3">
        <f t="shared" si="47"/>
        <v>0.17869119478777426</v>
      </c>
      <c r="CH5" s="3">
        <f t="shared" si="48"/>
        <v>3.5738238957554853E-2</v>
      </c>
      <c r="CI5" s="3">
        <f t="shared" si="49"/>
        <v>27.981233243967829</v>
      </c>
      <c r="CJ5" s="3">
        <f t="shared" si="50"/>
        <v>27.981233243967829</v>
      </c>
      <c r="CK5" s="35">
        <f t="shared" si="51"/>
        <v>0.11388096272201075</v>
      </c>
      <c r="CM5" s="3" t="s">
        <v>285</v>
      </c>
      <c r="CN5" s="3">
        <f>lnCES_PetoOddsRatio-ABS(TINV((1-Confidence_level),k_-1))*SElnCES_Peto</f>
        <v>1.4501075900974318E-2</v>
      </c>
      <c r="CP5" s="116"/>
      <c r="CQ5" s="52">
        <f t="shared" si="52"/>
        <v>0.10357142857142858</v>
      </c>
      <c r="CS5" s="2" t="s">
        <v>93</v>
      </c>
      <c r="CT5" s="3">
        <f>IF(Weighting_method="Inverse variance",IF(Model_effect_size_measure="Odds Ratio",CICES_UL,""),"")</f>
        <v>1.1221071842096622</v>
      </c>
      <c r="CU5" s="3">
        <f>IF(Model_effect_size_measure="Odds Ratio",CICES_UL_MH,"")</f>
        <v>1.1221071842096622</v>
      </c>
      <c r="CV5" s="3" t="str">
        <f>IF(Model_effect_size_measure="Peto Odds Ratio",CICES_UL_Peto,"")</f>
        <v/>
      </c>
      <c r="CX5" s="135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5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35"/>
      <c r="FS5" s="129"/>
      <c r="FT5" s="76">
        <f>IF(AND(Include_study?="Yes",Sufficient_data="Yes"),IF(Additional_weighting_method="Inverse Variance",1/'Publication Bias Analysis'!F:F^2,IF(Additional_weighting_method="Mantel-Haenszel",Weightf_MH,Weightf_Peto)),"")</f>
        <v>27.799543383165446</v>
      </c>
      <c r="FU5" s="3">
        <f>IF(AND(Include_study?="Yes",Sufficient_data="Yes"),1/('Publication Bias Analysis'!F:F^2+IF(Additional_model="Fixed effect",0,Calculations!GH$12)),"")</f>
        <v>27.799543383165446</v>
      </c>
      <c r="FV5" s="3">
        <f>IF(AND(Include_study?="Yes",Sufficient_data="Yes"),1/('Publication Bias Analysis'!F:F^2+IF(Additional_model="Fixed effect",0,'Publication Bias Analysis'!L$32)),"")</f>
        <v>27.799543383165446</v>
      </c>
      <c r="FW5" s="3">
        <f>IF(AND(Include_study?="Yes",Sufficient_data="Yes"),'Publication Bias Analysis'!E:E-'Publication Bias Analysis'!I$37,"")</f>
        <v>0.12460448913124567</v>
      </c>
      <c r="FX5" s="3">
        <f>IF(AND(Include_study?="Yes",Sufficient_data="Yes"),IF(Additional_model="Fixed effect",1/'Publication Bias Analysis'!F:F,1/SQRT('Publication Bias Analysis'!F:F^2+GH$12)),"")</f>
        <v>5.2725272292483654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0.9447635799067361</v>
      </c>
      <c r="FZ5" s="6">
        <f t="shared" si="80"/>
        <v>10</v>
      </c>
      <c r="GA5" s="83">
        <f>IF(AND(Include_study?="Yes",Sufficient_data="Yes"),FZ:FZ+IF(GL:GL&lt;0,-1,1)*COUNTIF(FZ$2:FZ4,FZ:FZ),"")</f>
        <v>11</v>
      </c>
      <c r="GB5" s="83">
        <f>IF(AND(Include_study?="Yes",Sufficient_data="Yes"),RANK(GP:GP,GP:GP,1)*IF(GO:GO&lt;0,-1,1)+IF(GO:GO&lt;0,-1,1)*COUNTIF(FZ$2:FZ4,FZ:FZ),"")</f>
        <v>11</v>
      </c>
      <c r="GC5" s="83">
        <f>IF(AND(Include_study?="Yes",Sufficient_data="Yes"),RANK(GS:GS,GS:GS,1)*IF(GR:GR&lt;0,-1,1)+IF(GR:GR&lt;0,-1,1)*COUNTIF(FZ$2:FZ4,FZ:FZ),"")</f>
        <v>11</v>
      </c>
      <c r="GD5" s="3">
        <f>IF(AND(Include_study?="Yes",Sufficient_data="Yes"),'Publication Bias Analysis'!E5,NA())</f>
        <v>0.17918609782910852</v>
      </c>
      <c r="GE5" s="35">
        <f>IF(AND(Include_study?="Yes",Sufficient_data="Yes"),'Publication Bias Analysis'!F5,NA())</f>
        <v>0.18966236806757217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0.61167686166482182</v>
      </c>
      <c r="GI5" s="3">
        <f>IF(Trim_and_fill="Off",GH17,GH22)</f>
        <v>0.25002717064528379</v>
      </c>
      <c r="GK5" s="116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0.11437518129776922</v>
      </c>
      <c r="GM5" s="3">
        <f t="shared" si="81"/>
        <v>0.11437518129776922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27.799543383165446</v>
      </c>
      <c r="GO5" s="3">
        <f>IF(AND(Include_study?="Yes",Sufficient_data="Yes"),IF('Publication Bias Analysis'!L$38="Left",'Publication Bias Analysis'!E:E-GW$3,GW$3-'Publication Bias Analysis'!E:E),"")</f>
        <v>0.12460448913124564</v>
      </c>
      <c r="GP5" s="3">
        <f t="shared" si="82"/>
        <v>0.12460448913124564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27.799543383165446</v>
      </c>
      <c r="GR5" s="3">
        <f>IF(AND(Include_study?="Yes",Sufficient_data="Yes"),IF('Publication Bias Analysis'!L$38="Left",'Publication Bias Analysis'!E:E-GW$10,GW$10-'Publication Bias Analysis'!E:E),"")</f>
        <v>0.12460448913124564</v>
      </c>
      <c r="GS5" s="3">
        <f t="shared" si="83"/>
        <v>0.12460448913124564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27.799543383165446</v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1.3362460639925353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6"/>
      <c r="HL5" s="3">
        <f t="shared" si="89"/>
        <v>-0.26596882624822982</v>
      </c>
      <c r="HM5" s="35">
        <f>IF(AND(Include_study?="Yes",Sufficient_data="Yes"),Z_score-('Publication Bias Analysis'!P$3+'Publication Bias Analysis'!P$4*Inverse_standard_error),"")</f>
        <v>0.38852067704978055</v>
      </c>
      <c r="HO5" s="116"/>
      <c r="HP5" s="3">
        <f>IF(AND(Include_study?="Yes",Sufficient_data="Yes"),(GD:GD-SUMPRODUCT(Calculations!FT:FT,'Publication Bias Analysis'!E:E)/SUM(Calculations!FT:FT))/SQRT(Calculations!HQ:HQ),"")</f>
        <v>0.6294359929507769</v>
      </c>
      <c r="HQ5" s="3">
        <f>IF(AND(Include_study?="Yes",Sufficient_data="Yes"),GE:GE^2-1/SUM(Calculations!FT:FT),"")</f>
        <v>3.3018736007398804E-2</v>
      </c>
      <c r="HR5" s="6">
        <f t="shared" si="90"/>
        <v>1</v>
      </c>
      <c r="HS5" s="6">
        <f t="shared" si="91"/>
        <v>2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8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1</v>
      </c>
      <c r="HW5" s="116"/>
      <c r="HX5" s="20">
        <v>4</v>
      </c>
      <c r="HY5" s="3">
        <f t="shared" si="123"/>
        <v>-0.30000000000000004</v>
      </c>
      <c r="HZ5" s="35">
        <f>HZ6-HY14</f>
        <v>-0.1</v>
      </c>
      <c r="IB5" s="116"/>
      <c r="IC5" s="76">
        <f t="shared" si="92"/>
        <v>0.12142857142857143</v>
      </c>
      <c r="ID5" s="3">
        <f t="shared" si="93"/>
        <v>0.10357142857142858</v>
      </c>
      <c r="IE5" s="3">
        <f t="shared" si="94"/>
        <v>35.241256063313756</v>
      </c>
      <c r="IF5" s="35">
        <f t="shared" si="95"/>
        <v>27.799543383165446</v>
      </c>
      <c r="IH5" s="118" t="s">
        <v>287</v>
      </c>
      <c r="II5" s="118"/>
      <c r="IK5" s="116"/>
      <c r="IL5" s="3">
        <f>IF(AND(Include_study?="Yes",Sufficient_data="Yes"),'Publication Bias Analysis'!AV:AV,NA())</f>
        <v>0.9447635799067361</v>
      </c>
      <c r="IM5" s="3">
        <f>IF(AND(Sufficient_data="Yes",Include_study?="Yes"),'Publication Bias Analysis'!AU:AU,NA())</f>
        <v>5.2725272292483654</v>
      </c>
      <c r="IN5" s="3">
        <f t="shared" si="96"/>
        <v>-0.26596882624822982</v>
      </c>
      <c r="IO5" s="35">
        <f>IF(AND(Include_study?="Yes",Sufficient_data="Yes"),Z_score-('Publication Bias Analysis'!AY$30+'Publication Bias Analysis'!AY$31*Inverse_standard_error),"")</f>
        <v>0.60304625774270659</v>
      </c>
      <c r="IQ5" s="24" t="s">
        <v>243</v>
      </c>
      <c r="IR5" s="2" t="s">
        <v>240</v>
      </c>
      <c r="IS5" s="2" t="s">
        <v>241</v>
      </c>
      <c r="IU5" s="116"/>
      <c r="IV5" s="6">
        <f>IF('Publication Bias Analysis'!BG:BG&lt;&gt;"",RANK('Publication Bias Analysis'!BG:BG,'Publication Bias Analysis'!BG:BG,1)+COUNTIF('Publication Bias Analysis'!BG$2:BG4,'Publication Bias Analysis'!BG5),"")</f>
        <v>11</v>
      </c>
      <c r="IW5" s="3">
        <f t="shared" si="97"/>
        <v>0.94117647058823517</v>
      </c>
      <c r="IX5" s="3">
        <f>IF('Publication Bias Analysis'!BF5&lt;&gt;"",'Publication Bias Analysis'!BF5,NA())</f>
        <v>1.5647264713617974</v>
      </c>
      <c r="IY5" s="3">
        <f>IF('Publication Bias Analysis'!BG5&lt;&gt;"",'Publication Bias Analysis'!BG5,NA())</f>
        <v>0.9447635799067361</v>
      </c>
      <c r="IZ5" s="3">
        <f>IF(AND(Include_study?="Yes",Sufficient_data="Yes"),'Publication Bias Analysis'!BF:BF-AVERAGE('Publication Bias Analysis'!BF:BF),"")</f>
        <v>1.5647264713617981</v>
      </c>
      <c r="JA5" s="35">
        <f>IF(AND(Include_study?="Yes",Sufficient_data="Yes"),'Publication Bias Analysis'!BG:BG-('Publication Bias Analysis'!BJ$30+'Publication Bias Analysis'!BJ$31*'Publication Bias Analysis'!BF:BF),"")</f>
        <v>-9.7132210102227057E-2</v>
      </c>
      <c r="JC5" s="24" t="s">
        <v>288</v>
      </c>
      <c r="JD5" s="2" t="s">
        <v>240</v>
      </c>
      <c r="JE5" s="2" t="s">
        <v>241</v>
      </c>
      <c r="JG5" s="116"/>
      <c r="JH5" s="3">
        <f t="shared" si="98"/>
        <v>0.9447635799067361</v>
      </c>
      <c r="JI5" s="10">
        <f t="shared" si="124"/>
        <v>0.17238979465169568</v>
      </c>
      <c r="JJ5" s="35">
        <f t="shared" si="125"/>
        <v>-1.7579971182605076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79</v>
      </c>
      <c r="C6" s="6">
        <f>IF(AND(Include_study?="Yes",Sufficient_data="Yes"),IF(Input!b_&lt;&gt;"",Input!b_,Input!n1_-Input!a_),"")</f>
        <v>481</v>
      </c>
      <c r="D6" s="6">
        <f>IF(AND(Include_study?="Yes",Sufficient_data="Yes"),IF(Input!c_&lt;&gt;"",Input!c_,Input!n2_-Input!d_),"")</f>
        <v>73</v>
      </c>
      <c r="E6" s="6">
        <f>IF(AND(Include_study?="Yes",Sufficient_data="Yes"),IF(Input!d_&lt;&gt;"",Input!d_,Input!n2_-Input!c_),"")</f>
        <v>487</v>
      </c>
      <c r="F6" s="35" t="str">
        <f t="shared" si="1"/>
        <v>No</v>
      </c>
      <c r="H6" s="135"/>
      <c r="I6" s="129"/>
      <c r="J6" s="76">
        <f t="shared" si="2"/>
        <v>1.0956910545951641</v>
      </c>
      <c r="K6" s="3">
        <f t="shared" si="3"/>
        <v>9.1385264295458929E-2</v>
      </c>
      <c r="L6" s="3">
        <f t="shared" si="4"/>
        <v>0.17461170680810242</v>
      </c>
      <c r="M6" s="3">
        <f t="shared" si="5"/>
        <v>0.7778525528689334</v>
      </c>
      <c r="N6" s="35">
        <f t="shared" si="6"/>
        <v>1.5434016160157171</v>
      </c>
      <c r="P6" s="116"/>
      <c r="Q6" s="76">
        <f t="shared" si="7"/>
        <v>1.0955565570677894</v>
      </c>
      <c r="R6" s="3">
        <f t="shared" si="8"/>
        <v>0.17441569638571963</v>
      </c>
      <c r="S6" s="3">
        <f t="shared" si="9"/>
        <v>0.77805624534130646</v>
      </c>
      <c r="T6" s="35">
        <f t="shared" si="10"/>
        <v>1.5426187719985753</v>
      </c>
      <c r="V6" s="116"/>
      <c r="W6" s="76">
        <f t="shared" si="11"/>
        <v>1.0714285714285704E-2</v>
      </c>
      <c r="X6" s="3">
        <f t="shared" si="12"/>
        <v>2.0464884505254632E-2</v>
      </c>
      <c r="Y6" s="3">
        <f t="shared" si="13"/>
        <v>-2.9439621314755408E-2</v>
      </c>
      <c r="Z6" s="35">
        <f t="shared" si="14"/>
        <v>5.0868192743326816E-2</v>
      </c>
      <c r="AB6" s="116"/>
      <c r="AC6" s="76">
        <f t="shared" si="15"/>
        <v>1.0821917808219177</v>
      </c>
      <c r="AD6" s="3">
        <f t="shared" si="16"/>
        <v>7.8988411318630256E-2</v>
      </c>
      <c r="AE6" s="3">
        <f t="shared" si="17"/>
        <v>0.15094843296191912</v>
      </c>
      <c r="AF6" s="3">
        <f t="shared" si="18"/>
        <v>0.80478049346183678</v>
      </c>
      <c r="AG6" s="35">
        <f t="shared" si="19"/>
        <v>1.4552279286004461</v>
      </c>
      <c r="AI6" s="135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Saffaryazdi et al.</v>
      </c>
      <c r="AN6" s="6">
        <f t="shared" si="21"/>
        <v>1120</v>
      </c>
      <c r="AO6" s="3">
        <f t="shared" si="22"/>
        <v>1.0956910545951641</v>
      </c>
      <c r="AP6" s="3">
        <f t="shared" si="23"/>
        <v>32.798447339030787</v>
      </c>
      <c r="AQ6" s="3">
        <f t="shared" si="24"/>
        <v>32.798447339030787</v>
      </c>
      <c r="AR6" s="3">
        <f t="shared" si="25"/>
        <v>0.17461170680810242</v>
      </c>
      <c r="AS6" s="3">
        <f t="shared" si="26"/>
        <v>0.7778525528689334</v>
      </c>
      <c r="AT6" s="3">
        <f t="shared" si="27"/>
        <v>1.5434016160157171</v>
      </c>
      <c r="AU6" s="80">
        <f t="shared" si="28"/>
        <v>9.6856368469371373E-2</v>
      </c>
      <c r="AW6" s="44">
        <f t="shared" si="29"/>
        <v>1.0956910545951641</v>
      </c>
      <c r="AX6" s="3">
        <f t="shared" si="30"/>
        <v>0.31783850172623074</v>
      </c>
      <c r="AY6" s="35">
        <f t="shared" si="31"/>
        <v>0.44771056142055299</v>
      </c>
      <c r="BA6" s="2" t="s">
        <v>289</v>
      </c>
      <c r="BB6" s="3">
        <f>'Forest Plot'!$B$16-CES_PI_Lower_limit</f>
        <v>5.2439385030594643E-2</v>
      </c>
      <c r="BD6" s="135"/>
      <c r="BE6" s="129"/>
      <c r="BF6" s="3">
        <f t="shared" si="32"/>
        <v>9.1385264295458929E-2</v>
      </c>
      <c r="BG6" s="3">
        <f t="shared" si="33"/>
        <v>0.17461170680810242</v>
      </c>
      <c r="BH6" s="3">
        <f t="shared" si="34"/>
        <v>32.798447339030787</v>
      </c>
      <c r="BI6" s="3">
        <f t="shared" si="99"/>
        <v>32.798447339030787</v>
      </c>
      <c r="BJ6" s="35">
        <f t="shared" si="35"/>
        <v>2.6574347764119627E-2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1.4413500926206094E-2</v>
      </c>
      <c r="BO6" s="116"/>
      <c r="BP6" s="3">
        <f t="shared" si="36"/>
        <v>34.35089285714286</v>
      </c>
      <c r="BQ6" s="3">
        <f t="shared" si="37"/>
        <v>31.350892857142856</v>
      </c>
      <c r="BR6" s="3">
        <f t="shared" si="38"/>
        <v>17.359469068877551</v>
      </c>
      <c r="BS6" s="3">
        <f>IF(AND(Sufficient_data="Yes",Include_study?="Yes"),IF(Add_0_5="Yes",(a_+d_+1)*(ab_+0.5)*(c_+0.5)/(Number_of_subjects+2)^2,(a_+d_)*b_*c_/Number_of_subjects^2),"")</f>
        <v>15.843397640306122</v>
      </c>
      <c r="BT6" s="3">
        <f t="shared" si="39"/>
        <v>16.991423788265305</v>
      </c>
      <c r="BU6" s="3">
        <f t="shared" si="40"/>
        <v>15.507495216836734</v>
      </c>
      <c r="BV6" s="3">
        <f t="shared" si="41"/>
        <v>31.350892857142856</v>
      </c>
      <c r="BW6" s="3">
        <f t="shared" si="42"/>
        <v>2.3060631699286061E-2</v>
      </c>
      <c r="BX6" s="3">
        <f t="shared" si="43"/>
        <v>32.798447339030787</v>
      </c>
      <c r="BY6" s="35">
        <f t="shared" si="44"/>
        <v>2.6574347764119655E-2</v>
      </c>
      <c r="CA6" s="3" t="s">
        <v>290</v>
      </c>
      <c r="CB6" s="3">
        <f>lnCES_OddsRatio_MH+ABS(TINV((1-Confidence_level),k_-1))*SElnCES_MH</f>
        <v>0.11520833213647248</v>
      </c>
      <c r="CD6" s="116"/>
      <c r="CE6" s="76">
        <f t="shared" si="45"/>
        <v>76</v>
      </c>
      <c r="CF6" s="3">
        <f t="shared" si="46"/>
        <v>32.872207327971402</v>
      </c>
      <c r="CG6" s="3">
        <f t="shared" si="47"/>
        <v>9.126250543714659E-2</v>
      </c>
      <c r="CH6" s="3">
        <f t="shared" si="48"/>
        <v>3.042083514571553E-2</v>
      </c>
      <c r="CI6" s="3">
        <f t="shared" si="49"/>
        <v>32.872207327971402</v>
      </c>
      <c r="CJ6" s="3">
        <f t="shared" si="50"/>
        <v>32.872207327971402</v>
      </c>
      <c r="CK6" s="35">
        <f t="shared" si="51"/>
        <v>2.6452273371383075E-2</v>
      </c>
      <c r="CM6" s="3" t="s">
        <v>290</v>
      </c>
      <c r="CN6" s="3">
        <f>lnCES_PetoOddsRatio+ABS(TINV((1-Confidence_level),k_-1))*SElnCES_Peto</f>
        <v>0.1151193882305527</v>
      </c>
      <c r="CP6" s="116"/>
      <c r="CQ6" s="52">
        <f t="shared" si="52"/>
        <v>0.13035714285714287</v>
      </c>
      <c r="CS6" s="2" t="s">
        <v>291</v>
      </c>
      <c r="CT6" s="3">
        <f>IF(Weighting_method="Inverse variance",IF(Model_effect_size_measure="Odds Ratio",PICES_LL,""),"")</f>
        <v>1.014517876299285</v>
      </c>
      <c r="CU6" s="3">
        <f>IF(Model_effect_size_measure="Odds Ratio",PICES_LL_MH,"")</f>
        <v>1.014517876299285</v>
      </c>
      <c r="CV6" s="3" t="str">
        <f>IF(Model_effect_size_measure="Peto Odds Ratio",PICES_LL_Peto,"")</f>
        <v/>
      </c>
      <c r="CX6" s="135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5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35"/>
      <c r="FS6" s="129"/>
      <c r="FT6" s="76">
        <f>IF(AND(Include_study?="Yes",Sufficient_data="Yes"),IF(Additional_weighting_method="Inverse Variance",1/'Publication Bias Analysis'!F:F^2,IF(Additional_weighting_method="Mantel-Haenszel",Weightf_MH,Weightf_Peto)),"")</f>
        <v>32.798447339030787</v>
      </c>
      <c r="FU6" s="3">
        <f>IF(AND(Include_study?="Yes",Sufficient_data="Yes"),1/('Publication Bias Analysis'!F:F^2+IF(Additional_model="Fixed effect",0,Calculations!GH$12)),"")</f>
        <v>32.798447339030787</v>
      </c>
      <c r="FV6" s="3">
        <f>IF(AND(Include_study?="Yes",Sufficient_data="Yes"),1/('Publication Bias Analysis'!F:F^2+IF(Additional_model="Fixed effect",0,'Publication Bias Analysis'!L$32)),"")</f>
        <v>32.798447339030787</v>
      </c>
      <c r="FW6" s="3">
        <f>IF(AND(Include_study?="Yes",Sufficient_data="Yes"),'Publication Bias Analysis'!E:E-'Publication Bias Analysis'!I$37,"")</f>
        <v>3.6803655597596067E-2</v>
      </c>
      <c r="FX6" s="3">
        <f>IF(AND(Include_study?="Yes",Sufficient_data="Yes"),IF(Additional_model="Fixed effect",1/'Publication Bias Analysis'!F:F,1/SQRT('Publication Bias Analysis'!F:F^2+GH$12)),"")</f>
        <v>5.7269928705238309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0.52336275709102931</v>
      </c>
      <c r="FZ6" s="6">
        <f t="shared" si="80"/>
        <v>4</v>
      </c>
      <c r="GA6" s="83">
        <f>IF(AND(Include_study?="Yes",Sufficient_data="Yes"),FZ:FZ+IF(GL:GL&lt;0,-1,1)*COUNTIF(FZ$2:FZ5,FZ:FZ),"")</f>
        <v>4</v>
      </c>
      <c r="GB6" s="83">
        <f>IF(AND(Include_study?="Yes",Sufficient_data="Yes"),RANK(GP:GP,GP:GP,1)*IF(GO:GO&lt;0,-1,1)+IF(GO:GO&lt;0,-1,1)*COUNTIF(FZ$2:FZ5,FZ:FZ),"")</f>
        <v>5</v>
      </c>
      <c r="GC6" s="83">
        <f>IF(AND(Include_study?="Yes",Sufficient_data="Yes"),RANK(GS:GS,GS:GS,1)*IF(GR:GR&lt;0,-1,1)+IF(GR:GR&lt;0,-1,1)*COUNTIF(FZ$2:FZ5,FZ:FZ),"")</f>
        <v>5</v>
      </c>
      <c r="GD6" s="3">
        <f>IF(AND(Include_study?="Yes",Sufficient_data="Yes"),'Publication Bias Analysis'!E6,NA())</f>
        <v>9.1385264295458929E-2</v>
      </c>
      <c r="GE6" s="35">
        <f>IF(AND(Include_study?="Yes",Sufficient_data="Yes"),'Publication Bias Analysis'!F6,NA())</f>
        <v>0.17461170680810242</v>
      </c>
      <c r="GG6" s="24" t="s">
        <v>293</v>
      </c>
      <c r="GH6" s="2" t="s">
        <v>240</v>
      </c>
      <c r="GI6" s="2" t="s">
        <v>241</v>
      </c>
      <c r="GK6" s="116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2.6574347764119627E-2</v>
      </c>
      <c r="GM6" s="3">
        <f t="shared" si="81"/>
        <v>2.6574347764119627E-2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32.798447339030787</v>
      </c>
      <c r="GO6" s="3">
        <f>IF(AND(Include_study?="Yes",Sufficient_data="Yes"),IF('Publication Bias Analysis'!L$38="Left",'Publication Bias Analysis'!E:E-GW$3,GW$3-'Publication Bias Analysis'!E:E),"")</f>
        <v>3.6803655597596054E-2</v>
      </c>
      <c r="GP6" s="3">
        <f t="shared" si="82"/>
        <v>3.6803655597596054E-2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32.798447339030787</v>
      </c>
      <c r="GR6" s="3">
        <f>IF(AND(Include_study?="Yes",Sufficient_data="Yes"),IF('Publication Bias Analysis'!L$38="Left",'Publication Bias Analysis'!E:E-GW$10,GW$10-'Publication Bias Analysis'!E:E),"")</f>
        <v>3.6803655597596054E-2</v>
      </c>
      <c r="GS6" s="3">
        <f t="shared" si="83"/>
        <v>3.6803655597596054E-2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32.798447339030787</v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6"/>
      <c r="HL6" s="3">
        <f t="shared" si="89"/>
        <v>0.1884968150272357</v>
      </c>
      <c r="HM6" s="35">
        <f>IF(AND(Include_study?="Yes",Sufficient_data="Yes"),Z_score-('Publication Bias Analysis'!P$3+'Publication Bias Analysis'!P$4*Inverse_standard_error),"")</f>
        <v>0.27884809006126265</v>
      </c>
      <c r="HO6" s="116"/>
      <c r="HP6" s="3">
        <f>IF(AND(Include_study?="Yes",Sufficient_data="Yes"),(GD:GD-SUMPRODUCT(Calculations!FT:FT,'Publication Bias Analysis'!E:E)/SUM(Calculations!FT:FT))/SQRT(Calculations!HQ:HQ),"")</f>
        <v>0.16014406368490217</v>
      </c>
      <c r="HQ6" s="3">
        <f>IF(AND(Include_study?="Yes",Sufficient_data="Yes"),GE:GE^2-1/SUM(Calculations!FT:FT),"")</f>
        <v>2.7536170300838304E-2</v>
      </c>
      <c r="HR6" s="6">
        <f t="shared" si="90"/>
        <v>4</v>
      </c>
      <c r="HS6" s="6">
        <f t="shared" si="91"/>
        <v>6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8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2</v>
      </c>
      <c r="HW6" s="116"/>
      <c r="HX6" s="20">
        <v>5</v>
      </c>
      <c r="HY6" s="3">
        <f t="shared" si="123"/>
        <v>-0.1</v>
      </c>
      <c r="HZ6" s="35">
        <f>1/2*HY14</f>
        <v>0.1</v>
      </c>
      <c r="IB6" s="116"/>
      <c r="IC6" s="76">
        <f t="shared" si="92"/>
        <v>0.14107142857142857</v>
      </c>
      <c r="ID6" s="3">
        <f t="shared" si="93"/>
        <v>0.13035714285714287</v>
      </c>
      <c r="IE6" s="3">
        <f t="shared" si="94"/>
        <v>43.887696029135988</v>
      </c>
      <c r="IF6" s="35">
        <f t="shared" si="95"/>
        <v>32.798447339030787</v>
      </c>
      <c r="IH6" s="3">
        <v>0</v>
      </c>
      <c r="II6" s="3">
        <v>0</v>
      </c>
      <c r="IK6" s="116"/>
      <c r="IL6" s="3">
        <f>IF(AND(Include_study?="Yes",Sufficient_data="Yes"),'Publication Bias Analysis'!AV:AV,NA())</f>
        <v>0.52336275709102931</v>
      </c>
      <c r="IM6" s="3">
        <f>IF(AND(Sufficient_data="Yes",Include_study?="Yes"),'Publication Bias Analysis'!AU:AU,NA())</f>
        <v>5.7269928705238309</v>
      </c>
      <c r="IN6" s="3">
        <f t="shared" si="96"/>
        <v>0.1884968150272357</v>
      </c>
      <c r="IO6" s="35">
        <f>IF(AND(Include_study?="Yes",Sufficient_data="Yes"),Z_score-('Publication Bias Analysis'!AY$30+'Publication Bias Analysis'!AY$31*Inverse_standard_error),"")</f>
        <v>0.15219110018393406</v>
      </c>
      <c r="IQ6" s="2" t="s">
        <v>96</v>
      </c>
      <c r="IR6" s="3">
        <v>0</v>
      </c>
      <c r="IS6" s="3">
        <f>ABS(TINV((1-Additional_confidence_level),k_-1))*-1</f>
        <v>-2.2281388519862744</v>
      </c>
      <c r="IU6" s="116"/>
      <c r="IV6" s="6">
        <f>IF('Publication Bias Analysis'!BG:BG&lt;&gt;"",RANK('Publication Bias Analysis'!BG:BG,'Publication Bias Analysis'!BG:BG,1)+COUNTIF('Publication Bias Analysis'!BG$2:BG5,'Publication Bias Analysis'!BG6),"")</f>
        <v>8</v>
      </c>
      <c r="IW6" s="3">
        <f t="shared" si="97"/>
        <v>0.67647058823529416</v>
      </c>
      <c r="IX6" s="3">
        <f>IF('Publication Bias Analysis'!BF6&lt;&gt;"",'Publication Bias Analysis'!BF6,NA())</f>
        <v>0.45785193101249527</v>
      </c>
      <c r="IY6" s="3">
        <f>IF('Publication Bias Analysis'!BG6&lt;&gt;"",'Publication Bias Analysis'!BG6,NA())</f>
        <v>0.52336275709102931</v>
      </c>
      <c r="IZ6" s="3">
        <f>IF(AND(Include_study?="Yes",Sufficient_data="Yes"),'Publication Bias Analysis'!BF:BF-AVERAGE('Publication Bias Analysis'!BF:BF),"")</f>
        <v>0.45785193101249588</v>
      </c>
      <c r="JA6" s="35">
        <f>IF(AND(Include_study?="Yes",Sufficient_data="Yes"),'Publication Bias Analysis'!BG:BG-('Publication Bias Analysis'!BJ$30+'Publication Bias Analysis'!BJ$31*'Publication Bias Analysis'!BF:BF),"")</f>
        <v>-4.5933892037005153E-2</v>
      </c>
      <c r="JC6" s="2" t="s">
        <v>280</v>
      </c>
      <c r="JD6" s="3">
        <f>MIN('Publication Bias Analysis'!BF:BF)</f>
        <v>-1.5647264713617985</v>
      </c>
      <c r="JE6" s="3">
        <f>'Publication Bias Analysis'!BJ30</f>
        <v>0.37380888483372227</v>
      </c>
      <c r="JG6" s="116"/>
      <c r="JH6" s="3">
        <f t="shared" si="98"/>
        <v>0.52336275709102931</v>
      </c>
      <c r="JI6" s="10">
        <f t="shared" si="124"/>
        <v>0.30036091809543763</v>
      </c>
      <c r="JJ6" s="35">
        <f t="shared" si="125"/>
        <v>-1.2027704671049801</v>
      </c>
    </row>
    <row r="7" spans="1:270" ht="14" x14ac:dyDescent="0.35">
      <c r="A7" s="2">
        <f t="shared" si="0"/>
        <v>6</v>
      </c>
      <c r="B7" s="6">
        <f>IF(AND(Include_study?="Yes",Sufficient_data="Yes"),IF(Input!a_&lt;&gt;"",Input!a_,Input!n1_-Input!b_),"")</f>
        <v>68</v>
      </c>
      <c r="C7" s="6">
        <f>IF(AND(Include_study?="Yes",Sufficient_data="Yes"),IF(Input!b_&lt;&gt;"",Input!b_,Input!n1_-Input!a_),"")</f>
        <v>492</v>
      </c>
      <c r="D7" s="6">
        <f>IF(AND(Include_study?="Yes",Sufficient_data="Yes"),IF(Input!c_&lt;&gt;"",Input!c_,Input!n2_-Input!d_),"")</f>
        <v>60</v>
      </c>
      <c r="E7" s="6">
        <f>IF(AND(Include_study?="Yes",Sufficient_data="Yes"),IF(Input!d_&lt;&gt;"",Input!d_,Input!n2_-Input!c_),"")</f>
        <v>500</v>
      </c>
      <c r="F7" s="35" t="str">
        <f t="shared" si="1"/>
        <v>No</v>
      </c>
      <c r="H7" s="135"/>
      <c r="I7" s="129"/>
      <c r="J7" s="76">
        <f t="shared" si="2"/>
        <v>1.1517615176151761</v>
      </c>
      <c r="K7" s="3">
        <f t="shared" si="3"/>
        <v>0.14129252488388958</v>
      </c>
      <c r="L7" s="3">
        <f t="shared" si="4"/>
        <v>0.18816234837185439</v>
      </c>
      <c r="M7" s="3">
        <f t="shared" si="5"/>
        <v>0.79620500214202961</v>
      </c>
      <c r="N7" s="35">
        <f t="shared" si="6"/>
        <v>1.6660967839819956</v>
      </c>
      <c r="P7" s="116"/>
      <c r="Q7" s="76">
        <f t="shared" si="7"/>
        <v>1.1514281301210014</v>
      </c>
      <c r="R7" s="3">
        <f t="shared" si="8"/>
        <v>0.18775184699061442</v>
      </c>
      <c r="S7" s="3">
        <f t="shared" si="9"/>
        <v>0.79661590150297046</v>
      </c>
      <c r="T7" s="35">
        <f t="shared" si="10"/>
        <v>1.6642735053776754</v>
      </c>
      <c r="V7" s="116"/>
      <c r="W7" s="76">
        <f t="shared" si="11"/>
        <v>1.428571428571429E-2</v>
      </c>
      <c r="X7" s="3">
        <f t="shared" si="12"/>
        <v>1.9008782687010298E-2</v>
      </c>
      <c r="Y7" s="3">
        <f t="shared" si="13"/>
        <v>-2.3011192645447535E-2</v>
      </c>
      <c r="Z7" s="35">
        <f t="shared" si="14"/>
        <v>5.1582621216876116E-2</v>
      </c>
      <c r="AB7" s="116"/>
      <c r="AC7" s="76">
        <f t="shared" si="15"/>
        <v>1.1333333333333333</v>
      </c>
      <c r="AD7" s="3">
        <f t="shared" si="16"/>
        <v>0.12516314295400599</v>
      </c>
      <c r="AE7" s="3">
        <f t="shared" si="17"/>
        <v>0.16673667997228225</v>
      </c>
      <c r="AF7" s="3">
        <f t="shared" si="18"/>
        <v>0.81710398292428077</v>
      </c>
      <c r="AG7" s="35">
        <f t="shared" si="19"/>
        <v>1.5719473546654723</v>
      </c>
      <c r="AI7" s="135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Saffaryazdi et al.</v>
      </c>
      <c r="AN7" s="6">
        <f t="shared" si="21"/>
        <v>1120</v>
      </c>
      <c r="AO7" s="3">
        <f t="shared" si="22"/>
        <v>1.1517615176151761</v>
      </c>
      <c r="AP7" s="3">
        <f t="shared" si="23"/>
        <v>28.24454290036741</v>
      </c>
      <c r="AQ7" s="3">
        <f t="shared" si="24"/>
        <v>28.24454290036741</v>
      </c>
      <c r="AR7" s="3">
        <f t="shared" si="25"/>
        <v>0.18816234837185439</v>
      </c>
      <c r="AS7" s="3">
        <f t="shared" si="26"/>
        <v>0.79620500214202961</v>
      </c>
      <c r="AT7" s="3">
        <f t="shared" si="27"/>
        <v>1.6660967839819956</v>
      </c>
      <c r="AU7" s="80">
        <f t="shared" si="28"/>
        <v>8.3408334124141906E-2</v>
      </c>
      <c r="AW7" s="44">
        <f t="shared" si="29"/>
        <v>1.1517615176151761</v>
      </c>
      <c r="AX7" s="3">
        <f t="shared" si="30"/>
        <v>0.35555651547314648</v>
      </c>
      <c r="AY7" s="35">
        <f t="shared" si="31"/>
        <v>0.51433526636681948</v>
      </c>
      <c r="BA7" s="2" t="s">
        <v>294</v>
      </c>
      <c r="BB7" s="3">
        <f>CES_PI_Upper_limit-'Forest Plot'!$B$16</f>
        <v>5.5149922879782487E-2</v>
      </c>
      <c r="BD7" s="135"/>
      <c r="BE7" s="129"/>
      <c r="BF7" s="3">
        <f t="shared" si="32"/>
        <v>0.14129252488388958</v>
      </c>
      <c r="BG7" s="3">
        <f t="shared" si="33"/>
        <v>0.18816234837185439</v>
      </c>
      <c r="BH7" s="3">
        <f t="shared" si="34"/>
        <v>28.24454290036741</v>
      </c>
      <c r="BI7" s="3">
        <f t="shared" si="99"/>
        <v>28.24454290036741</v>
      </c>
      <c r="BJ7" s="35">
        <f t="shared" si="35"/>
        <v>7.6481608352550273E-2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0.11520833213647251</v>
      </c>
      <c r="BO7" s="116"/>
      <c r="BP7" s="3">
        <f t="shared" si="36"/>
        <v>30.357142857142858</v>
      </c>
      <c r="BQ7" s="3">
        <f t="shared" si="37"/>
        <v>26.357142857142858</v>
      </c>
      <c r="BR7" s="3">
        <f t="shared" si="38"/>
        <v>15.395408163265307</v>
      </c>
      <c r="BS7" s="3">
        <f>IF(AND(Sufficient_data="Yes",Include_study?="Yes"),IF(Add_0_5="Yes",(a_+d_+1)*(ab_+0.5)*(c_+0.5)/(Number_of_subjects+2)^2,(a_+d_)*b_*c_/Number_of_subjects^2),"")</f>
        <v>13.366836734693878</v>
      </c>
      <c r="BT7" s="3">
        <f t="shared" si="39"/>
        <v>14.961734693877551</v>
      </c>
      <c r="BU7" s="3">
        <f t="shared" si="40"/>
        <v>12.990306122448979</v>
      </c>
      <c r="BV7" s="3">
        <f t="shared" si="41"/>
        <v>26.357142857142858</v>
      </c>
      <c r="BW7" s="3">
        <f t="shared" si="42"/>
        <v>0.16496291929690043</v>
      </c>
      <c r="BX7" s="3">
        <f t="shared" si="43"/>
        <v>28.24454290036741</v>
      </c>
      <c r="BY7" s="35">
        <f t="shared" si="44"/>
        <v>7.6481608352550301E-2</v>
      </c>
      <c r="CA7" s="3" t="s">
        <v>295</v>
      </c>
      <c r="CB7" s="3">
        <f>lnCES_OddsRatio_MH-ABS(TINV((1-Confidence_level),k_-1))*SQRT(T2_MH+SElnCES_MH^2)</f>
        <v>1.4413500926206066E-2</v>
      </c>
      <c r="CD7" s="116"/>
      <c r="CE7" s="76">
        <f t="shared" si="45"/>
        <v>64</v>
      </c>
      <c r="CF7" s="3">
        <f t="shared" si="46"/>
        <v>28.368185880250223</v>
      </c>
      <c r="CG7" s="3">
        <f t="shared" si="47"/>
        <v>0.14100302419354838</v>
      </c>
      <c r="CH7" s="3">
        <f t="shared" si="48"/>
        <v>3.5250756048387094E-2</v>
      </c>
      <c r="CI7" s="3">
        <f t="shared" si="49"/>
        <v>28.368185880250223</v>
      </c>
      <c r="CJ7" s="3">
        <f t="shared" si="50"/>
        <v>28.368185880250227</v>
      </c>
      <c r="CK7" s="35">
        <f t="shared" si="51"/>
        <v>7.6192792127784861E-2</v>
      </c>
      <c r="CM7" s="3" t="s">
        <v>295</v>
      </c>
      <c r="CN7" s="3">
        <f>lnCES_PetoOddsRatio-ABS(TINV((1-Confidence_level),k_-1))*SQRT(T2_Peto+SElnCES_Peto^2)</f>
        <v>1.4501075900974318E-2</v>
      </c>
      <c r="CP7" s="116"/>
      <c r="CQ7" s="52">
        <f t="shared" si="52"/>
        <v>0.10714285714285714</v>
      </c>
      <c r="CS7" s="2" t="s">
        <v>296</v>
      </c>
      <c r="CT7" s="3">
        <f>IF(Weighting_method="Inverse variance",IF(Model_effect_size_measure="Odds Ratio",PICES_UL,""),"")</f>
        <v>1.1221071842096622</v>
      </c>
      <c r="CU7" s="3">
        <f>IF(Model_effect_size_measure="Odds Ratio",PICES_UL_MH,"")</f>
        <v>1.1221071842096622</v>
      </c>
      <c r="CV7" s="3" t="str">
        <f>IF(Model_effect_size_measure="Peto Odds Ratio",PICES_UL_Peto,"")</f>
        <v/>
      </c>
      <c r="CX7" s="135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5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5"/>
      <c r="FS7" s="129"/>
      <c r="FT7" s="76">
        <f>IF(AND(Include_study?="Yes",Sufficient_data="Yes"),IF(Additional_weighting_method="Inverse Variance",1/'Publication Bias Analysis'!F:F^2,IF(Additional_weighting_method="Mantel-Haenszel",Weightf_MH,Weightf_Peto)),"")</f>
        <v>28.24454290036741</v>
      </c>
      <c r="FU7" s="3">
        <f>IF(AND(Include_study?="Yes",Sufficient_data="Yes"),1/('Publication Bias Analysis'!F:F^2+IF(Additional_model="Fixed effect",0,Calculations!GH$12)),"")</f>
        <v>28.24454290036741</v>
      </c>
      <c r="FV7" s="3">
        <f>IF(AND(Include_study?="Yes",Sufficient_data="Yes"),1/('Publication Bias Analysis'!F:F^2+IF(Additional_model="Fixed effect",0,'Publication Bias Analysis'!L$32)),"")</f>
        <v>28.24454290036741</v>
      </c>
      <c r="FW7" s="3">
        <f>IF(AND(Include_study?="Yes",Sufficient_data="Yes"),'Publication Bias Analysis'!E:E-'Publication Bias Analysis'!I$37,"")</f>
        <v>8.6710916186026721E-2</v>
      </c>
      <c r="FX7" s="3">
        <f>IF(AND(Include_study?="Yes",Sufficient_data="Yes"),IF(Additional_model="Fixed effect",1/'Publication Bias Analysis'!F:F,1/SQRT('Publication Bias Analysis'!F:F^2+GH$12)),"")</f>
        <v>5.3145595208227192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0.75090753334275628</v>
      </c>
      <c r="FZ7" s="6">
        <f t="shared" si="80"/>
        <v>7</v>
      </c>
      <c r="GA7" s="83">
        <f>IF(AND(Include_study?="Yes",Sufficient_data="Yes"),FZ:FZ+IF(GL:GL&lt;0,-1,1)*COUNTIF(FZ$2:FZ6,FZ:FZ),"")</f>
        <v>7</v>
      </c>
      <c r="GB7" s="83">
        <f>IF(AND(Include_study?="Yes",Sufficient_data="Yes"),RANK(GP:GP,GP:GP,1)*IF(GO:GO&lt;0,-1,1)+IF(GO:GO&lt;0,-1,1)*COUNTIF(FZ$2:FZ6,FZ:FZ),"")</f>
        <v>8</v>
      </c>
      <c r="GC7" s="83">
        <f>IF(AND(Include_study?="Yes",Sufficient_data="Yes"),RANK(GS:GS,GS:GS,1)*IF(GR:GR&lt;0,-1,1)+IF(GR:GR&lt;0,-1,1)*COUNTIF(FZ$2:FZ6,FZ:FZ),"")</f>
        <v>8</v>
      </c>
      <c r="GD7" s="3">
        <f>IF(AND(Include_study?="Yes",Sufficient_data="Yes"),'Publication Bias Analysis'!E7,NA())</f>
        <v>0.14129252488388958</v>
      </c>
      <c r="GE7" s="35">
        <f>IF(AND(Include_study?="Yes",Sufficient_data="Yes"),'Publication Bias Analysis'!F7,NA())</f>
        <v>0.18816234837185439</v>
      </c>
      <c r="GG7" s="2" t="s">
        <v>243</v>
      </c>
      <c r="GH7" s="3">
        <f>IF(Trim_and_fill="Off",'Publication Bias Analysis'!I29,'Publication Bias Analysis'!I37)</f>
        <v>5.4581608697862861E-2</v>
      </c>
      <c r="GI7" s="3">
        <v>0</v>
      </c>
      <c r="GK7" s="116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7.6481608352550273E-2</v>
      </c>
      <c r="GM7" s="3">
        <f t="shared" si="81"/>
        <v>7.6481608352550273E-2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28.24454290036741</v>
      </c>
      <c r="GO7" s="3">
        <f>IF(AND(Include_study?="Yes",Sufficient_data="Yes"),IF('Publication Bias Analysis'!L$38="Left",'Publication Bias Analysis'!E:E-GW$3,GW$3-'Publication Bias Analysis'!E:E),"")</f>
        <v>8.6710916186026693E-2</v>
      </c>
      <c r="GP7" s="3">
        <f t="shared" si="82"/>
        <v>8.6710916186026693E-2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28.24454290036741</v>
      </c>
      <c r="GR7" s="3">
        <f>IF(AND(Include_study?="Yes",Sufficient_data="Yes"),IF('Publication Bias Analysis'!L$38="Left",'Publication Bias Analysis'!E:E-GW$10,GW$10-'Publication Bias Analysis'!E:E),"")</f>
        <v>8.6710916186026693E-2</v>
      </c>
      <c r="GS7" s="3">
        <f t="shared" si="83"/>
        <v>8.6710916186026693E-2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28.24454290036741</v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1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6"/>
      <c r="HL7" s="3">
        <f t="shared" si="89"/>
        <v>-0.22393653467387598</v>
      </c>
      <c r="HM7" s="35">
        <f>IF(AND(Include_study?="Yes",Sufficient_data="Yes"),Z_score-('Publication Bias Analysis'!P$3+'Publication Bias Analysis'!P$4*Inverse_standard_error),"")</f>
        <v>0.22349552750031332</v>
      </c>
      <c r="HO7" s="116"/>
      <c r="HP7" s="3">
        <f>IF(AND(Include_study?="Yes",Sufficient_data="Yes"),(GD:GD-SUMPRODUCT(Calculations!FT:FT,'Publication Bias Analysis'!E:E)/SUM(Calculations!FT:FT))/SQRT(Calculations!HQ:HQ),"")</f>
        <v>0.4245573223252696</v>
      </c>
      <c r="HQ7" s="3">
        <f>IF(AND(Include_study?="Yes",Sufficient_data="Yes"),GE:GE^2-1/SUM(Calculations!FT:FT),"")</f>
        <v>3.2451991491210676E-2</v>
      </c>
      <c r="HR7" s="6">
        <f t="shared" si="90"/>
        <v>3</v>
      </c>
      <c r="HS7" s="6">
        <f t="shared" si="91"/>
        <v>4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9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1</v>
      </c>
      <c r="HW7" s="116"/>
      <c r="HX7" s="20">
        <v>6</v>
      </c>
      <c r="HY7" s="3">
        <f t="shared" si="123"/>
        <v>0.1</v>
      </c>
      <c r="HZ7" s="35">
        <f>HZ6+HY14</f>
        <v>0.30000000000000004</v>
      </c>
      <c r="IB7" s="116"/>
      <c r="IC7" s="76">
        <f t="shared" si="92"/>
        <v>0.12142857142857143</v>
      </c>
      <c r="ID7" s="3">
        <f t="shared" si="93"/>
        <v>0.10714285714285714</v>
      </c>
      <c r="IE7" s="3">
        <f t="shared" si="94"/>
        <v>35.969773299748113</v>
      </c>
      <c r="IF7" s="35">
        <f t="shared" si="95"/>
        <v>28.24454290036741</v>
      </c>
      <c r="IH7" s="3">
        <f>MAX('Publication Bias Analysis'!AH:AH)</f>
        <v>0.14464285714285716</v>
      </c>
      <c r="II7" s="3">
        <f>EXP(SUMPRODUCT(LogRiskRatio,IE:IE)/SUM(IE:IE))*MAX('Publication Bias Analysis'!AH:AH)</f>
        <v>0.15310395813311037</v>
      </c>
      <c r="IK7" s="116"/>
      <c r="IL7" s="3">
        <f>IF(AND(Include_study?="Yes",Sufficient_data="Yes"),'Publication Bias Analysis'!AV:AV,NA())</f>
        <v>0.75090753334275628</v>
      </c>
      <c r="IM7" s="3">
        <f>IF(AND(Sufficient_data="Yes",Include_study?="Yes"),'Publication Bias Analysis'!AU:AU,NA())</f>
        <v>5.3145595208227192</v>
      </c>
      <c r="IN7" s="3">
        <f t="shared" si="96"/>
        <v>-0.22393653467387598</v>
      </c>
      <c r="IO7" s="35">
        <f>IF(AND(Include_study?="Yes",Sufficient_data="Yes"),Z_score-('Publication Bias Analysis'!AY$30+'Publication Bias Analysis'!AY$31*Inverse_standard_error),"")</f>
        <v>0.40646605983788042</v>
      </c>
      <c r="IQ7" s="2" t="s">
        <v>283</v>
      </c>
      <c r="IR7" s="3">
        <f>MAX(Inverse_standard_error)</f>
        <v>5.8705126397655008</v>
      </c>
      <c r="IS7" s="3">
        <f>IR7*'Publication Bias Analysis'!AY31+IS6</f>
        <v>-1.8476655472942602</v>
      </c>
      <c r="IU7" s="116"/>
      <c r="IV7" s="6">
        <f>IF('Publication Bias Analysis'!BG:BG&lt;&gt;"",RANK('Publication Bias Analysis'!BG:BG,'Publication Bias Analysis'!BG:BG,1)+COUNTIF('Publication Bias Analysis'!BG$2:BG6,'Publication Bias Analysis'!BG7),"")</f>
        <v>9</v>
      </c>
      <c r="IW7" s="3">
        <f t="shared" si="97"/>
        <v>0.76470588235294112</v>
      </c>
      <c r="IX7" s="3">
        <f>IF('Publication Bias Analysis'!BF7&lt;&gt;"",'Publication Bias Analysis'!BF7,NA())</f>
        <v>0.72152228398234308</v>
      </c>
      <c r="IY7" s="3">
        <f>IF('Publication Bias Analysis'!BG7&lt;&gt;"",'Publication Bias Analysis'!BG7,NA())</f>
        <v>0.75090753334275628</v>
      </c>
      <c r="IZ7" s="3">
        <f>IF(AND(Include_study?="Yes",Sufficient_data="Yes"),'Publication Bias Analysis'!BF:BF-AVERAGE('Publication Bias Analysis'!BF:BF),"")</f>
        <v>0.72152228398234364</v>
      </c>
      <c r="JA7" s="35">
        <f>IF(AND(Include_study?="Yes",Sufficient_data="Yes"),'Publication Bias Analysis'!BG:BG-('Publication Bias Analysis'!BJ$30+'Publication Bias Analysis'!BJ$31*'Publication Bias Analysis'!BF:BF),"")</f>
        <v>6.90322876829077E-2</v>
      </c>
      <c r="JC7" s="2" t="s">
        <v>286</v>
      </c>
      <c r="JD7" s="3">
        <f>MAX('Publication Bias Analysis'!BF:BF)</f>
        <v>1.5647264713617974</v>
      </c>
      <c r="JE7" s="3">
        <f>'Publication Bias Analysis'!BJ30</f>
        <v>0.37380888483372227</v>
      </c>
      <c r="JG7" s="116"/>
      <c r="JH7" s="3">
        <f t="shared" si="98"/>
        <v>0.75090753334275628</v>
      </c>
      <c r="JI7" s="10">
        <f t="shared" si="124"/>
        <v>0.22635415314102225</v>
      </c>
      <c r="JJ7" s="35">
        <f t="shared" si="125"/>
        <v>-1.4856544569538424</v>
      </c>
    </row>
    <row r="8" spans="1:270" ht="13" x14ac:dyDescent="0.35">
      <c r="A8" s="2">
        <f t="shared" si="0"/>
        <v>7</v>
      </c>
      <c r="B8" s="6">
        <f>IF(AND(Include_study?="Yes",Sufficient_data="Yes"),IF(Input!a_&lt;&gt;"",Input!a_,Input!n1_-Input!b_),"")</f>
        <v>78</v>
      </c>
      <c r="C8" s="6">
        <f>IF(AND(Include_study?="Yes",Sufficient_data="Yes"),IF(Input!b_&lt;&gt;"",Input!b_,Input!n1_-Input!a_),"")</f>
        <v>482</v>
      </c>
      <c r="D8" s="6">
        <f>IF(AND(Include_study?="Yes",Sufficient_data="Yes"),IF(Input!c_&lt;&gt;"",Input!c_,Input!n2_-Input!d_),"")</f>
        <v>81</v>
      </c>
      <c r="E8" s="6">
        <f>IF(AND(Include_study?="Yes",Sufficient_data="Yes"),IF(Input!d_&lt;&gt;"",Input!d_,Input!n2_-Input!c_),"")</f>
        <v>479</v>
      </c>
      <c r="F8" s="35" t="str">
        <f t="shared" si="1"/>
        <v>No</v>
      </c>
      <c r="H8" s="135"/>
      <c r="I8" s="129"/>
      <c r="J8" s="76">
        <f t="shared" si="2"/>
        <v>0.95696941755033038</v>
      </c>
      <c r="K8" s="3">
        <f t="shared" si="3"/>
        <v>-4.3983844622532131E-2</v>
      </c>
      <c r="L8" s="3">
        <f t="shared" si="4"/>
        <v>0.17125584165736601</v>
      </c>
      <c r="M8" s="3">
        <f t="shared" si="5"/>
        <v>0.6838594265442719</v>
      </c>
      <c r="N8" s="35">
        <f t="shared" si="6"/>
        <v>1.3391501682653664</v>
      </c>
      <c r="P8" s="116"/>
      <c r="Q8" s="76">
        <f t="shared" si="7"/>
        <v>0.9570113016503885</v>
      </c>
      <c r="R8" s="3">
        <f t="shared" si="8"/>
        <v>0.17115310522428479</v>
      </c>
      <c r="S8" s="3">
        <f t="shared" si="9"/>
        <v>0.68402722822022821</v>
      </c>
      <c r="T8" s="35">
        <f t="shared" si="10"/>
        <v>1.3389388517026966</v>
      </c>
      <c r="V8" s="116"/>
      <c r="W8" s="76">
        <f t="shared" si="11"/>
        <v>-5.3571428571428659E-3</v>
      </c>
      <c r="X8" s="3">
        <f t="shared" si="12"/>
        <v>2.0856932091121272E-2</v>
      </c>
      <c r="Y8" s="3">
        <f t="shared" si="13"/>
        <v>-4.6280281801947147E-2</v>
      </c>
      <c r="Z8" s="35">
        <f t="shared" si="14"/>
        <v>3.5565996087661415E-2</v>
      </c>
      <c r="AB8" s="116"/>
      <c r="AC8" s="76">
        <f t="shared" si="15"/>
        <v>0.96296296296296291</v>
      </c>
      <c r="AD8" s="3">
        <f t="shared" si="16"/>
        <v>-3.7740327982847086E-2</v>
      </c>
      <c r="AE8" s="3">
        <f t="shared" si="17"/>
        <v>0.14695156774063325</v>
      </c>
      <c r="AF8" s="3">
        <f t="shared" si="18"/>
        <v>0.72175303516757905</v>
      </c>
      <c r="AG8" s="35">
        <f t="shared" si="19"/>
        <v>1.2847852698300126</v>
      </c>
      <c r="AI8" s="135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Saffaryazdi et al.</v>
      </c>
      <c r="AN8" s="6">
        <f t="shared" si="21"/>
        <v>1120</v>
      </c>
      <c r="AO8" s="3">
        <f t="shared" si="22"/>
        <v>0.95696941755033038</v>
      </c>
      <c r="AP8" s="3">
        <f t="shared" si="23"/>
        <v>34.096453675913715</v>
      </c>
      <c r="AQ8" s="3">
        <f t="shared" si="24"/>
        <v>34.096453675913715</v>
      </c>
      <c r="AR8" s="3">
        <f t="shared" si="25"/>
        <v>0.17125584165736601</v>
      </c>
      <c r="AS8" s="3">
        <f t="shared" si="26"/>
        <v>0.6838594265442719</v>
      </c>
      <c r="AT8" s="3">
        <f t="shared" si="27"/>
        <v>1.3391501682653664</v>
      </c>
      <c r="AU8" s="80">
        <f t="shared" si="28"/>
        <v>0.10068948223665335</v>
      </c>
      <c r="AW8" s="44">
        <f t="shared" si="29"/>
        <v>0.95696941755033038</v>
      </c>
      <c r="AX8" s="3">
        <f t="shared" si="30"/>
        <v>0.27310999100605848</v>
      </c>
      <c r="AY8" s="35">
        <f t="shared" si="31"/>
        <v>0.38218075071503599</v>
      </c>
      <c r="BA8" s="2" t="s">
        <v>298</v>
      </c>
      <c r="BB8" s="9">
        <f>IF(BB2&lt;&gt;"",MAX(Weight_lookup),"")</f>
        <v>0.10177168184651623</v>
      </c>
      <c r="BD8" s="135"/>
      <c r="BE8" s="129"/>
      <c r="BF8" s="3">
        <f t="shared" si="32"/>
        <v>-4.3983844622532131E-2</v>
      </c>
      <c r="BG8" s="3">
        <f t="shared" si="33"/>
        <v>0.17125584165736601</v>
      </c>
      <c r="BH8" s="3">
        <f t="shared" si="34"/>
        <v>34.096453675913715</v>
      </c>
      <c r="BI8" s="3">
        <f t="shared" si="99"/>
        <v>34.096453675913715</v>
      </c>
      <c r="BJ8" s="35">
        <f t="shared" si="35"/>
        <v>-0.10879476115387143</v>
      </c>
      <c r="BO8" s="116"/>
      <c r="BP8" s="3">
        <f t="shared" si="36"/>
        <v>33.358928571428571</v>
      </c>
      <c r="BQ8" s="3">
        <f t="shared" si="37"/>
        <v>34.858928571428571</v>
      </c>
      <c r="BR8" s="3">
        <f t="shared" si="38"/>
        <v>16.590110012755101</v>
      </c>
      <c r="BS8" s="3">
        <f>IF(AND(Sufficient_data="Yes",Include_study?="Yes"),IF(Add_0_5="Yes",(a_+d_+1)*(ab_+0.5)*(c_+0.5)/(Number_of_subjects+2)^2,(a_+d_)*b_*c_/Number_of_subjects^2),"")</f>
        <v>17.336092155612246</v>
      </c>
      <c r="BT8" s="3">
        <f t="shared" si="39"/>
        <v>16.76881855867347</v>
      </c>
      <c r="BU8" s="3">
        <f t="shared" si="40"/>
        <v>17.522836415816325</v>
      </c>
      <c r="BV8" s="3">
        <f t="shared" si="41"/>
        <v>34.858928571428571</v>
      </c>
      <c r="BW8" s="3">
        <f t="shared" si="42"/>
        <v>0.40400842723694208</v>
      </c>
      <c r="BX8" s="3">
        <f t="shared" si="43"/>
        <v>34.096453675913715</v>
      </c>
      <c r="BY8" s="35">
        <f t="shared" si="44"/>
        <v>-0.10879476115387141</v>
      </c>
      <c r="CA8" s="3" t="s">
        <v>299</v>
      </c>
      <c r="CB8" s="3">
        <f>lnCES_OddsRatio_MH+ABS(TINV((1-Confidence_level),k_-1))*SQRT(T2_MH+SElnCES_MH^2)</f>
        <v>0.11520833213647248</v>
      </c>
      <c r="CD8" s="116"/>
      <c r="CE8" s="76">
        <f t="shared" si="45"/>
        <v>79.5</v>
      </c>
      <c r="CF8" s="3">
        <f t="shared" si="46"/>
        <v>34.137399463806972</v>
      </c>
      <c r="CG8" s="3">
        <f t="shared" si="47"/>
        <v>-4.3940078141872653E-2</v>
      </c>
      <c r="CH8" s="3">
        <f t="shared" si="48"/>
        <v>2.9293385427915104E-2</v>
      </c>
      <c r="CI8" s="3">
        <f t="shared" si="49"/>
        <v>34.137399463806972</v>
      </c>
      <c r="CJ8" s="3">
        <f t="shared" si="50"/>
        <v>34.137399463806972</v>
      </c>
      <c r="CK8" s="35">
        <f t="shared" si="51"/>
        <v>-0.10875031020763617</v>
      </c>
      <c r="CM8" s="3" t="s">
        <v>299</v>
      </c>
      <c r="CN8" s="3">
        <f>lnCES_PetoOddsRatio+ABS(TINV((1-Confidence_level),k_-1))*SQRT(T2_Peto+SElnCES_Peto^2)</f>
        <v>0.1151193882305527</v>
      </c>
      <c r="CP8" s="116"/>
      <c r="CQ8" s="52">
        <f t="shared" si="52"/>
        <v>0.14464285714285716</v>
      </c>
      <c r="CX8" s="135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5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35"/>
      <c r="FS8" s="129"/>
      <c r="FT8" s="76">
        <f>IF(AND(Include_study?="Yes",Sufficient_data="Yes"),IF(Additional_weighting_method="Inverse Variance",1/'Publication Bias Analysis'!F:F^2,IF(Additional_weighting_method="Mantel-Haenszel",Weightf_MH,Weightf_Peto)),"")</f>
        <v>34.096453675913715</v>
      </c>
      <c r="FU8" s="3">
        <f>IF(AND(Include_study?="Yes",Sufficient_data="Yes"),1/('Publication Bias Analysis'!F:F^2+IF(Additional_model="Fixed effect",0,Calculations!GH$12)),"")</f>
        <v>34.096453675913715</v>
      </c>
      <c r="FV8" s="3">
        <f>IF(AND(Include_study?="Yes",Sufficient_data="Yes"),1/('Publication Bias Analysis'!F:F^2+IF(Additional_model="Fixed effect",0,'Publication Bias Analysis'!L$32)),"")</f>
        <v>34.096453675913715</v>
      </c>
      <c r="FW8" s="3">
        <f>IF(AND(Include_study?="Yes",Sufficient_data="Yes"),'Publication Bias Analysis'!E:E-'Publication Bias Analysis'!I$37,"")</f>
        <v>-9.8565453320394986E-2</v>
      </c>
      <c r="FX8" s="3">
        <f>IF(AND(Include_study?="Yes",Sufficient_data="Yes"),IF(Additional_model="Fixed effect",1/'Publication Bias Analysis'!F:F,1/SQRT('Publication Bias Analysis'!F:F^2+GH$12)),"")</f>
        <v>5.8392168717999944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-0.25683120760651906</v>
      </c>
      <c r="FZ8" s="6">
        <f t="shared" si="80"/>
        <v>-9</v>
      </c>
      <c r="GA8" s="83">
        <f>IF(AND(Include_study?="Yes",Sufficient_data="Yes"),FZ:FZ+IF(GL:GL&lt;0,-1,1)*COUNTIF(FZ$2:FZ7,FZ:FZ),"")</f>
        <v>-9</v>
      </c>
      <c r="GB8" s="83">
        <f>IF(AND(Include_study?="Yes",Sufficient_data="Yes"),RANK(GP:GP,GP:GP,1)*IF(GO:GO&lt;0,-1,1)+IF(GO:GO&lt;0,-1,1)*COUNTIF(FZ$2:FZ7,FZ:FZ),"")</f>
        <v>-9</v>
      </c>
      <c r="GC8" s="83">
        <f>IF(AND(Include_study?="Yes",Sufficient_data="Yes"),RANK(GS:GS,GS:GS,1)*IF(GR:GR&lt;0,-1,1)+IF(GR:GR&lt;0,-1,1)*COUNTIF(FZ$2:FZ7,FZ:FZ),"")</f>
        <v>-9</v>
      </c>
      <c r="GD8" s="3">
        <f>IF(AND(Include_study?="Yes",Sufficient_data="Yes"),'Publication Bias Analysis'!E8,NA())</f>
        <v>-4.3983844622532131E-2</v>
      </c>
      <c r="GE8" s="35">
        <f>IF(AND(Include_study?="Yes",Sufficient_data="Yes"),'Publication Bias Analysis'!F8,NA())</f>
        <v>0.17125584165736601</v>
      </c>
      <c r="GG8" s="2" t="s">
        <v>244</v>
      </c>
      <c r="GH8" s="3">
        <f>IF(Trim_and_fill="Off",'Publication Bias Analysis'!I29,'Publication Bias Analysis'!I37)</f>
        <v>5.4581608697862861E-2</v>
      </c>
      <c r="GI8" s="3">
        <f>IF(Trim_and_fill="Off",GH17,GH22)</f>
        <v>0.25002717064528379</v>
      </c>
      <c r="GK8" s="116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-0.10879476115387143</v>
      </c>
      <c r="GM8" s="3">
        <f t="shared" si="81"/>
        <v>0.10879476115387143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34.096453675913715</v>
      </c>
      <c r="GO8" s="3">
        <f>IF(AND(Include_study?="Yes",Sufficient_data="Yes"),IF('Publication Bias Analysis'!L$38="Left",'Publication Bias Analysis'!E:E-GW$3,GW$3-'Publication Bias Analysis'!E:E),"")</f>
        <v>-9.8565453320395013E-2</v>
      </c>
      <c r="GP8" s="3">
        <f t="shared" si="82"/>
        <v>9.8565453320395013E-2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34.096453675913715</v>
      </c>
      <c r="GR8" s="3">
        <f>IF(AND(Include_study?="Yes",Sufficient_data="Yes"),IF('Publication Bias Analysis'!L$38="Left",'Publication Bias Analysis'!E:E-GW$10,GW$10-'Publication Bias Analysis'!E:E),"")</f>
        <v>-9.8565453320395013E-2</v>
      </c>
      <c r="GS8" s="3">
        <f t="shared" si="83"/>
        <v>9.8565453320395013E-2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34.096453675913715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6"/>
      <c r="HL8" s="3">
        <f t="shared" si="89"/>
        <v>0.3007208163033992</v>
      </c>
      <c r="HM8" s="35">
        <f>IF(AND(Include_study?="Yes",Sufficient_data="Yes"),Z_score-('Publication Bias Analysis'!P$3+'Publication Bias Analysis'!P$4*Inverse_standard_error),"")</f>
        <v>-0.42436890045380377</v>
      </c>
      <c r="HO8" s="116"/>
      <c r="HP8" s="3">
        <f>IF(AND(Include_study?="Yes",Sufficient_data="Yes"),(GD:GD-SUMPRODUCT(Calculations!FT:FT,'Publication Bias Analysis'!E:E)/SUM(Calculations!FT:FT))/SQRT(Calculations!HQ:HQ),"")</f>
        <v>-0.66989656707793244</v>
      </c>
      <c r="HQ8" s="3">
        <f>IF(AND(Include_study?="Yes",Sufficient_data="Yes"),GE:GE^2-1/SUM(Calculations!FT:FT),"")</f>
        <v>2.6375485448172403E-2</v>
      </c>
      <c r="HR8" s="6">
        <f t="shared" si="90"/>
        <v>11</v>
      </c>
      <c r="HS8" s="6">
        <f t="shared" si="91"/>
        <v>10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9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1</v>
      </c>
      <c r="HW8" s="116"/>
      <c r="HX8" s="20">
        <v>7</v>
      </c>
      <c r="HY8" s="3">
        <f t="shared" si="123"/>
        <v>0.30000000000000004</v>
      </c>
      <c r="HZ8" s="35">
        <f>HZ7+HY14</f>
        <v>0.5</v>
      </c>
      <c r="IB8" s="116"/>
      <c r="IC8" s="76">
        <f t="shared" si="92"/>
        <v>0.13928571428571429</v>
      </c>
      <c r="ID8" s="3">
        <f t="shared" si="93"/>
        <v>0.14464285714285716</v>
      </c>
      <c r="IE8" s="3">
        <f t="shared" si="94"/>
        <v>46.307523166326376</v>
      </c>
      <c r="IF8" s="35">
        <f t="shared" si="95"/>
        <v>34.096453675913715</v>
      </c>
      <c r="IK8" s="116"/>
      <c r="IL8" s="3">
        <f>IF(AND(Include_study?="Yes",Sufficient_data="Yes"),'Publication Bias Analysis'!AV:AV,NA())</f>
        <v>-0.25683120760651906</v>
      </c>
      <c r="IM8" s="3">
        <f>IF(AND(Sufficient_data="Yes",Include_study?="Yes"),'Publication Bias Analysis'!AU:AU,NA())</f>
        <v>5.8392168717999944</v>
      </c>
      <c r="IN8" s="3">
        <f t="shared" si="96"/>
        <v>0.3007208163033992</v>
      </c>
      <c r="IO8" s="35">
        <f>IF(AND(Include_study?="Yes",Sufficient_data="Yes"),Z_score-('Publication Bias Analysis'!AY$30+'Publication Bias Analysis'!AY$31*Inverse_standard_error),"")</f>
        <v>-0.63527620489313663</v>
      </c>
      <c r="IQ8" s="24" t="s">
        <v>244</v>
      </c>
      <c r="IR8" s="2" t="s">
        <v>240</v>
      </c>
      <c r="IS8" s="2" t="s">
        <v>241</v>
      </c>
      <c r="IU8" s="116"/>
      <c r="IV8" s="6">
        <f>IF('Publication Bias Analysis'!BG:BG&lt;&gt;"",RANK('Publication Bias Analysis'!BG:BG,'Publication Bias Analysis'!BG:BG,1)+COUNTIF('Publication Bias Analysis'!BG$2:BG7,'Publication Bias Analysis'!BG8),"")</f>
        <v>1</v>
      </c>
      <c r="IW8" s="3">
        <f t="shared" si="97"/>
        <v>5.8823529411764712E-2</v>
      </c>
      <c r="IX8" s="3">
        <f>IF('Publication Bias Analysis'!BF8&lt;&gt;"",'Publication Bias Analysis'!BF8,NA())</f>
        <v>-1.5647264713617985</v>
      </c>
      <c r="IY8" s="3">
        <f>IF('Publication Bias Analysis'!BG8&lt;&gt;"",'Publication Bias Analysis'!BG8,NA())</f>
        <v>-0.25683120760651906</v>
      </c>
      <c r="IZ8" s="3">
        <f>IF(AND(Include_study?="Yes",Sufficient_data="Yes"),'Publication Bias Analysis'!BF:BF-AVERAGE('Publication Bias Analysis'!BF:BF),"")</f>
        <v>-1.5647264713617979</v>
      </c>
      <c r="JA8" s="35">
        <f>IF(AND(Include_study?="Yes",Sufficient_data="Yes"),'Publication Bias Analysis'!BG:BG-('Publication Bias Analysis'!BJ$30+'Publication Bias Analysis'!BJ$31*'Publication Bias Analysis'!BF:BF),"")</f>
        <v>3.7446812735000057E-2</v>
      </c>
      <c r="JG8" s="116"/>
      <c r="JH8" s="3">
        <f t="shared" si="98"/>
        <v>-0.25683120760651906</v>
      </c>
      <c r="JI8" s="10">
        <f t="shared" si="124"/>
        <v>0.39865453887290658</v>
      </c>
      <c r="JJ8" s="35">
        <f t="shared" si="125"/>
        <v>-0.9196600544897523</v>
      </c>
    </row>
    <row r="9" spans="1:270" ht="12" customHeight="1" x14ac:dyDescent="0.3">
      <c r="A9" s="2">
        <f t="shared" si="0"/>
        <v>8</v>
      </c>
      <c r="B9" s="6">
        <f>IF(AND(Include_study?="Yes",Sufficient_data="Yes"),IF(Input!a_&lt;&gt;"",Input!a_,Input!n1_-Input!b_),"")</f>
        <v>69</v>
      </c>
      <c r="C9" s="6">
        <f>IF(AND(Include_study?="Yes",Sufficient_data="Yes"),IF(Input!b_&lt;&gt;"",Input!b_,Input!n1_-Input!a_),"")</f>
        <v>491</v>
      </c>
      <c r="D9" s="6">
        <f>IF(AND(Include_study?="Yes",Sufficient_data="Yes"),IF(Input!c_&lt;&gt;"",Input!c_,Input!n2_-Input!d_),"")</f>
        <v>64</v>
      </c>
      <c r="E9" s="6">
        <f>IF(AND(Include_study?="Yes",Sufficient_data="Yes"),IF(Input!d_&lt;&gt;"",Input!d_,Input!n2_-Input!c_),"")</f>
        <v>496</v>
      </c>
      <c r="F9" s="35" t="str">
        <f t="shared" si="1"/>
        <v>No</v>
      </c>
      <c r="H9" s="135"/>
      <c r="I9" s="129"/>
      <c r="J9" s="76">
        <f t="shared" si="2"/>
        <v>1.0891038696537678</v>
      </c>
      <c r="K9" s="3">
        <f t="shared" si="3"/>
        <v>8.5355220167994433E-2</v>
      </c>
      <c r="L9" s="3">
        <f t="shared" si="4"/>
        <v>0.18485275906311724</v>
      </c>
      <c r="M9" s="3">
        <f t="shared" si="5"/>
        <v>0.75779514681658167</v>
      </c>
      <c r="N9" s="35">
        <f t="shared" si="6"/>
        <v>1.5652610654445227</v>
      </c>
      <c r="P9" s="116"/>
      <c r="Q9" s="76">
        <f t="shared" si="7"/>
        <v>1.0889822058262422</v>
      </c>
      <c r="R9" s="3">
        <f t="shared" si="8"/>
        <v>0.18465481731763123</v>
      </c>
      <c r="S9" s="3">
        <f t="shared" si="9"/>
        <v>0.75800482960748417</v>
      </c>
      <c r="T9" s="35">
        <f t="shared" si="10"/>
        <v>1.564478481252251</v>
      </c>
      <c r="V9" s="116"/>
      <c r="W9" s="76">
        <f t="shared" si="11"/>
        <v>8.9285714285714385E-3</v>
      </c>
      <c r="X9" s="3">
        <f t="shared" si="12"/>
        <v>1.9330629622908713E-2</v>
      </c>
      <c r="Y9" s="3">
        <f t="shared" si="13"/>
        <v>-2.8999827556128656E-2</v>
      </c>
      <c r="Z9" s="35">
        <f t="shared" si="14"/>
        <v>4.6856970413271533E-2</v>
      </c>
      <c r="AB9" s="116"/>
      <c r="AC9" s="76">
        <f t="shared" si="15"/>
        <v>1.078125</v>
      </c>
      <c r="AD9" s="3">
        <f t="shared" si="16"/>
        <v>7.5223421237587532E-2</v>
      </c>
      <c r="AE9" s="3">
        <f t="shared" si="17"/>
        <v>0.16293043009751074</v>
      </c>
      <c r="AF9" s="3">
        <f t="shared" si="18"/>
        <v>0.7831269665749131</v>
      </c>
      <c r="AG9" s="35">
        <f t="shared" si="19"/>
        <v>1.4842465720580067</v>
      </c>
      <c r="AI9" s="135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Saffaryazdi et al.</v>
      </c>
      <c r="AN9" s="6">
        <f t="shared" si="21"/>
        <v>1120</v>
      </c>
      <c r="AO9" s="3">
        <f t="shared" si="22"/>
        <v>1.0891038696537678</v>
      </c>
      <c r="AP9" s="3">
        <f t="shared" si="23"/>
        <v>29.264972864479137</v>
      </c>
      <c r="AQ9" s="3">
        <f t="shared" si="24"/>
        <v>29.264972864479137</v>
      </c>
      <c r="AR9" s="3">
        <f t="shared" si="25"/>
        <v>0.18485275906311724</v>
      </c>
      <c r="AS9" s="3">
        <f t="shared" si="26"/>
        <v>0.75779514681658167</v>
      </c>
      <c r="AT9" s="3">
        <f t="shared" si="27"/>
        <v>1.5652610654445227</v>
      </c>
      <c r="AU9" s="80">
        <f t="shared" si="28"/>
        <v>8.6421743252310515E-2</v>
      </c>
      <c r="AW9" s="44">
        <f t="shared" si="29"/>
        <v>1.0891038696537678</v>
      </c>
      <c r="AX9" s="3">
        <f t="shared" si="30"/>
        <v>0.33130872283718615</v>
      </c>
      <c r="AY9" s="35">
        <f t="shared" si="31"/>
        <v>0.47615719579075488</v>
      </c>
      <c r="BD9" s="135"/>
      <c r="BE9" s="129"/>
      <c r="BF9" s="3">
        <f t="shared" si="32"/>
        <v>8.5355220167994433E-2</v>
      </c>
      <c r="BG9" s="3">
        <f t="shared" si="33"/>
        <v>0.18485275906311724</v>
      </c>
      <c r="BH9" s="3">
        <f t="shared" si="34"/>
        <v>29.264972864479137</v>
      </c>
      <c r="BI9" s="3">
        <f t="shared" si="99"/>
        <v>29.264972864479137</v>
      </c>
      <c r="BJ9" s="35">
        <f t="shared" si="35"/>
        <v>2.0544303636655131E-2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1.0669572613298797</v>
      </c>
      <c r="BO9" s="116"/>
      <c r="BP9" s="3">
        <f t="shared" si="36"/>
        <v>30.557142857142857</v>
      </c>
      <c r="BQ9" s="3">
        <f t="shared" si="37"/>
        <v>28.057142857142857</v>
      </c>
      <c r="BR9" s="3">
        <f t="shared" si="38"/>
        <v>15.41498724489796</v>
      </c>
      <c r="BS9" s="3">
        <f>IF(AND(Sufficient_data="Yes",Include_study?="Yes"),IF(Add_0_5="Yes",(a_+d_+1)*(ab_+0.5)*(c_+0.5)/(Number_of_subjects+2)^2,(a_+d_)*b_*c_/Number_of_subjects^2),"")</f>
        <v>14.153826530612244</v>
      </c>
      <c r="BT9" s="3">
        <f t="shared" si="39"/>
        <v>15.142155612244897</v>
      </c>
      <c r="BU9" s="3">
        <f t="shared" si="40"/>
        <v>13.903316326530613</v>
      </c>
      <c r="BV9" s="3">
        <f t="shared" si="41"/>
        <v>28.057142857142857</v>
      </c>
      <c r="BW9" s="3">
        <f t="shared" si="42"/>
        <v>1.2281828909481754E-2</v>
      </c>
      <c r="BX9" s="3">
        <f t="shared" si="43"/>
        <v>29.264972864479137</v>
      </c>
      <c r="BY9" s="35">
        <f t="shared" si="44"/>
        <v>2.0544303636655159E-2</v>
      </c>
      <c r="CD9" s="116"/>
      <c r="CE9" s="76">
        <f t="shared" si="45"/>
        <v>66.5</v>
      </c>
      <c r="CF9" s="3">
        <f t="shared" si="46"/>
        <v>29.327747989276141</v>
      </c>
      <c r="CG9" s="3">
        <f t="shared" si="47"/>
        <v>8.5243503896519413E-2</v>
      </c>
      <c r="CH9" s="3">
        <f t="shared" si="48"/>
        <v>3.4097401558607764E-2</v>
      </c>
      <c r="CI9" s="3">
        <f t="shared" si="49"/>
        <v>29.327747989276141</v>
      </c>
      <c r="CJ9" s="3">
        <f t="shared" si="50"/>
        <v>29.327747989276141</v>
      </c>
      <c r="CK9" s="35">
        <f t="shared" si="51"/>
        <v>2.0433271830755897E-2</v>
      </c>
      <c r="CP9" s="116"/>
      <c r="CQ9" s="52">
        <f t="shared" si="52"/>
        <v>0.11428571428571428</v>
      </c>
      <c r="CS9" s="118" t="s">
        <v>147</v>
      </c>
      <c r="CT9" s="118"/>
      <c r="CU9" s="118"/>
      <c r="CV9" s="118"/>
      <c r="CX9" s="135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5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5"/>
      <c r="FS9" s="129"/>
      <c r="FT9" s="76">
        <f>IF(AND(Include_study?="Yes",Sufficient_data="Yes"),IF(Additional_weighting_method="Inverse Variance",1/'Publication Bias Analysis'!F:F^2,IF(Additional_weighting_method="Mantel-Haenszel",Weightf_MH,Weightf_Peto)),"")</f>
        <v>29.264972864479137</v>
      </c>
      <c r="FU9" s="3">
        <f>IF(AND(Include_study?="Yes",Sufficient_data="Yes"),1/('Publication Bias Analysis'!F:F^2+IF(Additional_model="Fixed effect",0,Calculations!GH$12)),"")</f>
        <v>29.264972864479137</v>
      </c>
      <c r="FV9" s="3">
        <f>IF(AND(Include_study?="Yes",Sufficient_data="Yes"),1/('Publication Bias Analysis'!F:F^2+IF(Additional_model="Fixed effect",0,'Publication Bias Analysis'!L$32)),"")</f>
        <v>29.264972864479137</v>
      </c>
      <c r="FW9" s="3">
        <f>IF(AND(Include_study?="Yes",Sufficient_data="Yes"),'Publication Bias Analysis'!E:E-'Publication Bias Analysis'!I$37,"")</f>
        <v>3.0773611470131572E-2</v>
      </c>
      <c r="FX9" s="3">
        <f>IF(AND(Include_study?="Yes",Sufficient_data="Yes"),IF(Additional_model="Fixed effect",1/'Publication Bias Analysis'!F:F,1/SQRT('Publication Bias Analysis'!F:F^2+GH$12)),"")</f>
        <v>5.4097109779062267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0.46174707156440242</v>
      </c>
      <c r="FZ9" s="6">
        <f t="shared" si="80"/>
        <v>3</v>
      </c>
      <c r="GA9" s="83">
        <f>IF(AND(Include_study?="Yes",Sufficient_data="Yes"),FZ:FZ+IF(GL:GL&lt;0,-1,1)*COUNTIF(FZ$2:FZ8,FZ:FZ),"")</f>
        <v>3</v>
      </c>
      <c r="GB9" s="83">
        <f>IF(AND(Include_study?="Yes",Sufficient_data="Yes"),RANK(GP:GP,GP:GP,1)*IF(GO:GO&lt;0,-1,1)+IF(GO:GO&lt;0,-1,1)*COUNTIF(FZ$2:FZ8,FZ:FZ),"")</f>
        <v>4</v>
      </c>
      <c r="GC9" s="83">
        <f>IF(AND(Include_study?="Yes",Sufficient_data="Yes"),RANK(GS:GS,GS:GS,1)*IF(GR:GR&lt;0,-1,1)+IF(GR:GR&lt;0,-1,1)*COUNTIF(FZ$2:FZ8,FZ:FZ),"")</f>
        <v>4</v>
      </c>
      <c r="GD9" s="3">
        <f>IF(AND(Include_study?="Yes",Sufficient_data="Yes"),'Publication Bias Analysis'!E9,NA())</f>
        <v>8.5355220167994433E-2</v>
      </c>
      <c r="GE9" s="35">
        <f>IF(AND(Include_study?="Yes",Sufficient_data="Yes"),'Publication Bias Analysis'!F9,NA())</f>
        <v>0.18485275906311724</v>
      </c>
      <c r="GK9" s="116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2.0544303636655131E-2</v>
      </c>
      <c r="GM9" s="3">
        <f t="shared" si="81"/>
        <v>2.0544303636655131E-2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29.264972864479137</v>
      </c>
      <c r="GO9" s="3">
        <f>IF(AND(Include_study?="Yes",Sufficient_data="Yes"),IF('Publication Bias Analysis'!L$38="Left",'Publication Bias Analysis'!E:E-GW$3,GW$3-'Publication Bias Analysis'!E:E),"")</f>
        <v>3.0773611470131558E-2</v>
      </c>
      <c r="GP9" s="3">
        <f t="shared" si="82"/>
        <v>3.0773611470131558E-2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29.264972864479137</v>
      </c>
      <c r="GR9" s="3">
        <f>IF(AND(Include_study?="Yes",Sufficient_data="Yes"),IF('Publication Bias Analysis'!L$38="Left",'Publication Bias Analysis'!E:E-GW$10,GW$10-'Publication Bias Analysis'!E:E),"")</f>
        <v>3.0773611470131558E-2</v>
      </c>
      <c r="GS9" s="3">
        <f t="shared" si="83"/>
        <v>3.0773611470131558E-2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29.264972864479137</v>
      </c>
      <c r="GV9" s="118" t="s">
        <v>100</v>
      </c>
      <c r="GW9" s="118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6"/>
      <c r="HL9" s="3">
        <f t="shared" si="89"/>
        <v>-0.1287850775903685</v>
      </c>
      <c r="HM9" s="35">
        <f>IF(AND(Include_study?="Yes",Sufficient_data="Yes"),Z_score-('Publication Bias Analysis'!P$3+'Publication Bias Analysis'!P$4*Inverse_standard_error),"")</f>
        <v>-3.9840330381080147E-4</v>
      </c>
      <c r="HO9" s="116"/>
      <c r="HP9" s="3">
        <f>IF(AND(Include_study?="Yes",Sufficient_data="Yes"),(GD:GD-SUMPRODUCT(Calculations!FT:FT,'Publication Bias Analysis'!E:E)/SUM(Calculations!FT:FT))/SQRT(Calculations!HQ:HQ),"")</f>
        <v>0.11627667667568063</v>
      </c>
      <c r="HQ9" s="3">
        <f>IF(AND(Include_study?="Yes",Sufficient_data="Yes"),GE:GE^2-1/SUM(Calculations!FT:FT),"")</f>
        <v>3.1217464679646457E-2</v>
      </c>
      <c r="HR9" s="6">
        <f t="shared" si="90"/>
        <v>5</v>
      </c>
      <c r="HS9" s="6">
        <f t="shared" si="91"/>
        <v>5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8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2</v>
      </c>
      <c r="HW9" s="116"/>
      <c r="HX9" s="20">
        <v>8</v>
      </c>
      <c r="HY9" s="3">
        <f t="shared" si="123"/>
        <v>0.5</v>
      </c>
      <c r="HZ9" s="35">
        <f>HZ8+HY14</f>
        <v>0.7</v>
      </c>
      <c r="IB9" s="116"/>
      <c r="IC9" s="76">
        <f t="shared" si="92"/>
        <v>0.12321428571428572</v>
      </c>
      <c r="ID9" s="3">
        <f t="shared" si="93"/>
        <v>0.11428571428571428</v>
      </c>
      <c r="IE9" s="3">
        <f t="shared" si="94"/>
        <v>37.669997562758958</v>
      </c>
      <c r="IF9" s="35">
        <f t="shared" si="95"/>
        <v>29.264972864479137</v>
      </c>
      <c r="IK9" s="116"/>
      <c r="IL9" s="3">
        <f>IF(AND(Include_study?="Yes",Sufficient_data="Yes"),'Publication Bias Analysis'!AV:AV,NA())</f>
        <v>0.46174707156440242</v>
      </c>
      <c r="IM9" s="3">
        <f>IF(AND(Sufficient_data="Yes",Include_study?="Yes"),'Publication Bias Analysis'!AU:AU,NA())</f>
        <v>5.4097109779062267</v>
      </c>
      <c r="IN9" s="3">
        <f t="shared" si="96"/>
        <v>-0.1287850775903685</v>
      </c>
      <c r="IO9" s="35">
        <f>IF(AND(Include_study?="Yes",Sufficient_data="Yes"),Z_score-('Publication Bias Analysis'!AY$30+'Publication Bias Analysis'!AY$31*Inverse_standard_error),"")</f>
        <v>0.11113874491665204</v>
      </c>
      <c r="IQ9" s="2" t="s">
        <v>96</v>
      </c>
      <c r="IR9" s="3">
        <v>0</v>
      </c>
      <c r="IS9" s="3">
        <f>ABS(TINV((1-Additional_confidence_level),k_-1))</f>
        <v>2.2281388519862744</v>
      </c>
      <c r="IU9" s="116"/>
      <c r="IV9" s="6">
        <f>IF('Publication Bias Analysis'!BG:BG&lt;&gt;"",RANK('Publication Bias Analysis'!BG:BG,'Publication Bias Analysis'!BG:BG,1)+COUNTIF('Publication Bias Analysis'!BG$2:BG8,'Publication Bias Analysis'!BG9),"")</f>
        <v>7</v>
      </c>
      <c r="IW9" s="3">
        <f t="shared" si="97"/>
        <v>0.58823529411764708</v>
      </c>
      <c r="IX9" s="3">
        <f>IF('Publication Bias Analysis'!BF9&lt;&gt;"",'Publication Bias Analysis'!BF9,NA())</f>
        <v>0.22300783094036683</v>
      </c>
      <c r="IY9" s="3">
        <f>IF('Publication Bias Analysis'!BG9&lt;&gt;"",'Publication Bias Analysis'!BG9,NA())</f>
        <v>0.46174707156440242</v>
      </c>
      <c r="IZ9" s="3">
        <f>IF(AND(Include_study?="Yes",Sufficient_data="Yes"),'Publication Bias Analysis'!BF:BF-AVERAGE('Publication Bias Analysis'!BF:BF),"")</f>
        <v>0.22300783094036741</v>
      </c>
      <c r="JA9" s="35">
        <f>IF(AND(Include_study?="Yes",Sufficient_data="Yes"),'Publication Bias Analysis'!BG:BG-('Publication Bias Analysis'!BJ$30+'Publication Bias Analysis'!BJ$31*'Publication Bias Analysis'!BF:BF),"")</f>
        <v>-7.278845977360282E-3</v>
      </c>
      <c r="JG9" s="116"/>
      <c r="JH9" s="3">
        <f t="shared" si="98"/>
        <v>0.46174707156440242</v>
      </c>
      <c r="JI9" s="10">
        <f t="shared" si="124"/>
        <v>0.32213135542744786</v>
      </c>
      <c r="JJ9" s="35">
        <f t="shared" si="125"/>
        <v>-1.1327958805109557</v>
      </c>
    </row>
    <row r="10" spans="1:270" ht="13" x14ac:dyDescent="0.35">
      <c r="A10" s="2">
        <f t="shared" si="0"/>
        <v>9</v>
      </c>
      <c r="B10" s="6">
        <f>IF(AND(Include_study?="Yes",Sufficient_data="Yes"),IF(Input!a_&lt;&gt;"",Input!a_,Input!n1_-Input!b_),"")</f>
        <v>74</v>
      </c>
      <c r="C10" s="6">
        <f>IF(AND(Include_study?="Yes",Sufficient_data="Yes"),IF(Input!b_&lt;&gt;"",Input!b_,Input!n1_-Input!a_),"")</f>
        <v>911</v>
      </c>
      <c r="D10" s="6">
        <f>IF(AND(Include_study?="Yes",Sufficient_data="Yes"),IF(Input!c_&lt;&gt;"",Input!c_,Input!n2_-Input!d_),"")</f>
        <v>72</v>
      </c>
      <c r="E10" s="6">
        <f>IF(AND(Include_study?="Yes",Sufficient_data="Yes"),IF(Input!d_&lt;&gt;"",Input!d_,Input!n2_-Input!c_),"")</f>
        <v>913</v>
      </c>
      <c r="F10" s="35" t="str">
        <f t="shared" si="1"/>
        <v>No</v>
      </c>
      <c r="H10" s="135"/>
      <c r="I10" s="129"/>
      <c r="J10" s="76">
        <f t="shared" si="2"/>
        <v>1.0300341505061592</v>
      </c>
      <c r="K10" s="3">
        <f t="shared" si="3"/>
        <v>2.9591957523124511E-2</v>
      </c>
      <c r="L10" s="3">
        <f t="shared" si="4"/>
        <v>0.17203309999867294</v>
      </c>
      <c r="M10" s="3">
        <f t="shared" si="5"/>
        <v>0.73506656400413839</v>
      </c>
      <c r="N10" s="35">
        <f t="shared" si="6"/>
        <v>1.4433663604959888</v>
      </c>
      <c r="P10" s="116"/>
      <c r="Q10" s="76">
        <f t="shared" si="7"/>
        <v>1.0300169128014647</v>
      </c>
      <c r="R10" s="3">
        <f t="shared" si="8"/>
        <v>0.17197448154401038</v>
      </c>
      <c r="S10" s="3">
        <f t="shared" si="9"/>
        <v>0.73513876986189919</v>
      </c>
      <c r="T10" s="35">
        <f t="shared" si="10"/>
        <v>1.4431762874598</v>
      </c>
      <c r="V10" s="116"/>
      <c r="W10" s="76">
        <f t="shared" si="11"/>
        <v>2.0304568527918787E-3</v>
      </c>
      <c r="X10" s="3">
        <f t="shared" si="12"/>
        <v>1.1803647723899116E-2</v>
      </c>
      <c r="Y10" s="3">
        <f t="shared" si="13"/>
        <v>-2.1118504559265415E-2</v>
      </c>
      <c r="Z10" s="35">
        <f t="shared" si="14"/>
        <v>2.5179418264849172E-2</v>
      </c>
      <c r="AB10" s="116"/>
      <c r="AC10" s="76">
        <f t="shared" si="15"/>
        <v>1.0277777777777777</v>
      </c>
      <c r="AD10" s="3">
        <f t="shared" si="16"/>
        <v>2.7398974188114347E-2</v>
      </c>
      <c r="AE10" s="3">
        <f t="shared" si="17"/>
        <v>0.1592857355497049</v>
      </c>
      <c r="AF10" s="3">
        <f t="shared" si="18"/>
        <v>0.7520236895525868</v>
      </c>
      <c r="AG10" s="35">
        <f t="shared" si="19"/>
        <v>1.4046461237441656</v>
      </c>
      <c r="AI10" s="135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Quan et al.</v>
      </c>
      <c r="AN10" s="6">
        <f t="shared" si="21"/>
        <v>1970</v>
      </c>
      <c r="AO10" s="3">
        <f t="shared" si="22"/>
        <v>1.0300341505061592</v>
      </c>
      <c r="AP10" s="3">
        <f t="shared" si="23"/>
        <v>33.789049059207684</v>
      </c>
      <c r="AQ10" s="3">
        <f t="shared" si="24"/>
        <v>33.789049059207684</v>
      </c>
      <c r="AR10" s="3">
        <f t="shared" si="25"/>
        <v>0.17203309999867294</v>
      </c>
      <c r="AS10" s="3">
        <f t="shared" si="26"/>
        <v>0.73506656400413839</v>
      </c>
      <c r="AT10" s="3">
        <f t="shared" si="27"/>
        <v>1.4433663604959888</v>
      </c>
      <c r="AU10" s="80">
        <f t="shared" si="28"/>
        <v>9.9781692470964245E-2</v>
      </c>
      <c r="AW10" s="44">
        <f t="shared" si="29"/>
        <v>1.0300341505061592</v>
      </c>
      <c r="AX10" s="3">
        <f t="shared" si="30"/>
        <v>0.29496758650202082</v>
      </c>
      <c r="AY10" s="35">
        <f t="shared" si="31"/>
        <v>0.41333220998982956</v>
      </c>
      <c r="BD10" s="135"/>
      <c r="BE10" s="129"/>
      <c r="BF10" s="3">
        <f t="shared" si="32"/>
        <v>2.9591957523124511E-2</v>
      </c>
      <c r="BG10" s="3">
        <f t="shared" si="33"/>
        <v>0.17203309999867294</v>
      </c>
      <c r="BH10" s="3">
        <f t="shared" si="34"/>
        <v>33.789049059207684</v>
      </c>
      <c r="BI10" s="3">
        <f t="shared" si="99"/>
        <v>33.789049059207684</v>
      </c>
      <c r="BJ10" s="35">
        <f t="shared" si="35"/>
        <v>-3.5218959008214791E-2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6"/>
      <c r="BP10" s="3">
        <f t="shared" si="36"/>
        <v>34.295431472081219</v>
      </c>
      <c r="BQ10" s="3">
        <f t="shared" si="37"/>
        <v>33.295431472081219</v>
      </c>
      <c r="BR10" s="3">
        <f t="shared" si="38"/>
        <v>17.182533432966579</v>
      </c>
      <c r="BS10" s="3">
        <f>IF(AND(Sufficient_data="Yes",Include_study?="Yes"),IF(Add_0_5="Yes",(a_+d_+1)*(ab_+0.5)*(c_+0.5)/(Number_of_subjects+2)^2,(a_+d_)*b_*c_/Number_of_subjects^2),"")</f>
        <v>16.681518204540183</v>
      </c>
      <c r="BT10" s="3">
        <f t="shared" si="39"/>
        <v>17.11289803911464</v>
      </c>
      <c r="BU10" s="3">
        <f t="shared" si="40"/>
        <v>16.613913267541033</v>
      </c>
      <c r="BV10" s="3">
        <f t="shared" si="41"/>
        <v>33.295431472081219</v>
      </c>
      <c r="BW10" s="3">
        <f t="shared" si="42"/>
        <v>4.2049940844008357E-2</v>
      </c>
      <c r="BX10" s="3">
        <f t="shared" si="43"/>
        <v>33.789049059207684</v>
      </c>
      <c r="BY10" s="35">
        <f t="shared" si="44"/>
        <v>-3.5218959008214763E-2</v>
      </c>
      <c r="CA10" s="3" t="s">
        <v>301</v>
      </c>
      <c r="CB10" s="3">
        <f>IF(Meta_analysis_model="Fixed effect model",SUMPRODUCT(Weightf_MH,OddsRatio)/SUM(Weightf_MH),EXP(SUMPRODUCT(Weight_MH,LogOddsRatio)/SUM(Weight_MH)))</f>
        <v>1.0669572613298797</v>
      </c>
      <c r="CD10" s="116"/>
      <c r="CE10" s="76">
        <f t="shared" si="45"/>
        <v>73</v>
      </c>
      <c r="CF10" s="3">
        <f t="shared" si="46"/>
        <v>33.812087353986797</v>
      </c>
      <c r="CG10" s="3">
        <f t="shared" si="47"/>
        <v>2.9575222302331169E-2</v>
      </c>
      <c r="CH10" s="3">
        <f t="shared" si="48"/>
        <v>2.9575222302331169E-2</v>
      </c>
      <c r="CI10" s="3">
        <f t="shared" si="49"/>
        <v>33.812087353986797</v>
      </c>
      <c r="CJ10" s="3">
        <f t="shared" si="50"/>
        <v>33.812087353986797</v>
      </c>
      <c r="CK10" s="35">
        <f t="shared" si="51"/>
        <v>-3.5235009763432343E-2</v>
      </c>
      <c r="CM10" s="3" t="s">
        <v>302</v>
      </c>
      <c r="CN10" s="3">
        <f>EXP(lnCES_PetoOddsRatio)</f>
        <v>1.0669565310346134</v>
      </c>
      <c r="CP10" s="116"/>
      <c r="CQ10" s="52">
        <f t="shared" si="52"/>
        <v>7.309644670050762E-2</v>
      </c>
      <c r="CS10" s="2"/>
      <c r="CT10" s="2" t="s">
        <v>35</v>
      </c>
      <c r="CU10" s="2" t="s">
        <v>59</v>
      </c>
      <c r="CV10" s="2" t="s">
        <v>60</v>
      </c>
      <c r="CX10" s="135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IF(AND(Sufficient_data="Yes",Subgroup&lt;&gt;""),IF(COUNTIFS(Input!J$2:J12,"="&amp;"Yes",Input!C$2:C12,"="&amp;"Yes",Input!K$2:K12,"="&amp;Subgroup)&gt;0,"",Subgroup),"")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5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35"/>
      <c r="FS10" s="129"/>
      <c r="FT10" s="76">
        <f>IF(AND(Include_study?="Yes",Sufficient_data="Yes"),IF(Additional_weighting_method="Inverse Variance",1/'Publication Bias Analysis'!F:F^2,IF(Additional_weighting_method="Mantel-Haenszel",Weightf_MH,Weightf_Peto)),"")</f>
        <v>33.789049059207684</v>
      </c>
      <c r="FU10" s="3">
        <f>IF(AND(Include_study?="Yes",Sufficient_data="Yes"),1/('Publication Bias Analysis'!F:F^2+IF(Additional_model="Fixed effect",0,Calculations!GH$12)),"")</f>
        <v>33.789049059207684</v>
      </c>
      <c r="FV10" s="3">
        <f>IF(AND(Include_study?="Yes",Sufficient_data="Yes"),1/('Publication Bias Analysis'!F:F^2+IF(Additional_model="Fixed effect",0,'Publication Bias Analysis'!L$32)),"")</f>
        <v>33.789049059207684</v>
      </c>
      <c r="FW10" s="3">
        <f>IF(AND(Include_study?="Yes",Sufficient_data="Yes"),'Publication Bias Analysis'!E:E-'Publication Bias Analysis'!I$37,"")</f>
        <v>-2.498965117473835E-2</v>
      </c>
      <c r="FX10" s="3">
        <f>IF(AND(Include_study?="Yes",Sufficient_data="Yes"),IF(Additional_model="Fixed effect",1/'Publication Bias Analysis'!F:F,1/SQRT('Publication Bias Analysis'!F:F^2+GH$12)),"")</f>
        <v>5.8128348556627412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0.17201316213770945</v>
      </c>
      <c r="FZ10" s="6">
        <f t="shared" si="80"/>
        <v>-5</v>
      </c>
      <c r="GA10" s="83">
        <f>IF(AND(Include_study?="Yes",Sufficient_data="Yes"),FZ:FZ+IF(GL:GL&lt;0,-1,1)*COUNTIF(FZ$2:FZ9,FZ:FZ),"")</f>
        <v>-5</v>
      </c>
      <c r="GB10" s="83">
        <f>IF(AND(Include_study?="Yes",Sufficient_data="Yes"),RANK(GP:GP,GP:GP,1)*IF(GO:GO&lt;0,-1,1)+IF(GO:GO&lt;0,-1,1)*COUNTIF(FZ$2:FZ9,FZ:FZ),"")</f>
        <v>-3</v>
      </c>
      <c r="GC10" s="83">
        <f>IF(AND(Include_study?="Yes",Sufficient_data="Yes"),RANK(GS:GS,GS:GS,1)*IF(GR:GR&lt;0,-1,1)+IF(GR:GR&lt;0,-1,1)*COUNTIF(FZ$2:FZ9,FZ:FZ),"")</f>
        <v>-3</v>
      </c>
      <c r="GD10" s="3">
        <f>IF(AND(Include_study?="Yes",Sufficient_data="Yes"),'Publication Bias Analysis'!E10,NA())</f>
        <v>2.9591957523124511E-2</v>
      </c>
      <c r="GE10" s="35">
        <f>IF(AND(Include_study?="Yes",Sufficient_data="Yes"),'Publication Bias Analysis'!F10,NA())</f>
        <v>0.17203309999867294</v>
      </c>
      <c r="GG10" s="118" t="s">
        <v>54</v>
      </c>
      <c r="GH10" s="118"/>
      <c r="GK10" s="116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-3.5218959008214791E-2</v>
      </c>
      <c r="GM10" s="3">
        <f t="shared" si="81"/>
        <v>3.5218959008214791E-2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33.789049059207684</v>
      </c>
      <c r="GO10" s="3">
        <f>IF(AND(Include_study?="Yes",Sufficient_data="Yes"),IF('Publication Bias Analysis'!L$38="Left",'Publication Bias Analysis'!E:E-GW$3,GW$3-'Publication Bias Analysis'!E:E),"")</f>
        <v>-2.4989651174738364E-2</v>
      </c>
      <c r="GP10" s="3">
        <f t="shared" si="82"/>
        <v>2.4989651174738364E-2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33.789049059207684</v>
      </c>
      <c r="GR10" s="3">
        <f>IF(AND(Include_study?="Yes",Sufficient_data="Yes"),IF('Publication Bias Analysis'!L$38="Left",'Publication Bias Analysis'!E:E-GW$10,GW$10-'Publication Bias Analysis'!E:E),"")</f>
        <v>-2.4989651174738364E-2</v>
      </c>
      <c r="GS10" s="3">
        <f t="shared" si="83"/>
        <v>2.4989651174738364E-2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33.789049059207684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5.4581608697862875E-2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6"/>
      <c r="HL10" s="3">
        <f t="shared" si="89"/>
        <v>0.27433880016614598</v>
      </c>
      <c r="HM10" s="35">
        <f>IF(AND(Include_study?="Yes",Sufficient_data="Yes"),Z_score-('Publication Bias Analysis'!P$3+'Publication Bias Analysis'!P$4*Inverse_standard_error),"")</f>
        <v>-1.3620550740813586E-2</v>
      </c>
      <c r="HO10" s="116"/>
      <c r="HP10" s="3">
        <f>IF(AND(Include_study?="Yes",Sufficient_data="Yes"),(GD:GD-SUMPRODUCT(Calculations!FT:FT,'Publication Bias Analysis'!E:E)/SUM(Calculations!FT:FT))/SQRT(Calculations!HQ:HQ),"")</f>
        <v>-0.21576976041972273</v>
      </c>
      <c r="HQ10" s="3">
        <f>IF(AND(Include_study?="Yes",Sufficient_data="Yes"),GE:GE^2-1/SUM(Calculations!FT:FT),"")</f>
        <v>2.6642309641552987E-2</v>
      </c>
      <c r="HR10" s="6">
        <f t="shared" si="90"/>
        <v>8</v>
      </c>
      <c r="HS10" s="6">
        <f t="shared" si="91"/>
        <v>9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9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1</v>
      </c>
      <c r="HW10" s="116"/>
      <c r="HX10" s="54">
        <v>9</v>
      </c>
      <c r="HY10" s="32">
        <f t="shared" si="123"/>
        <v>0.7</v>
      </c>
      <c r="HZ10" s="39"/>
      <c r="IB10" s="116"/>
      <c r="IC10" s="76">
        <f t="shared" si="92"/>
        <v>7.5126903553299498E-2</v>
      </c>
      <c r="ID10" s="3">
        <f t="shared" si="93"/>
        <v>7.309644670050762E-2</v>
      </c>
      <c r="IE10" s="3">
        <f t="shared" si="94"/>
        <v>39.413611307208193</v>
      </c>
      <c r="IF10" s="35">
        <f t="shared" si="95"/>
        <v>33.789049059207684</v>
      </c>
      <c r="IK10" s="116"/>
      <c r="IL10" s="3">
        <f>IF(AND(Include_study?="Yes",Sufficient_data="Yes"),'Publication Bias Analysis'!AV:AV,NA())</f>
        <v>0.17201316213770945</v>
      </c>
      <c r="IM10" s="3">
        <f>IF(AND(Sufficient_data="Yes",Include_study?="Yes"),'Publication Bias Analysis'!AU:AU,NA())</f>
        <v>5.8128348556627412</v>
      </c>
      <c r="IN10" s="3">
        <f t="shared" si="96"/>
        <v>0.27433880016614598</v>
      </c>
      <c r="IO10" s="35">
        <f>IF(AND(Include_study?="Yes",Sufficient_data="Yes"),Z_score-('Publication Bias Analysis'!AY$30+'Publication Bias Analysis'!AY$31*Inverse_standard_error),"")</f>
        <v>-0.20472199250310819</v>
      </c>
      <c r="IQ10" s="2" t="s">
        <v>283</v>
      </c>
      <c r="IR10" s="3">
        <f>MAX(Inverse_standard_error)</f>
        <v>5.8705126397655008</v>
      </c>
      <c r="IS10" s="3">
        <f>IR10*'Publication Bias Analysis'!AY31+IS9</f>
        <v>2.6086121566782885</v>
      </c>
      <c r="IU10" s="116"/>
      <c r="IV10" s="6">
        <f>IF('Publication Bias Analysis'!BG:BG&lt;&gt;"",RANK('Publication Bias Analysis'!BG:BG,'Publication Bias Analysis'!BG:BG,1)+COUNTIF('Publication Bias Analysis'!BG$2:BG9,'Publication Bias Analysis'!BG10),"")</f>
        <v>4</v>
      </c>
      <c r="IW10" s="3">
        <f t="shared" si="97"/>
        <v>0.32352941176470584</v>
      </c>
      <c r="IX10" s="3">
        <f>IF('Publication Bias Analysis'!BF10&lt;&gt;"",'Publication Bias Analysis'!BF10,NA())</f>
        <v>-0.45785193101249527</v>
      </c>
      <c r="IY10" s="3">
        <f>IF('Publication Bias Analysis'!BG10&lt;&gt;"",'Publication Bias Analysis'!BG10,NA())</f>
        <v>0.17201316213770945</v>
      </c>
      <c r="IZ10" s="3">
        <f>IF(AND(Include_study?="Yes",Sufficient_data="Yes"),'Publication Bias Analysis'!BF:BF-AVERAGE('Publication Bias Analysis'!BF:BF),"")</f>
        <v>-0.45785193101249466</v>
      </c>
      <c r="JA10" s="35">
        <f>IF(AND(Include_study?="Yes",Sufficient_data="Yes"),'Publication Bias Analysis'!BG:BG-('Publication Bias Analysis'!BJ$30+'Publication Bias Analysis'!BJ$31*'Publication Bias Analysis'!BF:BF),"")</f>
        <v>-6.3079584017006474E-3</v>
      </c>
      <c r="JG10" s="116"/>
      <c r="JH10" s="3">
        <f t="shared" si="98"/>
        <v>0.17201316213770945</v>
      </c>
      <c r="JI10" s="10">
        <f t="shared" si="124"/>
        <v>0.43171359067196247</v>
      </c>
      <c r="JJ10" s="35">
        <f t="shared" si="125"/>
        <v>-0.83999289516511599</v>
      </c>
    </row>
    <row r="11" spans="1:270" ht="13.5" customHeight="1" x14ac:dyDescent="0.35">
      <c r="A11" s="2">
        <f t="shared" si="0"/>
        <v>10</v>
      </c>
      <c r="B11" s="6">
        <f>IF(AND(Include_study?="Yes",Sufficient_data="Yes"),IF(Input!a_&lt;&gt;"",Input!a_,Input!n1_-Input!b_),"")</f>
        <v>75</v>
      </c>
      <c r="C11" s="6">
        <f>IF(AND(Include_study?="Yes",Sufficient_data="Yes"),IF(Input!b_&lt;&gt;"",Input!b_,Input!n1_-Input!a_),"")</f>
        <v>910</v>
      </c>
      <c r="D11" s="6">
        <f>IF(AND(Include_study?="Yes",Sufficient_data="Yes"),IF(Input!c_&lt;&gt;"",Input!c_,Input!n2_-Input!d_),"")</f>
        <v>71</v>
      </c>
      <c r="E11" s="6">
        <f>IF(AND(Include_study?="Yes",Sufficient_data="Yes"),IF(Input!d_&lt;&gt;"",Input!d_,Input!n2_-Input!c_),"")</f>
        <v>914</v>
      </c>
      <c r="F11" s="35" t="str">
        <f t="shared" si="1"/>
        <v>No</v>
      </c>
      <c r="H11" s="135"/>
      <c r="I11" s="129"/>
      <c r="J11" s="76">
        <f t="shared" si="2"/>
        <v>1.0609812722488778</v>
      </c>
      <c r="K11" s="3">
        <f t="shared" si="3"/>
        <v>5.9194208438249261E-2</v>
      </c>
      <c r="L11" s="3">
        <f t="shared" si="4"/>
        <v>0.1720779863265719</v>
      </c>
      <c r="M11" s="3">
        <f t="shared" si="5"/>
        <v>0.75708480853453286</v>
      </c>
      <c r="N11" s="35">
        <f t="shared" si="6"/>
        <v>1.486862828804868</v>
      </c>
      <c r="P11" s="116"/>
      <c r="Q11" s="76">
        <f t="shared" si="7"/>
        <v>1.06093484065706</v>
      </c>
      <c r="R11" s="3">
        <f t="shared" si="8"/>
        <v>0.17197448154401038</v>
      </c>
      <c r="S11" s="3">
        <f t="shared" si="9"/>
        <v>0.75720536621381973</v>
      </c>
      <c r="T11" s="35">
        <f t="shared" si="10"/>
        <v>1.4864959842376222</v>
      </c>
      <c r="V11" s="116"/>
      <c r="W11" s="76">
        <f t="shared" si="11"/>
        <v>4.0609137055837574E-3</v>
      </c>
      <c r="X11" s="3">
        <f t="shared" si="12"/>
        <v>1.1803381773151071E-2</v>
      </c>
      <c r="Y11" s="3">
        <f t="shared" si="13"/>
        <v>-1.9087526131808821E-2</v>
      </c>
      <c r="Z11" s="35">
        <f t="shared" si="14"/>
        <v>2.7209353542976336E-2</v>
      </c>
      <c r="AB11" s="116"/>
      <c r="AC11" s="76">
        <f t="shared" si="15"/>
        <v>1.056338028169014</v>
      </c>
      <c r="AD11" s="3">
        <f t="shared" si="16"/>
        <v>5.4808236494994951E-2</v>
      </c>
      <c r="AE11" s="3">
        <f t="shared" si="17"/>
        <v>0.15933418817942047</v>
      </c>
      <c r="AF11" s="3">
        <f t="shared" si="18"/>
        <v>0.772847745890749</v>
      </c>
      <c r="AG11" s="35">
        <f t="shared" si="19"/>
        <v>1.4438161147379978</v>
      </c>
      <c r="AI11" s="135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Quan et al.</v>
      </c>
      <c r="AN11" s="6">
        <f t="shared" si="21"/>
        <v>1970</v>
      </c>
      <c r="AO11" s="3">
        <f t="shared" si="22"/>
        <v>1.0609812722488778</v>
      </c>
      <c r="AP11" s="3">
        <f t="shared" si="23"/>
        <v>33.771423695759658</v>
      </c>
      <c r="AQ11" s="3">
        <f t="shared" si="24"/>
        <v>33.771423695759658</v>
      </c>
      <c r="AR11" s="3">
        <f t="shared" si="25"/>
        <v>0.1720779863265719</v>
      </c>
      <c r="AS11" s="3">
        <f t="shared" si="26"/>
        <v>0.75708480853453286</v>
      </c>
      <c r="AT11" s="3">
        <f t="shared" si="27"/>
        <v>1.486862828804868</v>
      </c>
      <c r="AU11" s="80">
        <f t="shared" si="28"/>
        <v>9.972964340050422E-2</v>
      </c>
      <c r="AW11" s="44">
        <f t="shared" si="29"/>
        <v>1.0609812722488778</v>
      </c>
      <c r="AX11" s="3">
        <f t="shared" si="30"/>
        <v>0.30389646371434498</v>
      </c>
      <c r="AY11" s="35">
        <f t="shared" si="31"/>
        <v>0.42588155655599014</v>
      </c>
      <c r="BD11" s="135"/>
      <c r="BE11" s="129"/>
      <c r="BF11" s="3">
        <f t="shared" si="32"/>
        <v>5.9194208438249261E-2</v>
      </c>
      <c r="BG11" s="3">
        <f t="shared" si="33"/>
        <v>0.1720779863265719</v>
      </c>
      <c r="BH11" s="3">
        <f t="shared" si="34"/>
        <v>33.771423695759658</v>
      </c>
      <c r="BI11" s="3">
        <f t="shared" si="99"/>
        <v>33.771423695759658</v>
      </c>
      <c r="BJ11" s="35">
        <f t="shared" si="35"/>
        <v>-5.6167080930900407E-3</v>
      </c>
      <c r="BL11" s="3" t="s">
        <v>304</v>
      </c>
      <c r="BM11" s="3">
        <f>IF(Model_effect_size_measure="Risk Difference",CES_IV-ABS(TINV((1-Confidence_level),k_-1))*SECES_Risk_Difference,EXP(CIlnCES_LL))</f>
        <v>1.014517876299285</v>
      </c>
      <c r="BO11" s="116"/>
      <c r="BP11" s="3">
        <f t="shared" si="36"/>
        <v>34.796954314720814</v>
      </c>
      <c r="BQ11" s="3">
        <f t="shared" si="37"/>
        <v>32.796954314720814</v>
      </c>
      <c r="BR11" s="3">
        <f t="shared" si="38"/>
        <v>17.469130871705016</v>
      </c>
      <c r="BS11" s="3">
        <f>IF(AND(Sufficient_data="Yes",Include_study?="Yes"),IF(Add_0_5="Yes",(a_+d_+1)*(ab_+0.5)*(c_+0.5)/(Number_of_subjects+2)^2,(a_+d_)*b_*c_/Number_of_subjects^2),"")</f>
        <v>16.465069957999432</v>
      </c>
      <c r="BT11" s="3">
        <f t="shared" si="39"/>
        <v>17.327823443015795</v>
      </c>
      <c r="BU11" s="3">
        <f t="shared" si="40"/>
        <v>16.331884356721378</v>
      </c>
      <c r="BV11" s="3">
        <f t="shared" si="41"/>
        <v>32.796954314720814</v>
      </c>
      <c r="BW11" s="3">
        <f t="shared" si="42"/>
        <v>1.0876290537274057E-3</v>
      </c>
      <c r="BX11" s="3">
        <f t="shared" si="43"/>
        <v>33.771423695759658</v>
      </c>
      <c r="BY11" s="35">
        <f t="shared" si="44"/>
        <v>-5.6167080930900129E-3</v>
      </c>
      <c r="CA11" s="3" t="s">
        <v>304</v>
      </c>
      <c r="CB11" s="3">
        <f>EXP(CIlnCES_LL_MH)</f>
        <v>1.014517876299285</v>
      </c>
      <c r="CD11" s="116"/>
      <c r="CE11" s="76">
        <f t="shared" si="45"/>
        <v>73</v>
      </c>
      <c r="CF11" s="3">
        <f t="shared" si="46"/>
        <v>33.812087353986797</v>
      </c>
      <c r="CG11" s="3">
        <f t="shared" si="47"/>
        <v>5.9150444604662337E-2</v>
      </c>
      <c r="CH11" s="3">
        <f t="shared" si="48"/>
        <v>2.9575222302331169E-2</v>
      </c>
      <c r="CI11" s="3">
        <f t="shared" si="49"/>
        <v>33.812087353986797</v>
      </c>
      <c r="CJ11" s="3">
        <f t="shared" si="50"/>
        <v>33.812087353986797</v>
      </c>
      <c r="CK11" s="35">
        <f t="shared" si="51"/>
        <v>-5.6597874611011775E-3</v>
      </c>
      <c r="CM11" s="3" t="s">
        <v>304</v>
      </c>
      <c r="CN11" s="3">
        <f>EXP(CIlnCES_LL_Peto)</f>
        <v>1.014606726567177</v>
      </c>
      <c r="CP11" s="116"/>
      <c r="CQ11" s="52">
        <f t="shared" si="52"/>
        <v>7.208121827411168E-2</v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1.0593574392333973</v>
      </c>
      <c r="CU11" s="3">
        <f>IF(Model_effect_size_measure="Odds Ratio",CES_OddsRatio_MH/(1-MEDIAN(Control_group_risk)+(MEDIAN(Control_group_risk)*CES_OddsRatio_MH)),NA())</f>
        <v>1.0593574392333973</v>
      </c>
      <c r="CV11" s="3" t="e">
        <f>IF(Model_effect_size_measure="Peto Odds Ratio",CES_PetoOddsRatio/(1-MEDIAN(Control_group_risk)+(MEDIAN(Control_group_risk)*CES_PetoOddsRatio)),NA())</f>
        <v>#N/A</v>
      </c>
      <c r="CX11" s="135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IF(AND(Sufficient_data="Yes",Subgroup&lt;&gt;""),IF(COUNTIFS(Input!J$2:J13,"="&amp;"Yes",Input!C$2:C13,"="&amp;"Yes",Input!K$2:K13,"="&amp;Subgroup)&gt;0,"",Subgroup),"")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 t="e">
        <f>IF(Subgroup_valid_options="Yes",IF(Subgroup_effect_size_measure="Risk Difference",EY9-ABS(TINV((1-Subgroup_confidence_level),Subgroup_k-1))*EY10,EXP(EY4)),"")</f>
        <v>#DIV/0!</v>
      </c>
      <c r="FA11" s="135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35"/>
      <c r="FS11" s="129"/>
      <c r="FT11" s="76">
        <f>IF(AND(Include_study?="Yes",Sufficient_data="Yes"),IF(Additional_weighting_method="Inverse Variance",1/'Publication Bias Analysis'!F:F^2,IF(Additional_weighting_method="Mantel-Haenszel",Weightf_MH,Weightf_Peto)),"")</f>
        <v>33.771423695759658</v>
      </c>
      <c r="FU11" s="3">
        <f>IF(AND(Include_study?="Yes",Sufficient_data="Yes"),1/('Publication Bias Analysis'!F:F^2+IF(Additional_model="Fixed effect",0,Calculations!GH$12)),"")</f>
        <v>33.771423695759658</v>
      </c>
      <c r="FV11" s="3">
        <f>IF(AND(Include_study?="Yes",Sufficient_data="Yes"),1/('Publication Bias Analysis'!F:F^2+IF(Additional_model="Fixed effect",0,'Publication Bias Analysis'!L$32)),"")</f>
        <v>33.771423695759658</v>
      </c>
      <c r="FW11" s="3">
        <f>IF(AND(Include_study?="Yes",Sufficient_data="Yes"),'Publication Bias Analysis'!E:E-'Publication Bias Analysis'!I$37,"")</f>
        <v>4.6125997403864E-3</v>
      </c>
      <c r="FX11" s="3">
        <f>IF(AND(Include_study?="Yes",Sufficient_data="Yes"),IF(Additional_model="Fixed effect",1/'Publication Bias Analysis'!F:F,1/SQRT('Publication Bias Analysis'!F:F^2+GH$12)),"")</f>
        <v>5.811318584947796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0.34399640361847161</v>
      </c>
      <c r="FZ11" s="6">
        <f t="shared" si="80"/>
        <v>-2</v>
      </c>
      <c r="GA11" s="83">
        <f>IF(AND(Include_study?="Yes",Sufficient_data="Yes"),FZ:FZ+IF(GL:GL&lt;0,-1,1)*COUNTIF(FZ$2:FZ10,FZ:FZ),"")</f>
        <v>-2</v>
      </c>
      <c r="GB11" s="83">
        <f>IF(AND(Include_study?="Yes",Sufficient_data="Yes"),RANK(GP:GP,GP:GP,1)*IF(GO:GO&lt;0,-1,1)+IF(GO:GO&lt;0,-1,1)*COUNTIF(FZ$2:FZ10,FZ:FZ),"")</f>
        <v>1</v>
      </c>
      <c r="GC11" s="83">
        <f>IF(AND(Include_study?="Yes",Sufficient_data="Yes"),RANK(GS:GS,GS:GS,1)*IF(GR:GR&lt;0,-1,1)+IF(GR:GR&lt;0,-1,1)*COUNTIF(FZ$2:FZ10,FZ:FZ),"")</f>
        <v>1</v>
      </c>
      <c r="GD11" s="3">
        <f>IF(AND(Include_study?="Yes",Sufficient_data="Yes"),'Publication Bias Analysis'!E11,NA())</f>
        <v>5.9194208438249261E-2</v>
      </c>
      <c r="GE11" s="35">
        <f>IF(AND(Include_study?="Yes",Sufficient_data="Yes"),'Publication Bias Analysis'!F11,NA())</f>
        <v>0.1720779863265719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1.7324357332144662</v>
      </c>
      <c r="GK11" s="116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-5.6167080930900407E-3</v>
      </c>
      <c r="GM11" s="3">
        <f t="shared" si="81"/>
        <v>5.6167080930900407E-3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33.771423695759658</v>
      </c>
      <c r="GO11" s="3">
        <f>IF(AND(Include_study?="Yes",Sufficient_data="Yes"),IF('Publication Bias Analysis'!L$38="Left",'Publication Bias Analysis'!E:E-GW$3,GW$3-'Publication Bias Analysis'!E:E),"")</f>
        <v>4.6125997403863861E-3</v>
      </c>
      <c r="GP11" s="3">
        <f t="shared" si="82"/>
        <v>4.6125997403863861E-3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33.771423695759658</v>
      </c>
      <c r="GR11" s="3">
        <f>IF(AND(Include_study?="Yes",Sufficient_data="Yes"),IF('Publication Bias Analysis'!L$38="Left",'Publication Bias Analysis'!E:E-GW$10,GW$10-'Publication Bias Analysis'!E:E),"")</f>
        <v>4.6125997403863861E-3</v>
      </c>
      <c r="GS11" s="3">
        <f t="shared" si="83"/>
        <v>4.6125997403863861E-3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33.771423695759658</v>
      </c>
      <c r="GV11" s="118" t="s">
        <v>54</v>
      </c>
      <c r="GW11" s="118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6"/>
      <c r="HL11" s="3">
        <f t="shared" si="89"/>
        <v>0.27282252945120078</v>
      </c>
      <c r="HM11" s="35">
        <f>IF(AND(Include_study?="Yes",Sufficient_data="Yes"),Z_score-('Publication Bias Analysis'!P$3+'Publication Bias Analysis'!P$4*Inverse_standard_error),"")</f>
        <v>0.1573226464503964</v>
      </c>
      <c r="HO11" s="116"/>
      <c r="HP11" s="3">
        <f>IF(AND(Include_study?="Yes",Sufficient_data="Yes"),(GD:GD-SUMPRODUCT(Calculations!FT:FT,'Publication Bias Analysis'!E:E)/SUM(Calculations!FT:FT))/SQRT(Calculations!HQ:HQ),"")</f>
        <v>-3.4400920476269352E-2</v>
      </c>
      <c r="HQ11" s="3">
        <f>IF(AND(Include_study?="Yes",Sufficient_data="Yes"),GE:GE^2-1/SUM(Calculations!FT:FT),"")</f>
        <v>2.6657755524607446E-2</v>
      </c>
      <c r="HR11" s="6">
        <f t="shared" si="90"/>
        <v>7</v>
      </c>
      <c r="HS11" s="6">
        <f t="shared" si="91"/>
        <v>8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9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1</v>
      </c>
      <c r="HW11" s="116"/>
      <c r="IB11" s="116"/>
      <c r="IC11" s="76">
        <f t="shared" si="92"/>
        <v>7.6142131979695438E-2</v>
      </c>
      <c r="ID11" s="3">
        <f t="shared" si="93"/>
        <v>7.208121827411168E-2</v>
      </c>
      <c r="IE11" s="3">
        <f t="shared" si="94"/>
        <v>39.389644037248431</v>
      </c>
      <c r="IF11" s="35">
        <f t="shared" si="95"/>
        <v>33.771423695759658</v>
      </c>
      <c r="IK11" s="116"/>
      <c r="IL11" s="3">
        <f>IF(AND(Include_study?="Yes",Sufficient_data="Yes"),'Publication Bias Analysis'!AV:AV,NA())</f>
        <v>0.34399640361847161</v>
      </c>
      <c r="IM11" s="3">
        <f>IF(AND(Sufficient_data="Yes",Include_study?="Yes"),'Publication Bias Analysis'!AU:AU,NA())</f>
        <v>5.811318584947796</v>
      </c>
      <c r="IN11" s="3">
        <f t="shared" si="96"/>
        <v>0.27282252945120078</v>
      </c>
      <c r="IO11" s="35">
        <f>IF(AND(Include_study?="Yes",Sufficient_data="Yes"),Z_score-('Publication Bias Analysis'!AY$30+'Publication Bias Analysis'!AY$31*Inverse_standard_error),"")</f>
        <v>-3.2640480127600791E-2</v>
      </c>
      <c r="IU11" s="116"/>
      <c r="IV11" s="6">
        <f>IF('Publication Bias Analysis'!BG:BG&lt;&gt;"",RANK('Publication Bias Analysis'!BG:BG,'Publication Bias Analysis'!BG:BG,1)+COUNTIF('Publication Bias Analysis'!BG$2:BG10,'Publication Bias Analysis'!BG11),"")</f>
        <v>6</v>
      </c>
      <c r="IW11" s="3">
        <f t="shared" si="97"/>
        <v>0.5</v>
      </c>
      <c r="IX11" s="3">
        <f>IF('Publication Bias Analysis'!BF11&lt;&gt;"",'Publication Bias Analysis'!BF11,NA())</f>
        <v>0</v>
      </c>
      <c r="IY11" s="3">
        <f>IF('Publication Bias Analysis'!BG11&lt;&gt;"",'Publication Bias Analysis'!BG11,NA())</f>
        <v>0.34399640361847161</v>
      </c>
      <c r="IZ11" s="3">
        <f>IF(AND(Include_study?="Yes",Sufficient_data="Yes"),'Publication Bias Analysis'!BF:BF-AVERAGE('Publication Bias Analysis'!BF:BF),"")</f>
        <v>5.8286708792820718E-16</v>
      </c>
      <c r="JA11" s="35">
        <f>IF(AND(Include_study?="Yes",Sufficient_data="Yes"),'Publication Bias Analysis'!BG:BG-('Publication Bias Analysis'!BJ$30+'Publication Bias Analysis'!BJ$31*'Publication Bias Analysis'!BF:BF),"")</f>
        <v>-2.9812481215250652E-2</v>
      </c>
      <c r="JG11" s="116"/>
      <c r="JH11" s="3">
        <f t="shared" si="98"/>
        <v>0.34399640361847161</v>
      </c>
      <c r="JI11" s="10">
        <f t="shared" si="124"/>
        <v>0.36542449536676402</v>
      </c>
      <c r="JJ11" s="35">
        <f t="shared" si="125"/>
        <v>-1.006695600156591</v>
      </c>
    </row>
    <row r="12" spans="1:270" ht="14" x14ac:dyDescent="0.35">
      <c r="A12" s="2">
        <f t="shared" si="0"/>
        <v>11</v>
      </c>
      <c r="B12" s="6">
        <f>IF(AND(Include_study?="Yes",Sufficient_data="Yes"),IF(Input!a_&lt;&gt;"",Input!a_,Input!n1_-Input!b_),"")</f>
        <v>50</v>
      </c>
      <c r="C12" s="6">
        <f>IF(AND(Include_study?="Yes",Sufficient_data="Yes"),IF(Input!b_&lt;&gt;"",Input!b_,Input!n1_-Input!a_),"")</f>
        <v>935</v>
      </c>
      <c r="D12" s="6">
        <f>IF(AND(Include_study?="Yes",Sufficient_data="Yes"),IF(Input!c_&lt;&gt;"",Input!c_,Input!n2_-Input!d_),"")</f>
        <v>47</v>
      </c>
      <c r="E12" s="6">
        <f>IF(AND(Include_study?="Yes",Sufficient_data="Yes"),IF(Input!d_&lt;&gt;"",Input!d_,Input!n2_-Input!c_),"")</f>
        <v>938</v>
      </c>
      <c r="F12" s="35" t="str">
        <f t="shared" si="1"/>
        <v>No</v>
      </c>
      <c r="H12" s="135"/>
      <c r="I12" s="129"/>
      <c r="J12" s="76">
        <f t="shared" si="2"/>
        <v>1.0672431448401412</v>
      </c>
      <c r="K12" s="3">
        <f t="shared" si="3"/>
        <v>6.507882343562521E-2</v>
      </c>
      <c r="L12" s="3">
        <f t="shared" si="4"/>
        <v>0.20835597553773649</v>
      </c>
      <c r="M12" s="3">
        <f t="shared" si="5"/>
        <v>0.70925320003371028</v>
      </c>
      <c r="N12" s="35">
        <f t="shared" si="6"/>
        <v>1.6059256837390912</v>
      </c>
      <c r="P12" s="116"/>
      <c r="Q12" s="76">
        <f t="shared" si="7"/>
        <v>1.0671868372200262</v>
      </c>
      <c r="R12" s="3">
        <f t="shared" si="8"/>
        <v>0.20820832862608654</v>
      </c>
      <c r="S12" s="3">
        <f t="shared" si="9"/>
        <v>0.70942117068266408</v>
      </c>
      <c r="T12" s="35">
        <f t="shared" si="10"/>
        <v>1.6053760341543655</v>
      </c>
      <c r="V12" s="116"/>
      <c r="W12" s="76">
        <f t="shared" si="11"/>
        <v>3.0456852791878181E-3</v>
      </c>
      <c r="X12" s="3">
        <f t="shared" si="12"/>
        <v>9.7493274009891693E-3</v>
      </c>
      <c r="Y12" s="3">
        <f t="shared" si="13"/>
        <v>-1.6074404465786344E-2</v>
      </c>
      <c r="Z12" s="35">
        <f t="shared" si="14"/>
        <v>2.216577502416198E-2</v>
      </c>
      <c r="AB12" s="116"/>
      <c r="AC12" s="76">
        <f t="shared" si="15"/>
        <v>1.0638297872340425</v>
      </c>
      <c r="AD12" s="3">
        <f t="shared" si="16"/>
        <v>6.1875403718087453E-2</v>
      </c>
      <c r="AE12" s="3">
        <f t="shared" si="17"/>
        <v>0.1981063827641325</v>
      </c>
      <c r="AF12" s="3">
        <f t="shared" si="18"/>
        <v>0.7213398324119018</v>
      </c>
      <c r="AG12" s="35">
        <f t="shared" si="19"/>
        <v>1.5689329291886129</v>
      </c>
      <c r="AI12" s="135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11</v>
      </c>
      <c r="AK12" s="6">
        <f>IF(AJ12&lt;&gt;"",IF(AJ12=0,COUNTIF(AJ$2:AJ11,0)+1,COUNTIF(AJ$2:AJ11,AJ12)+AJ12+COUNTIF(AJ:AJ,0)),"")</f>
        <v>11</v>
      </c>
      <c r="AL12" s="6">
        <f t="shared" si="20"/>
        <v>11</v>
      </c>
      <c r="AM12" s="3" t="str">
        <f>IF(AND(Include_study?="Yes",Sufficient_data="Yes",Input!Study_name&lt;&gt;""),Input!Study_name,"")</f>
        <v>Quan et al.</v>
      </c>
      <c r="AN12" s="6">
        <f t="shared" si="21"/>
        <v>1970</v>
      </c>
      <c r="AO12" s="3">
        <f t="shared" si="22"/>
        <v>1.0672431448401412</v>
      </c>
      <c r="AP12" s="3">
        <f t="shared" si="23"/>
        <v>23.034992722981762</v>
      </c>
      <c r="AQ12" s="3">
        <f t="shared" si="24"/>
        <v>23.034992722981762</v>
      </c>
      <c r="AR12" s="3">
        <f t="shared" si="25"/>
        <v>0.20835597553773649</v>
      </c>
      <c r="AS12" s="3">
        <f t="shared" si="26"/>
        <v>0.70925320003371028</v>
      </c>
      <c r="AT12" s="3">
        <f t="shared" si="27"/>
        <v>1.6059256837390912</v>
      </c>
      <c r="AU12" s="80">
        <f t="shared" si="28"/>
        <v>6.802412686808422E-2</v>
      </c>
      <c r="AW12" s="44">
        <f t="shared" si="29"/>
        <v>1.0672431448401412</v>
      </c>
      <c r="AX12" s="3">
        <f t="shared" si="30"/>
        <v>0.35798994480643087</v>
      </c>
      <c r="AY12" s="35">
        <f t="shared" si="31"/>
        <v>0.53868253889895001</v>
      </c>
      <c r="BD12" s="135"/>
      <c r="BE12" s="129"/>
      <c r="BF12" s="3">
        <f t="shared" si="32"/>
        <v>6.507882343562521E-2</v>
      </c>
      <c r="BG12" s="3">
        <f t="shared" si="33"/>
        <v>0.20835597553773649</v>
      </c>
      <c r="BH12" s="3">
        <f t="shared" si="34"/>
        <v>23.034992722981762</v>
      </c>
      <c r="BI12" s="3">
        <f t="shared" si="99"/>
        <v>23.034992722981762</v>
      </c>
      <c r="BJ12" s="35">
        <f t="shared" si="35"/>
        <v>2.6790690428590835E-4</v>
      </c>
      <c r="BL12" s="3" t="s">
        <v>305</v>
      </c>
      <c r="BM12" s="3">
        <f>IF(Model_effect_size_measure="Risk Difference",CES_IV+ABS(TINV((1-Confidence_level),k_-1))*SECES_Risk_Difference,EXP(CIlnCES_UL))</f>
        <v>1.1221071842096622</v>
      </c>
      <c r="BO12" s="116"/>
      <c r="BP12" s="3">
        <f t="shared" si="36"/>
        <v>23.80710659898477</v>
      </c>
      <c r="BQ12" s="3">
        <f t="shared" si="37"/>
        <v>22.30710659898477</v>
      </c>
      <c r="BR12" s="3">
        <f t="shared" si="38"/>
        <v>11.939807776546678</v>
      </c>
      <c r="BS12" s="3">
        <f>IF(AND(Sufficient_data="Yes",Include_study?="Yes"),IF(Add_0_5="Yes",(a_+d_+1)*(ab_+0.5)*(c_+0.5)/(Number_of_subjects+2)^2,(a_+d_)*b_*c_/Number_of_subjects^2),"")</f>
        <v>11.187523512587287</v>
      </c>
      <c r="BT12" s="3">
        <f t="shared" si="39"/>
        <v>11.867298822438094</v>
      </c>
      <c r="BU12" s="3">
        <f t="shared" si="40"/>
        <v>11.119583086397485</v>
      </c>
      <c r="BV12" s="3">
        <f t="shared" si="41"/>
        <v>22.30710659898477</v>
      </c>
      <c r="BW12" s="3">
        <f t="shared" si="42"/>
        <v>1.0121407943338809E-6</v>
      </c>
      <c r="BX12" s="3">
        <f t="shared" si="43"/>
        <v>23.034992722981762</v>
      </c>
      <c r="BY12" s="35">
        <f t="shared" si="44"/>
        <v>2.6790690428593611E-4</v>
      </c>
      <c r="CA12" s="3" t="s">
        <v>305</v>
      </c>
      <c r="CB12" s="3">
        <f>EXP(CIlnCES_UL_MH)</f>
        <v>1.1221071842096622</v>
      </c>
      <c r="CD12" s="116"/>
      <c r="CE12" s="76">
        <f t="shared" si="45"/>
        <v>48.5</v>
      </c>
      <c r="CF12" s="3">
        <f t="shared" si="46"/>
        <v>23.067673946165566</v>
      </c>
      <c r="CG12" s="3">
        <f t="shared" si="47"/>
        <v>6.5026062163902665E-2</v>
      </c>
      <c r="CH12" s="3">
        <f t="shared" si="48"/>
        <v>4.3350708109268443E-2</v>
      </c>
      <c r="CI12" s="3">
        <f t="shared" si="49"/>
        <v>23.067673946165566</v>
      </c>
      <c r="CJ12" s="3">
        <f t="shared" si="50"/>
        <v>23.067673946165566</v>
      </c>
      <c r="CK12" s="35">
        <f t="shared" si="51"/>
        <v>2.1583009813914977E-4</v>
      </c>
      <c r="CM12" s="3" t="s">
        <v>305</v>
      </c>
      <c r="CN12" s="3">
        <f>EXP(CIlnCES_UL_Peto)</f>
        <v>1.1220073840522118</v>
      </c>
      <c r="CP12" s="116"/>
      <c r="CQ12" s="52">
        <f t="shared" si="52"/>
        <v>4.7715736040609136E-2</v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1.0129422580420806</v>
      </c>
      <c r="CU12" s="3">
        <f>IF(Model_effect_size_measure="Odds Ratio",CICES_LL_MH/(1-MEDIAN(Control_group_risk)+(MEDIAN(Control_group_risk)*CICES_LL_MH)),"")</f>
        <v>1.0129422580420806</v>
      </c>
      <c r="CV12" s="3" t="str">
        <f>IF(Model_effect_size_measure="Peto Odds Ratio",CICES_LL_Peto/(1-MEDIAN(Control_group_risk)+(MEDIAN(Control_group_risk)*CICES_LL_Peto)),"")</f>
        <v/>
      </c>
      <c r="CX12" s="135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 t="e">
        <f>IF(Subgroup_valid_options="Yes",IF(Subgroup_effect_size_measure="Risk Difference",EY9+ABS(TINV((1-Subgroup_confidence_level),Subgroup_k-1))*EY10,EXP(EY5)),"")</f>
        <v>#DIV/0!</v>
      </c>
      <c r="FA12" s="135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5"/>
      <c r="FS12" s="129"/>
      <c r="FT12" s="76">
        <f>IF(AND(Include_study?="Yes",Sufficient_data="Yes"),IF(Additional_weighting_method="Inverse Variance",1/'Publication Bias Analysis'!F:F^2,IF(Additional_weighting_method="Mantel-Haenszel",Weightf_MH,Weightf_Peto)),"")</f>
        <v>23.034992722981762</v>
      </c>
      <c r="FU12" s="3">
        <f>IF(AND(Include_study?="Yes",Sufficient_data="Yes"),1/('Publication Bias Analysis'!F:F^2+IF(Additional_model="Fixed effect",0,Calculations!GH$12)),"")</f>
        <v>23.034992722981762</v>
      </c>
      <c r="FV12" s="3">
        <f>IF(AND(Include_study?="Yes",Sufficient_data="Yes"),1/('Publication Bias Analysis'!F:F^2+IF(Additional_model="Fixed effect",0,'Publication Bias Analysis'!L$32)),"")</f>
        <v>23.034992722981762</v>
      </c>
      <c r="FW12" s="3">
        <f>IF(AND(Include_study?="Yes",Sufficient_data="Yes"),'Publication Bias Analysis'!E:E-'Publication Bias Analysis'!I$37,"")</f>
        <v>1.0497214737762349E-2</v>
      </c>
      <c r="FX12" s="3">
        <f>IF(AND(Include_study?="Yes",Sufficient_data="Yes"),IF(Additional_model="Fixed effect",1/'Publication Bias Analysis'!F:F,1/SQRT('Publication Bias Analysis'!F:F^2+GH$12)),"")</f>
        <v>4.799478380301526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0.31234440609474351</v>
      </c>
      <c r="FZ12" s="6">
        <f t="shared" si="80"/>
        <v>1</v>
      </c>
      <c r="GA12" s="83">
        <f>IF(AND(Include_study?="Yes",Sufficient_data="Yes"),FZ:FZ+IF(GL:GL&lt;0,-1,1)*COUNTIF(FZ$2:FZ11,FZ:FZ),"")</f>
        <v>1</v>
      </c>
      <c r="GB12" s="83">
        <f>IF(AND(Include_study?="Yes",Sufficient_data="Yes"),RANK(GP:GP,GP:GP,1)*IF(GO:GO&lt;0,-1,1)+IF(GO:GO&lt;0,-1,1)*COUNTIF(FZ$2:FZ11,FZ:FZ),"")</f>
        <v>2</v>
      </c>
      <c r="GC12" s="83">
        <f>IF(AND(Include_study?="Yes",Sufficient_data="Yes"),RANK(GS:GS,GS:GS,1)*IF(GR:GR&lt;0,-1,1)+IF(GR:GR&lt;0,-1,1)*COUNTIF(FZ$2:FZ11,FZ:FZ),"")</f>
        <v>2</v>
      </c>
      <c r="GD12" s="3">
        <f>IF(AND(Include_study?="Yes",Sufficient_data="Yes"),'Publication Bias Analysis'!E12,NA())</f>
        <v>6.507882343562521E-2</v>
      </c>
      <c r="GE12" s="35">
        <f>IF(AND(Include_study?="Yes",Sufficient_data="Yes"),'Publication Bias Analysis'!F12,NA())</f>
        <v>0.20835597553773649</v>
      </c>
      <c r="GG12" s="2" t="s">
        <v>143</v>
      </c>
      <c r="GH12" s="3">
        <f>MAX(0,(GH11-(k_-1))/((SUM(Calculations!FT:FT))-SUMPRODUCT(Calculations!FT:FT,Calculations!FT:FT)/SUM(Calculations!FT:FT)))</f>
        <v>0</v>
      </c>
      <c r="GK12" s="116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2.6790690428590835E-4</v>
      </c>
      <c r="GM12" s="3">
        <f t="shared" si="81"/>
        <v>2.6790690428590835E-4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23.034992722981762</v>
      </c>
      <c r="GO12" s="3">
        <f>IF(AND(Include_study?="Yes",Sufficient_data="Yes"),IF('Publication Bias Analysis'!L$38="Left",'Publication Bias Analysis'!E:E-GW$3,GW$3-'Publication Bias Analysis'!E:E),"")</f>
        <v>1.0497214737762335E-2</v>
      </c>
      <c r="GP12" s="3">
        <f t="shared" si="82"/>
        <v>1.0497214737762335E-2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23.034992722981762</v>
      </c>
      <c r="GR12" s="3">
        <f>IF(AND(Include_study?="Yes",Sufficient_data="Yes"),IF('Publication Bias Analysis'!L$38="Left",'Publication Bias Analysis'!E:E-GW$10,GW$10-'Publication Bias Analysis'!E:E),"")</f>
        <v>1.0497214737762335E-2</v>
      </c>
      <c r="GS12" s="3">
        <f t="shared" si="83"/>
        <v>1.0497214737762335E-2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23.034992722981762</v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1.3362460639925353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6"/>
      <c r="HL12" s="3">
        <f t="shared" si="89"/>
        <v>-0.73901767519506922</v>
      </c>
      <c r="HM12" s="35">
        <f>IF(AND(Include_study?="Yes",Sufficient_data="Yes"),Z_score-('Publication Bias Analysis'!P$3+'Publication Bias Analysis'!P$4*Inverse_standard_error),"")</f>
        <v>-0.56837337395738086</v>
      </c>
      <c r="HO12" s="116"/>
      <c r="HP12" s="3">
        <f>IF(AND(Include_study?="Yes",Sufficient_data="Yes"),(GD:GD-SUMPRODUCT(Calculations!FT:FT,'Publication Bias Analysis'!E:E)/SUM(Calculations!FT:FT))/SQRT(Calculations!HQ:HQ),"")</f>
        <v>1.3319122429363657E-3</v>
      </c>
      <c r="HQ12" s="3">
        <f>IF(AND(Include_study?="Yes",Sufficient_data="Yes"),GE:GE^2-1/SUM(Calculations!FT:FT),"")</f>
        <v>4.0459134688681432E-2</v>
      </c>
      <c r="HR12" s="6">
        <f t="shared" si="90"/>
        <v>6</v>
      </c>
      <c r="HS12" s="6">
        <f t="shared" si="91"/>
        <v>1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5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5</v>
      </c>
      <c r="HW12" s="116"/>
      <c r="HX12" s="137" t="s">
        <v>306</v>
      </c>
      <c r="HY12" s="118"/>
      <c r="IB12" s="116"/>
      <c r="IC12" s="76">
        <f t="shared" si="92"/>
        <v>5.0761421319796954E-2</v>
      </c>
      <c r="ID12" s="3">
        <f t="shared" si="93"/>
        <v>4.7715736040609136E-2</v>
      </c>
      <c r="IE12" s="3">
        <f t="shared" si="94"/>
        <v>25.480213550553135</v>
      </c>
      <c r="IF12" s="35">
        <f t="shared" si="95"/>
        <v>23.034992722981762</v>
      </c>
      <c r="IK12" s="116"/>
      <c r="IL12" s="3">
        <f>IF(AND(Include_study?="Yes",Sufficient_data="Yes"),'Publication Bias Analysis'!AV:AV,NA())</f>
        <v>0.31234440609474351</v>
      </c>
      <c r="IM12" s="3">
        <f>IF(AND(Sufficient_data="Yes",Include_study?="Yes"),'Publication Bias Analysis'!AU:AU,NA())</f>
        <v>4.799478380301526</v>
      </c>
      <c r="IN12" s="3">
        <f t="shared" si="96"/>
        <v>-0.73901767519506922</v>
      </c>
      <c r="IO12" s="35">
        <f>IF(AND(Include_study?="Yes",Sufficient_data="Yes"),Z_score-('Publication Bias Analysis'!AY$30+'Publication Bias Analysis'!AY$31*Inverse_standard_error),"")</f>
        <v>1.2858133950537365E-3</v>
      </c>
      <c r="IU12" s="116"/>
      <c r="IV12" s="6">
        <f>IF('Publication Bias Analysis'!BG:BG&lt;&gt;"",RANK('Publication Bias Analysis'!BG:BG,'Publication Bias Analysis'!BG:BG,1)+COUNTIF('Publication Bias Analysis'!BG$2:BG11,'Publication Bias Analysis'!BG12),"")</f>
        <v>5</v>
      </c>
      <c r="IW12" s="3">
        <f t="shared" si="97"/>
        <v>0.41176470588235292</v>
      </c>
      <c r="IX12" s="3">
        <f>IF('Publication Bias Analysis'!BF12&lt;&gt;"",'Publication Bias Analysis'!BF12,NA())</f>
        <v>-0.22300783094036683</v>
      </c>
      <c r="IY12" s="3">
        <f>IF('Publication Bias Analysis'!BG12&lt;&gt;"",'Publication Bias Analysis'!BG12,NA())</f>
        <v>0.31234440609474351</v>
      </c>
      <c r="IZ12" s="3">
        <f>IF(AND(Include_study?="Yes",Sufficient_data="Yes"),'Publication Bias Analysis'!BF:BF-AVERAGE('Publication Bias Analysis'!BF:BF),"")</f>
        <v>-0.22300783094036625</v>
      </c>
      <c r="JA12" s="35">
        <f>IF(AND(Include_study?="Yes",Sufficient_data="Yes"),'Publication Bias Analysis'!BG:BG-('Publication Bias Analysis'!BJ$30+'Publication Bias Analysis'!BJ$31*'Publication Bias Analysis'!BF:BF),"")</f>
        <v>3.3752553969061683E-2</v>
      </c>
      <c r="JG12" s="116"/>
      <c r="JH12" s="3">
        <f t="shared" si="98"/>
        <v>0.31234440609474351</v>
      </c>
      <c r="JI12" s="10">
        <f t="shared" si="124"/>
        <v>0.37738939785354697</v>
      </c>
      <c r="JJ12" s="35">
        <f t="shared" si="125"/>
        <v>-0.9744777390402064</v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5"/>
      <c r="I13" s="129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16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16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16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5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5"/>
      <c r="BE13" s="129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1.014517876299285</v>
      </c>
      <c r="BO13" s="116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1.014517876299285</v>
      </c>
      <c r="CD13" s="116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1.014606726567177</v>
      </c>
      <c r="CP13" s="116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1.1076163364917728</v>
      </c>
      <c r="CU13" s="3">
        <f>IF(Model_effect_size_measure="Odds Ratio",CICES_UL_MH/(1-MEDIAN(Control_group_risk)+(MEDIAN(Control_group_risk)*CICES_UL_MH)),"")</f>
        <v>1.1076163364917728</v>
      </c>
      <c r="CV13" s="3" t="str">
        <f>IF(Model_effect_size_measure="Peto Odds Ratio",CICES_UL_Peto/(1-MEDIAN(Control_group_risk)+(MEDIAN(Control_group_risk)*CICES_UL_Peto)),"")</f>
        <v/>
      </c>
      <c r="CX13" s="135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IF(AND(Sufficient_data="Yes",Subgroup&lt;&gt;""),IF(COUNTIFS(Input!J$2:J15,"="&amp;"Yes",Input!C$2:C15,"="&amp;"Yes",Input!K$2:K15,"="&amp;Subgroup)&gt;0,"",Subgroup),"")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5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5"/>
      <c r="FS13" s="129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16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6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16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16"/>
      <c r="HX13" s="2" t="s">
        <v>309</v>
      </c>
      <c r="HY13" s="3">
        <f>MAX(MAX(Standardized_residual),ABS(MIN(Standardized_residual)))</f>
        <v>0.66989656707793244</v>
      </c>
      <c r="IB13" s="116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16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16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16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5"/>
      <c r="I14" s="129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16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16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16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5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5"/>
      <c r="BE14" s="129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1.1221071842096622</v>
      </c>
      <c r="BO14" s="116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1.1221071842096622</v>
      </c>
      <c r="CD14" s="116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1.1220073840522118</v>
      </c>
      <c r="CP14" s="116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1.0129422580420806</v>
      </c>
      <c r="CU14" s="3">
        <f>IF(Model_effect_size_measure="Odds Ratio",PICES_LL_MH/(1-MEDIAN(Control_group_risk)+(MEDIAN(Control_group_risk)*PICES_LL_MH)),"")</f>
        <v>1.0129422580420806</v>
      </c>
      <c r="CV14" s="3" t="str">
        <f>IF(Model_effect_size_measure="Peto Odds Ratio",PICES_LL_Peto/(1-MEDIAN(Control_group_risk)+(MEDIAN(Control_group_risk)*PICES_LL_Peto)),"")</f>
        <v/>
      </c>
      <c r="CX14" s="135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5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5"/>
      <c r="FS14" s="129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8" t="s">
        <v>312</v>
      </c>
      <c r="GH14" s="118"/>
      <c r="GK14" s="116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1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6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16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16"/>
      <c r="HX14" s="2" t="s">
        <v>306</v>
      </c>
      <c r="HY14" s="21">
        <f>ROUND(HY13/4,1)</f>
        <v>0.2</v>
      </c>
      <c r="IB14" s="116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16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16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16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5"/>
      <c r="I15" s="129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6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6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6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5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5"/>
      <c r="BE15" s="129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6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6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6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1.1076163364917728</v>
      </c>
      <c r="CU15" s="3">
        <f>IF(Model_effect_size_measure="Odds Ratio",PICES_UL_MH/(1-MEDIAN(Control_group_risk)+(MEDIAN(Control_group_risk)*PICES_UL_MH)),"")</f>
        <v>1.1076163364917728</v>
      </c>
      <c r="CV15" s="3" t="str">
        <f>IF(Model_effect_size_measure="Peto Odds Ratio",PICES_UL_Peto/(1-MEDIAN(Control_group_risk)+(MEDIAN(Control_group_risk)*PICES_UL_Peto)),"")</f>
        <v/>
      </c>
      <c r="CX15" s="135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5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5"/>
      <c r="FS15" s="129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0.12108203175713166</v>
      </c>
      <c r="GK15" s="116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6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6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6"/>
      <c r="IB15" s="116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6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6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6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5"/>
      <c r="I16" s="129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6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6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6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5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5"/>
      <c r="BE16" s="129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2.8653794926263645</v>
      </c>
      <c r="BO16" s="116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2.8653794926263632</v>
      </c>
      <c r="CD16" s="116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2.8703760325251206</v>
      </c>
      <c r="CP16" s="116"/>
      <c r="CQ16" s="52" t="str">
        <f t="shared" si="52"/>
        <v/>
      </c>
      <c r="CX16" s="135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8" t="s">
        <v>314</v>
      </c>
      <c r="EY16" s="118"/>
      <c r="FA16" s="135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5"/>
      <c r="FS16" s="129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0.12108203175713166</v>
      </c>
      <c r="GK16" s="116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8" t="s">
        <v>100</v>
      </c>
      <c r="GW16" s="118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6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6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6"/>
      <c r="IB16" s="116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6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6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6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5"/>
      <c r="I17" s="129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6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6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6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5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5"/>
      <c r="BE17" s="129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6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6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6"/>
      <c r="CQ17" s="52" t="str">
        <f t="shared" si="52"/>
        <v/>
      </c>
      <c r="CS17" s="118" t="s">
        <v>166</v>
      </c>
      <c r="CT17" s="118"/>
      <c r="CU17" s="118"/>
      <c r="CV17" s="118"/>
      <c r="CX17" s="135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 t="e">
        <f>SUMPRODUCT(Subgroup_weightf,Subgroup_effect_size,Subgroup_effect_size)-SUMPRODUCT(Subgroup_weightf,Subgroup_effect_size)^2/SUM(Subgroup_weightf)</f>
        <v>#DIV/0!</v>
      </c>
      <c r="FA17" s="135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5"/>
      <c r="FS17" s="129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0.22919157309151017</v>
      </c>
      <c r="GK17" s="116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5.4581608697862875E-2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6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6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6"/>
      <c r="IB17" s="116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6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6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6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5"/>
      <c r="I18" s="129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6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6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6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5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5"/>
      <c r="BE18" s="129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16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8" t="s">
        <v>54</v>
      </c>
      <c r="CB18" s="118"/>
      <c r="CD18" s="116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16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35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 t="e">
        <f>CHIDIST(EY17,Subgroup_k-1)</f>
        <v>#DIV/0!</v>
      </c>
      <c r="FA18" s="135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5"/>
      <c r="FS18" s="129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6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8" t="s">
        <v>54</v>
      </c>
      <c r="GW18" s="118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6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6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6"/>
      <c r="IB18" s="116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6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6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6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5"/>
      <c r="I19" s="129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6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6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6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5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5"/>
      <c r="BE19" s="129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1.7324357332144662</v>
      </c>
      <c r="BO19" s="116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1.7324368837825828</v>
      </c>
      <c r="CD19" s="116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1.7305679934941038</v>
      </c>
      <c r="CP19" s="116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6.3597256321497181E-3</v>
      </c>
      <c r="CU19" s="3">
        <f>IF(Model_effect_size_measure="Odds Ratio",CU11*MEDIAN(Control_group_risk)-MEDIAN(Control_group_risk),NA())</f>
        <v>6.3597256321497181E-3</v>
      </c>
      <c r="CV19" s="3" t="e">
        <f>IF(Model_effect_size_measure="Peto Odds Ratio",CV11*MEDIAN(Control_group_risk)-MEDIAN(Control_group_risk),NA())</f>
        <v>#N/A</v>
      </c>
      <c r="CX19" s="135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 t="e">
        <f>MAX(0,(EY17-(Subgroup_k-1))/EY17)</f>
        <v>#DIV/0!</v>
      </c>
      <c r="FA19" s="135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5"/>
      <c r="FS19" s="129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8" t="s">
        <v>317</v>
      </c>
      <c r="GH19" s="118"/>
      <c r="GK19" s="116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1.3362460639925353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6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6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6"/>
      <c r="IB19" s="116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6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6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6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5"/>
      <c r="I20" s="129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6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6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6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5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5"/>
      <c r="BE20" s="129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0</v>
      </c>
      <c r="BO20" s="116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0</v>
      </c>
      <c r="CD20" s="116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0</v>
      </c>
      <c r="CP20" s="116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2.2195055309481844E-3</v>
      </c>
      <c r="CU20" s="3">
        <f>IF(Model_effect_size_measure="Odds Ratio",CU19/Z_value_MH,"")</f>
        <v>2.2195055309481852E-3</v>
      </c>
      <c r="CV20" s="3" t="str">
        <f>IF(Model_effect_size_measure="Peto Odds Ratio",CV19/Z_value_Peto,"")</f>
        <v/>
      </c>
      <c r="CX20" s="135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 t="e">
        <f>MAX(0,(EY17-(Subgroup_k-1))/(SUM(Subgroup_weightf)-(SUMPRODUCT(Subgroup_weightf,Subgroup_weightf)/SUM(Subgroup_weightf))))</f>
        <v>#DIV/0!</v>
      </c>
      <c r="FA20" s="135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5"/>
      <c r="FS20" s="129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0.11497992602543224</v>
      </c>
      <c r="GK20" s="116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6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6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6"/>
      <c r="IB20" s="116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6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6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6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5"/>
      <c r="I21" s="129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6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6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6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5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5"/>
      <c r="BE21" s="129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6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6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6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1.4143591264456443E-3</v>
      </c>
      <c r="CU21" s="3">
        <f>IF(Model_effect_size_measure="Odds Ratio",CU19-CU20*ABS(TINV((1-Confidence_level),k_-1)),"")</f>
        <v>1.4143591264456426E-3</v>
      </c>
      <c r="CV21" s="3" t="str">
        <f>IF(Model_effect_size_measure="Peto Odds Ratio",CV19-CV20*ABS(TINV((1-Confidence_level),k_-1)),"")</f>
        <v/>
      </c>
      <c r="CX21" s="135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 t="e">
        <f>SQRT(EY20)</f>
        <v>#DIV/0!</v>
      </c>
      <c r="FA21" s="135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5"/>
      <c r="FS21" s="129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0.11497992602543224</v>
      </c>
      <c r="GK21" s="116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1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6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6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6"/>
      <c r="IB21" s="116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6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6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6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5"/>
      <c r="I22" s="129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6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6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6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5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5"/>
      <c r="BE22" s="129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6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6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6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1.1305092137853792E-2</v>
      </c>
      <c r="CU22" s="3">
        <f>IF(Model_effect_size_measure="Odds Ratio",CU19+CU20*ABS(TINV((1-Confidence_level),k_-1)),"")</f>
        <v>1.1305092137853794E-2</v>
      </c>
      <c r="CV22" s="3" t="str">
        <f>IF(Model_effect_size_measure="Peto Odds Ratio",CV19+CV20*ABS(TINV((1-Confidence_level),k_-1)),"")</f>
        <v/>
      </c>
      <c r="CX22" s="135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5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5"/>
      <c r="FS22" s="129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0.25002717064528379</v>
      </c>
      <c r="GK22" s="116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6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6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6"/>
      <c r="IB22" s="116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6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6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6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5"/>
      <c r="I23" s="129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6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6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6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5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5"/>
      <c r="BE23" s="129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6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6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6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1.4143591264456443E-3</v>
      </c>
      <c r="CU23" s="3">
        <f>IF(Model_effect_size_measure="Odds Ratio",CU19-((lnCES_OddsRatio_MH-PIlnCES_LL_MH)/SElnCES_MH)*CU20,"")</f>
        <v>1.4143591264456426E-3</v>
      </c>
      <c r="CV23" s="3" t="str">
        <f>IF(Model_effect_size_measure="Peto Odds Ratio",CV19-((lnCES_PetoOddsRatio-PIlnCES_LL_Peto)/SElnCES_Peto)*CV20,"")</f>
        <v/>
      </c>
      <c r="CX23" s="135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8" t="s">
        <v>322</v>
      </c>
      <c r="EY23" s="118"/>
      <c r="FA23" s="135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5"/>
      <c r="FS23" s="129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6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6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6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6"/>
      <c r="IB23" s="116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6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6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6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5"/>
      <c r="I24" s="129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6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6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6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5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5"/>
      <c r="BE24" s="129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6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6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6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1.1305092137853792E-2</v>
      </c>
      <c r="CU24" s="3">
        <f>IF(Model_effect_size_measure="Odds Ratio",CU19+((lnCES_OddsRatio_MH-PIlnCES_LL_MH)/SElnCES_MH)*CU20,"")</f>
        <v>1.1305092137853794E-2</v>
      </c>
      <c r="CV24" s="3" t="str">
        <f>IF(Model_effect_size_measure="Peto Odds Ratio",CV19+((lnCES_PetoOddsRatio-PIlnCES_LL_Peto)/SElnCES_Peto)*CV20,"")</f>
        <v/>
      </c>
      <c r="CX24" s="135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 t="e">
        <f>EY9</f>
        <v>#DIV/0!</v>
      </c>
      <c r="FA24" s="135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5"/>
      <c r="FS24" s="129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6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6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6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6"/>
      <c r="IB24" s="116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6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6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6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5"/>
      <c r="I25" s="129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6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6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6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5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5"/>
      <c r="BE25" s="129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6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6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6"/>
      <c r="CQ25" s="52" t="str">
        <f t="shared" si="52"/>
        <v/>
      </c>
      <c r="CX25" s="135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1</v>
      </c>
      <c r="FA25" s="135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5"/>
      <c r="FS25" s="129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6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6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6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6"/>
      <c r="IB25" s="116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6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6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6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5"/>
      <c r="I26" s="129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6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6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6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5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5"/>
      <c r="BE26" s="129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6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6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6"/>
      <c r="CQ26" s="52" t="str">
        <f t="shared" si="52"/>
        <v/>
      </c>
      <c r="CX26" s="135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1</v>
      </c>
      <c r="FA26" s="135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5"/>
      <c r="FS26" s="129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6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6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6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6"/>
      <c r="IB26" s="116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6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6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6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5"/>
      <c r="I27" s="129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6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6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6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5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5"/>
      <c r="BE27" s="129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6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6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6"/>
      <c r="CQ27" s="52" t="str">
        <f t="shared" si="52"/>
        <v/>
      </c>
      <c r="CX27" s="135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 t="e">
        <f>IF(Subgroup_valid_options="Yes",EY9-EY11,"")</f>
        <v>#DIV/0!</v>
      </c>
      <c r="FA27" s="135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5"/>
      <c r="FS27" s="129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6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6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6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6"/>
      <c r="IB27" s="116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6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6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6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5"/>
      <c r="I28" s="129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6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6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6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5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5"/>
      <c r="BE28" s="129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6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6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6"/>
      <c r="CQ28" s="52" t="str">
        <f t="shared" si="52"/>
        <v/>
      </c>
      <c r="CX28" s="135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 t="e">
        <f>IF(Subgroup_valid_options="Yes",EY12-EY9,"")</f>
        <v>#DIV/0!</v>
      </c>
      <c r="FA28" s="135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5"/>
      <c r="FS28" s="129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6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6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6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6"/>
      <c r="IB28" s="116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6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6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6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5"/>
      <c r="I29" s="129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6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6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6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5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5"/>
      <c r="BE29" s="129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6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6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6"/>
      <c r="CQ29" s="52" t="str">
        <f t="shared" si="52"/>
        <v/>
      </c>
      <c r="CX29" s="135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 t="e">
        <f>IF(Subgroup_valid_options="Yes",EY9-EY13,"")</f>
        <v>#DIV/0!</v>
      </c>
      <c r="FA29" s="135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5"/>
      <c r="FS29" s="129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6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6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6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6"/>
      <c r="IB29" s="116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6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6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6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5"/>
      <c r="I30" s="129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6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6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6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5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5"/>
      <c r="BE30" s="129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6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6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6"/>
      <c r="CQ30" s="52" t="str">
        <f t="shared" si="52"/>
        <v/>
      </c>
      <c r="CX30" s="135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 t="e">
        <f>IF(Subgroup_valid_options="Yes",EY14-EY9,"")</f>
        <v>#DIV/0!</v>
      </c>
      <c r="FA30" s="135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5"/>
      <c r="FS30" s="129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6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6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6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6"/>
      <c r="IB30" s="116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6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6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6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5"/>
      <c r="I31" s="129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6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6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6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5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5"/>
      <c r="BE31" s="129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6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6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6"/>
      <c r="CQ31" s="52" t="str">
        <f t="shared" si="52"/>
        <v/>
      </c>
      <c r="CX31" s="135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</v>
      </c>
      <c r="FA31" s="135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5"/>
      <c r="FS31" s="129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6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6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6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6"/>
      <c r="IB31" s="116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6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6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6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5"/>
      <c r="I32" s="129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6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6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6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5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5"/>
      <c r="BE32" s="129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6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6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6"/>
      <c r="CQ32" s="52" t="str">
        <f t="shared" si="52"/>
        <v/>
      </c>
      <c r="CX32" s="135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5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5"/>
      <c r="FS32" s="129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6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6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6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6"/>
      <c r="IB32" s="116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6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6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6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5"/>
      <c r="I33" s="129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6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6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6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5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5"/>
      <c r="BE33" s="129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6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6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6"/>
      <c r="CQ33" s="52" t="str">
        <f t="shared" si="52"/>
        <v/>
      </c>
      <c r="CX33" s="135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8" t="s">
        <v>325</v>
      </c>
      <c r="EY33" s="118"/>
      <c r="FA33" s="135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5"/>
      <c r="FS33" s="129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6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6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6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6"/>
      <c r="IB33" s="116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6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6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6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5"/>
      <c r="I34" s="129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6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6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6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5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5"/>
      <c r="BE34" s="129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6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6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6"/>
      <c r="CQ34" s="52" t="str">
        <f t="shared" ref="CQ34:CQ97" si="175">IF(AND(Sufficient_data="Yes",Include_study?="Yes"),c_/(c_+d_),"")</f>
        <v/>
      </c>
      <c r="CX34" s="135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 t="e">
        <f>IF(Subgroup_valid_options="Yes",SUMPRODUCT(ES:ES,DZ:DZ,DZ:DZ)-SUMPRODUCT(ES:ES,DZ:DZ)^2/SUM(ES:ES),"")</f>
        <v>#DIV/0!</v>
      </c>
      <c r="FA34" s="135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5"/>
      <c r="FS34" s="129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6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6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6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6"/>
      <c r="IB34" s="116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6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6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6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5"/>
      <c r="I35" s="129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6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6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6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5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5"/>
      <c r="BE35" s="129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6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6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6"/>
      <c r="CQ35" s="52" t="str">
        <f t="shared" si="175"/>
        <v/>
      </c>
      <c r="CX35" s="135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 t="e">
        <f>IF(Subgroup_valid_options="Yes",MAX(0,(EY34-(COUNT(DT:DT)-1))/(SUM(ES:ES)-(SUMPRODUCT(ES:ES,ES:ES)/SUM(ES:ES)))),"")</f>
        <v>#DIV/0!</v>
      </c>
      <c r="FA35" s="135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5"/>
      <c r="FS35" s="129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6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6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6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6"/>
      <c r="IB35" s="116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6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6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6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5"/>
      <c r="I36" s="129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6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6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6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5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5"/>
      <c r="BE36" s="129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6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6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6"/>
      <c r="CQ36" s="52" t="str">
        <f t="shared" si="175"/>
        <v/>
      </c>
      <c r="CX36" s="135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5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5"/>
      <c r="FS36" s="129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6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6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6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6"/>
      <c r="IB36" s="116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6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6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6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5"/>
      <c r="I37" s="129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6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6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6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5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5"/>
      <c r="BE37" s="129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6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6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6"/>
      <c r="CQ37" s="52" t="str">
        <f t="shared" si="175"/>
        <v/>
      </c>
      <c r="CX37" s="135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8" t="s">
        <v>327</v>
      </c>
      <c r="EY37" s="118"/>
      <c r="FA37" s="135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5"/>
      <c r="FS37" s="129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6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6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6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6"/>
      <c r="IB37" s="116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6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6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6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5"/>
      <c r="I38" s="129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6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6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6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5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5"/>
      <c r="BE38" s="129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6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6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6"/>
      <c r="CQ38" s="52" t="str">
        <f t="shared" si="175"/>
        <v/>
      </c>
      <c r="CX38" s="135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35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5"/>
      <c r="FS38" s="129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6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6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6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6"/>
      <c r="IB38" s="116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6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6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6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5"/>
      <c r="I39" s="129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6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6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6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5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5"/>
      <c r="BE39" s="129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6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6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6"/>
      <c r="CQ39" s="52" t="str">
        <f t="shared" si="175"/>
        <v/>
      </c>
      <c r="CX39" s="135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35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5"/>
      <c r="FS39" s="129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6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6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6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6"/>
      <c r="IB39" s="116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6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6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6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5"/>
      <c r="I40" s="129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6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6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6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5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5"/>
      <c r="BE40" s="129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6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6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6"/>
      <c r="CQ40" s="52" t="str">
        <f t="shared" si="175"/>
        <v/>
      </c>
      <c r="CX40" s="135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5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5"/>
      <c r="FS40" s="129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6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6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6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6"/>
      <c r="IB40" s="116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6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6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6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5"/>
      <c r="I41" s="129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6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6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6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5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5"/>
      <c r="BE41" s="129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6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6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6"/>
      <c r="CQ41" s="52" t="str">
        <f t="shared" si="175"/>
        <v/>
      </c>
      <c r="CX41" s="135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8" t="s">
        <v>328</v>
      </c>
      <c r="EY41" s="118"/>
      <c r="FA41" s="135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5"/>
      <c r="FS41" s="129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6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6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6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6"/>
      <c r="IB41" s="116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6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6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6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5"/>
      <c r="I42" s="129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6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6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6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5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5"/>
      <c r="BE42" s="129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6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6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6"/>
      <c r="CQ42" s="52" t="str">
        <f t="shared" si="175"/>
        <v/>
      </c>
      <c r="CX42" s="135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35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5"/>
      <c r="FS42" s="129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6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6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6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6"/>
      <c r="IB42" s="116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6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6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6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5"/>
      <c r="I43" s="129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6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6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6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5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5"/>
      <c r="BE43" s="129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6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6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6"/>
      <c r="CQ43" s="52" t="str">
        <f t="shared" si="175"/>
        <v/>
      </c>
      <c r="CX43" s="135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35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5"/>
      <c r="FS43" s="129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6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6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6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6"/>
      <c r="IB43" s="116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6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6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6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5"/>
      <c r="I44" s="129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6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6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6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5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5"/>
      <c r="BE44" s="129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6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6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6"/>
      <c r="CQ44" s="52" t="str">
        <f t="shared" si="175"/>
        <v/>
      </c>
      <c r="CX44" s="135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35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5"/>
      <c r="FS44" s="129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6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6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6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6"/>
      <c r="IB44" s="116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6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6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6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5"/>
      <c r="I45" s="129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6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6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6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5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5"/>
      <c r="BE45" s="129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6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6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6"/>
      <c r="CQ45" s="52" t="str">
        <f t="shared" si="175"/>
        <v/>
      </c>
      <c r="CX45" s="135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5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5"/>
      <c r="FS45" s="129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6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6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6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6"/>
      <c r="IB45" s="116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6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6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6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5"/>
      <c r="I46" s="129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6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6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6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5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5"/>
      <c r="BE46" s="129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6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6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6"/>
      <c r="CQ46" s="52" t="str">
        <f t="shared" si="175"/>
        <v/>
      </c>
      <c r="CX46" s="135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5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5"/>
      <c r="FS46" s="129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6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6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6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6"/>
      <c r="IB46" s="116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6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6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6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5"/>
      <c r="I47" s="129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6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6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6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5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5"/>
      <c r="BE47" s="129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6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6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6"/>
      <c r="CQ47" s="52" t="str">
        <f t="shared" si="175"/>
        <v/>
      </c>
      <c r="CX47" s="135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5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5"/>
      <c r="FS47" s="129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6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6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6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6"/>
      <c r="IB47" s="116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6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6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6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5"/>
      <c r="I48" s="129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6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6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6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5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5"/>
      <c r="BE48" s="129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6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6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6"/>
      <c r="CQ48" s="52" t="str">
        <f t="shared" si="175"/>
        <v/>
      </c>
      <c r="CX48" s="135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5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5"/>
      <c r="FS48" s="129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6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6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6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6"/>
      <c r="IB48" s="116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6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6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6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5"/>
      <c r="I49" s="129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6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6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6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5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5"/>
      <c r="BE49" s="129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6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6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6"/>
      <c r="CQ49" s="52" t="str">
        <f t="shared" si="175"/>
        <v/>
      </c>
      <c r="CX49" s="135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5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5"/>
      <c r="FS49" s="129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6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6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6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6"/>
      <c r="IB49" s="116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6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6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6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5"/>
      <c r="I50" s="129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6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6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6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5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5"/>
      <c r="BE50" s="129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6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6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6"/>
      <c r="CQ50" s="52" t="str">
        <f t="shared" si="175"/>
        <v/>
      </c>
      <c r="CX50" s="135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5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5"/>
      <c r="FS50" s="129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6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6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6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6"/>
      <c r="IB50" s="116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6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6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6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5"/>
      <c r="I51" s="129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6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6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6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5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5"/>
      <c r="BE51" s="129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6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6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6"/>
      <c r="CQ51" s="52" t="str">
        <f t="shared" si="175"/>
        <v/>
      </c>
      <c r="CX51" s="135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5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5"/>
      <c r="FS51" s="129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6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6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6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6"/>
      <c r="IB51" s="116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6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6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6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5"/>
      <c r="I52" s="129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6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6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6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5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5"/>
      <c r="BE52" s="129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6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6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6"/>
      <c r="CQ52" s="52" t="str">
        <f t="shared" si="175"/>
        <v/>
      </c>
      <c r="CX52" s="135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5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5"/>
      <c r="FS52" s="129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6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6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6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6"/>
      <c r="IB52" s="116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6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6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6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5"/>
      <c r="I53" s="129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6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6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6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5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5"/>
      <c r="BE53" s="129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6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6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6"/>
      <c r="CQ53" s="52" t="str">
        <f t="shared" si="175"/>
        <v/>
      </c>
      <c r="CX53" s="135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5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5"/>
      <c r="FS53" s="129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6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6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6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6"/>
      <c r="IB53" s="116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6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6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6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5"/>
      <c r="I54" s="129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6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6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6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5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5"/>
      <c r="BE54" s="129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6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6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6"/>
      <c r="CQ54" s="52" t="str">
        <f t="shared" si="175"/>
        <v/>
      </c>
      <c r="CX54" s="135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5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5"/>
      <c r="FS54" s="129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6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6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6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6"/>
      <c r="IB54" s="116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6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6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6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5"/>
      <c r="I55" s="129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6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6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6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5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5"/>
      <c r="BE55" s="129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6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6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6"/>
      <c r="CQ55" s="52" t="str">
        <f t="shared" si="175"/>
        <v/>
      </c>
      <c r="CX55" s="135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5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5"/>
      <c r="FS55" s="129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6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6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6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6"/>
      <c r="IB55" s="116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6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6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6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5"/>
      <c r="I56" s="129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6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6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6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5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5"/>
      <c r="BE56" s="129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6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6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6"/>
      <c r="CQ56" s="52" t="str">
        <f t="shared" si="175"/>
        <v/>
      </c>
      <c r="CX56" s="135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5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5"/>
      <c r="FS56" s="129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6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6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6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6"/>
      <c r="IB56" s="116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6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6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6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5"/>
      <c r="I57" s="129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6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6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6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5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5"/>
      <c r="BE57" s="129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6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6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6"/>
      <c r="CQ57" s="52" t="str">
        <f t="shared" si="175"/>
        <v/>
      </c>
      <c r="CX57" s="135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5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5"/>
      <c r="FS57" s="129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6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6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6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6"/>
      <c r="IB57" s="116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6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6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6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5"/>
      <c r="I58" s="129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6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6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6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5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5"/>
      <c r="BE58" s="129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6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6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6"/>
      <c r="CQ58" s="52" t="str">
        <f t="shared" si="175"/>
        <v/>
      </c>
      <c r="CX58" s="135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5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5"/>
      <c r="FS58" s="129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6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6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6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6"/>
      <c r="IB58" s="116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6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6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6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5"/>
      <c r="I59" s="129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6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6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6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5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5"/>
      <c r="BE59" s="129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6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6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6"/>
      <c r="CQ59" s="52" t="str">
        <f t="shared" si="175"/>
        <v/>
      </c>
      <c r="CX59" s="135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5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5"/>
      <c r="FS59" s="129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6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6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6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6"/>
      <c r="IB59" s="116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6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6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6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5"/>
      <c r="I60" s="129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6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6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6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5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5"/>
      <c r="BE60" s="129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6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6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6"/>
      <c r="CQ60" s="52" t="str">
        <f t="shared" si="175"/>
        <v/>
      </c>
      <c r="CX60" s="135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5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5"/>
      <c r="FS60" s="129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6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6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6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6"/>
      <c r="IB60" s="116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6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6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6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5"/>
      <c r="I61" s="129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6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6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6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5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5"/>
      <c r="BE61" s="129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6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6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6"/>
      <c r="CQ61" s="52" t="str">
        <f t="shared" si="175"/>
        <v/>
      </c>
      <c r="CX61" s="135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5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5"/>
      <c r="FS61" s="129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6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6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6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6"/>
      <c r="IB61" s="116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6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6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6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5"/>
      <c r="I62" s="129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6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6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6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5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5"/>
      <c r="BE62" s="129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6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6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6"/>
      <c r="CQ62" s="52" t="str">
        <f t="shared" si="175"/>
        <v/>
      </c>
      <c r="CX62" s="135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5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5"/>
      <c r="FS62" s="129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6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6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6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6"/>
      <c r="IB62" s="116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6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6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6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5"/>
      <c r="I63" s="129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6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6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6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5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5"/>
      <c r="BE63" s="129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6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6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6"/>
      <c r="CQ63" s="52" t="str">
        <f t="shared" si="175"/>
        <v/>
      </c>
      <c r="CX63" s="135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5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5"/>
      <c r="FS63" s="129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6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6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6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6"/>
      <c r="IB63" s="116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6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6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6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5"/>
      <c r="I64" s="129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6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6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6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5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5"/>
      <c r="BE64" s="129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6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6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6"/>
      <c r="CQ64" s="52" t="str">
        <f t="shared" si="175"/>
        <v/>
      </c>
      <c r="CX64" s="135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5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5"/>
      <c r="FS64" s="129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6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6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6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6"/>
      <c r="IB64" s="116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6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6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6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5"/>
      <c r="I65" s="129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6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6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6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5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5"/>
      <c r="BE65" s="129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6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6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6"/>
      <c r="CQ65" s="52" t="str">
        <f t="shared" si="175"/>
        <v/>
      </c>
      <c r="CX65" s="135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5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5"/>
      <c r="FS65" s="129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6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6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6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6"/>
      <c r="IB65" s="116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6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6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6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5"/>
      <c r="I66" s="129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6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6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6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5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5"/>
      <c r="BE66" s="129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6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6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6"/>
      <c r="CQ66" s="52" t="str">
        <f t="shared" si="175"/>
        <v/>
      </c>
      <c r="CX66" s="135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5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5"/>
      <c r="FS66" s="129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6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6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6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6"/>
      <c r="IB66" s="116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6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6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6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5"/>
      <c r="I67" s="129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6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6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6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5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5"/>
      <c r="BE67" s="129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6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6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6"/>
      <c r="CQ67" s="52" t="str">
        <f t="shared" si="175"/>
        <v/>
      </c>
      <c r="CX67" s="135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5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5"/>
      <c r="FS67" s="129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6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6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6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6"/>
      <c r="IB67" s="116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6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6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6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5"/>
      <c r="I68" s="129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6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6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6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5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5"/>
      <c r="BE68" s="129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6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6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6"/>
      <c r="CQ68" s="52" t="str">
        <f t="shared" si="175"/>
        <v/>
      </c>
      <c r="CX68" s="135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5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5"/>
      <c r="FS68" s="129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6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6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6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6"/>
      <c r="IB68" s="116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6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6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6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5"/>
      <c r="I69" s="129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6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6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6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5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5"/>
      <c r="BE69" s="129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6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6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6"/>
      <c r="CQ69" s="52" t="str">
        <f t="shared" si="175"/>
        <v/>
      </c>
      <c r="CX69" s="135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5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5"/>
      <c r="FS69" s="129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6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6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6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6"/>
      <c r="IB69" s="116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6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6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6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5"/>
      <c r="I70" s="129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6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6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6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5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5"/>
      <c r="BE70" s="129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6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6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6"/>
      <c r="CQ70" s="52" t="str">
        <f t="shared" si="175"/>
        <v/>
      </c>
      <c r="CX70" s="135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5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5"/>
      <c r="FS70" s="129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6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6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6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6"/>
      <c r="IB70" s="116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6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6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6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5"/>
      <c r="I71" s="129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6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6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6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5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5"/>
      <c r="BE71" s="129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6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6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6"/>
      <c r="CQ71" s="52" t="str">
        <f t="shared" si="175"/>
        <v/>
      </c>
      <c r="CX71" s="135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5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5"/>
      <c r="FS71" s="129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6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6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6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6"/>
      <c r="IB71" s="116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6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6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6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5"/>
      <c r="I72" s="129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6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6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6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5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5"/>
      <c r="BE72" s="129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6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6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6"/>
      <c r="CQ72" s="52" t="str">
        <f t="shared" si="175"/>
        <v/>
      </c>
      <c r="CX72" s="135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5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5"/>
      <c r="FS72" s="129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6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6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6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6"/>
      <c r="IB72" s="116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6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6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6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5"/>
      <c r="I73" s="129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6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6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6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5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5"/>
      <c r="BE73" s="129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6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6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6"/>
      <c r="CQ73" s="52" t="str">
        <f t="shared" si="175"/>
        <v/>
      </c>
      <c r="CX73" s="135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5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5"/>
      <c r="FS73" s="129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6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6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6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6"/>
      <c r="IB73" s="116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6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6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6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5"/>
      <c r="I74" s="129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6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6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6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5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5"/>
      <c r="BE74" s="129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6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6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6"/>
      <c r="CQ74" s="52" t="str">
        <f t="shared" si="175"/>
        <v/>
      </c>
      <c r="CX74" s="135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5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5"/>
      <c r="FS74" s="129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6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6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6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6"/>
      <c r="IB74" s="116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6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6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6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5"/>
      <c r="I75" s="129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6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6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6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5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5"/>
      <c r="BE75" s="129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6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6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6"/>
      <c r="CQ75" s="52" t="str">
        <f t="shared" si="175"/>
        <v/>
      </c>
      <c r="CX75" s="135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5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5"/>
      <c r="FS75" s="129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6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6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6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6"/>
      <c r="IB75" s="116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6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6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6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5"/>
      <c r="I76" s="129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6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6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6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5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5"/>
      <c r="BE76" s="129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6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6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6"/>
      <c r="CQ76" s="52" t="str">
        <f t="shared" si="175"/>
        <v/>
      </c>
      <c r="CX76" s="135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5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5"/>
      <c r="FS76" s="129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6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6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6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6"/>
      <c r="IB76" s="116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6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6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6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5"/>
      <c r="I77" s="129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6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6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6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5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5"/>
      <c r="BE77" s="129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6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6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6"/>
      <c r="CQ77" s="52" t="str">
        <f t="shared" si="175"/>
        <v/>
      </c>
      <c r="CX77" s="135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5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5"/>
      <c r="FS77" s="129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6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6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6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6"/>
      <c r="IB77" s="116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6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6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6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5"/>
      <c r="I78" s="129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6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6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6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5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5"/>
      <c r="BE78" s="129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6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6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6"/>
      <c r="CQ78" s="52" t="str">
        <f t="shared" si="175"/>
        <v/>
      </c>
      <c r="CX78" s="135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5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5"/>
      <c r="FS78" s="129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6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6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6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6"/>
      <c r="IB78" s="116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6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6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6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5"/>
      <c r="I79" s="129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6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6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6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5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5"/>
      <c r="BE79" s="129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6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6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6"/>
      <c r="CQ79" s="52" t="str">
        <f t="shared" si="175"/>
        <v/>
      </c>
      <c r="CX79" s="135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5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5"/>
      <c r="FS79" s="129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6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6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6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6"/>
      <c r="IB79" s="116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6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6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6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5"/>
      <c r="I80" s="129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6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6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6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5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5"/>
      <c r="BE80" s="129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6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6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6"/>
      <c r="CQ80" s="52" t="str">
        <f t="shared" si="175"/>
        <v/>
      </c>
      <c r="CX80" s="135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5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5"/>
      <c r="FS80" s="129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6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6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6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6"/>
      <c r="IB80" s="116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6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6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6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5"/>
      <c r="I81" s="129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6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6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6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5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5"/>
      <c r="BE81" s="129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6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6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6"/>
      <c r="CQ81" s="52" t="str">
        <f t="shared" si="175"/>
        <v/>
      </c>
      <c r="CX81" s="135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5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5"/>
      <c r="FS81" s="129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6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6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6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6"/>
      <c r="IB81" s="116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6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6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6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5"/>
      <c r="I82" s="129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6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6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6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5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5"/>
      <c r="BE82" s="129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6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6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6"/>
      <c r="CQ82" s="52" t="str">
        <f t="shared" si="175"/>
        <v/>
      </c>
      <c r="CX82" s="135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5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5"/>
      <c r="FS82" s="129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6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6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6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6"/>
      <c r="IB82" s="116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6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6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6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5"/>
      <c r="I83" s="129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6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6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6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5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5"/>
      <c r="BE83" s="129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6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6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6"/>
      <c r="CQ83" s="52" t="str">
        <f t="shared" si="175"/>
        <v/>
      </c>
      <c r="CX83" s="135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5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5"/>
      <c r="FS83" s="129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6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6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6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6"/>
      <c r="IB83" s="116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6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6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6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5"/>
      <c r="I84" s="129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6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6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6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5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5"/>
      <c r="BE84" s="129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6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6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6"/>
      <c r="CQ84" s="52" t="str">
        <f t="shared" si="175"/>
        <v/>
      </c>
      <c r="CX84" s="135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5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5"/>
      <c r="FS84" s="129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6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6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6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6"/>
      <c r="IB84" s="116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6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6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6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5"/>
      <c r="I85" s="129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6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6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6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5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5"/>
      <c r="BE85" s="129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6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6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6"/>
      <c r="CQ85" s="52" t="str">
        <f t="shared" si="175"/>
        <v/>
      </c>
      <c r="CX85" s="135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5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5"/>
      <c r="FS85" s="129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6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6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6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6"/>
      <c r="IB85" s="116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6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6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6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5"/>
      <c r="I86" s="129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6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6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6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5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5"/>
      <c r="BE86" s="129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6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6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6"/>
      <c r="CQ86" s="52" t="str">
        <f t="shared" si="175"/>
        <v/>
      </c>
      <c r="CX86" s="135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5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5"/>
      <c r="FS86" s="129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6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6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6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6"/>
      <c r="IB86" s="116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6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6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6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5"/>
      <c r="I87" s="129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6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6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6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5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5"/>
      <c r="BE87" s="129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6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6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6"/>
      <c r="CQ87" s="52" t="str">
        <f t="shared" si="175"/>
        <v/>
      </c>
      <c r="CX87" s="135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5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5"/>
      <c r="FS87" s="129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6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6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6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6"/>
      <c r="IB87" s="116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6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6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6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5"/>
      <c r="I88" s="129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6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6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6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5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5"/>
      <c r="BE88" s="129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6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6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6"/>
      <c r="CQ88" s="52" t="str">
        <f t="shared" si="175"/>
        <v/>
      </c>
      <c r="CX88" s="135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5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5"/>
      <c r="FS88" s="129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6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6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6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6"/>
      <c r="IB88" s="116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6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6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6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5"/>
      <c r="I89" s="129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6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6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6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5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5"/>
      <c r="BE89" s="129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6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6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6"/>
      <c r="CQ89" s="52" t="str">
        <f t="shared" si="175"/>
        <v/>
      </c>
      <c r="CX89" s="135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5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5"/>
      <c r="FS89" s="129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6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6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6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6"/>
      <c r="IB89" s="116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6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6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6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5"/>
      <c r="I90" s="129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6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6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6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5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5"/>
      <c r="BE90" s="129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6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6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6"/>
      <c r="CQ90" s="52" t="str">
        <f t="shared" si="175"/>
        <v/>
      </c>
      <c r="CX90" s="135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5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5"/>
      <c r="FS90" s="129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6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6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6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6"/>
      <c r="IB90" s="116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6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6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6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5"/>
      <c r="I91" s="129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6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6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6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5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5"/>
      <c r="BE91" s="129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6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6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6"/>
      <c r="CQ91" s="52" t="str">
        <f t="shared" si="175"/>
        <v/>
      </c>
      <c r="CX91" s="135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5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5"/>
      <c r="FS91" s="129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6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6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6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6"/>
      <c r="IB91" s="116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6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6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6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5"/>
      <c r="I92" s="129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6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6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6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5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5"/>
      <c r="BE92" s="129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6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6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6"/>
      <c r="CQ92" s="52" t="str">
        <f t="shared" si="175"/>
        <v/>
      </c>
      <c r="CX92" s="135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5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5"/>
      <c r="FS92" s="129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6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6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6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6"/>
      <c r="IB92" s="116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6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6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6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5"/>
      <c r="I93" s="129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6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6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6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5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5"/>
      <c r="BE93" s="129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6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6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6"/>
      <c r="CQ93" s="52" t="str">
        <f t="shared" si="175"/>
        <v/>
      </c>
      <c r="CX93" s="135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5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5"/>
      <c r="FS93" s="129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6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6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6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6"/>
      <c r="IB93" s="116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6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6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6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5"/>
      <c r="I94" s="129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6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6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6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5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5"/>
      <c r="BE94" s="129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6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6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6"/>
      <c r="CQ94" s="52" t="str">
        <f t="shared" si="175"/>
        <v/>
      </c>
      <c r="CX94" s="135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5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5"/>
      <c r="FS94" s="129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6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6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6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6"/>
      <c r="IB94" s="116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6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6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6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5"/>
      <c r="I95" s="129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6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6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6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5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5"/>
      <c r="BE95" s="129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6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6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6"/>
      <c r="CQ95" s="52" t="str">
        <f t="shared" si="175"/>
        <v/>
      </c>
      <c r="CX95" s="135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5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5"/>
      <c r="FS95" s="129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6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6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6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6"/>
      <c r="IB95" s="116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6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6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6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5"/>
      <c r="I96" s="129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6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6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6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5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5"/>
      <c r="BE96" s="129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6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6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6"/>
      <c r="CQ96" s="52" t="str">
        <f t="shared" si="175"/>
        <v/>
      </c>
      <c r="CX96" s="135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5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5"/>
      <c r="FS96" s="129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6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6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6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6"/>
      <c r="IB96" s="116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6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6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6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5"/>
      <c r="I97" s="129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6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6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6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5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5"/>
      <c r="BE97" s="129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6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6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6"/>
      <c r="CQ97" s="52" t="str">
        <f t="shared" si="175"/>
        <v/>
      </c>
      <c r="CX97" s="135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5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5"/>
      <c r="FS97" s="129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6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6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6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6"/>
      <c r="IB97" s="116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6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6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6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5"/>
      <c r="I98" s="129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6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6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6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5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5"/>
      <c r="BE98" s="129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6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6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6"/>
      <c r="CQ98" s="52" t="str">
        <f t="shared" ref="CQ98:CQ161" si="383">IF(AND(Sufficient_data="Yes",Include_study?="Yes"),c_/(c_+d_),"")</f>
        <v/>
      </c>
      <c r="CX98" s="135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5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5"/>
      <c r="FS98" s="129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6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6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6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6"/>
      <c r="IB98" s="116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6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6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6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5"/>
      <c r="I99" s="129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6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6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6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5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5"/>
      <c r="BE99" s="129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6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6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6"/>
      <c r="CQ99" s="52" t="str">
        <f t="shared" si="383"/>
        <v/>
      </c>
      <c r="CX99" s="135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5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5"/>
      <c r="FS99" s="129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6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6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6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6"/>
      <c r="IB99" s="116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6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6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6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5"/>
      <c r="I100" s="129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6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6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6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5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5"/>
      <c r="BE100" s="129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6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6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6"/>
      <c r="CQ100" s="52" t="str">
        <f t="shared" si="383"/>
        <v/>
      </c>
      <c r="CX100" s="135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5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5"/>
      <c r="FS100" s="129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6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6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6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6"/>
      <c r="IB100" s="116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6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6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6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5"/>
      <c r="I101" s="129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6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6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6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5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5"/>
      <c r="BE101" s="129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6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6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6"/>
      <c r="CQ101" s="52" t="str">
        <f t="shared" si="383"/>
        <v/>
      </c>
      <c r="CX101" s="135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5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5"/>
      <c r="FS101" s="129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6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6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6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6"/>
      <c r="IB101" s="116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6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6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6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5"/>
      <c r="I102" s="129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6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6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6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5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5"/>
      <c r="BE102" s="129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6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6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6"/>
      <c r="CQ102" s="52" t="str">
        <f t="shared" si="383"/>
        <v/>
      </c>
      <c r="CX102" s="135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5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5"/>
      <c r="FS102" s="129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6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6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6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6"/>
      <c r="IB102" s="116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6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6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6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5"/>
      <c r="I103" s="129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6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6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6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5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5"/>
      <c r="BE103" s="129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6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6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6"/>
      <c r="CQ103" s="52" t="str">
        <f t="shared" si="383"/>
        <v/>
      </c>
      <c r="CX103" s="135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5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5"/>
      <c r="FS103" s="129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6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6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6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6"/>
      <c r="IB103" s="116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6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6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6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5"/>
      <c r="I104" s="129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6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6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6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5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5"/>
      <c r="BE104" s="129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6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6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6"/>
      <c r="CQ104" s="52" t="str">
        <f t="shared" si="383"/>
        <v/>
      </c>
      <c r="CX104" s="135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5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5"/>
      <c r="FS104" s="129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6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6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6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6"/>
      <c r="IB104" s="116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6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6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6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5"/>
      <c r="I105" s="129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6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6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6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5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5"/>
      <c r="BE105" s="129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6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6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6"/>
      <c r="CQ105" s="52" t="str">
        <f t="shared" si="383"/>
        <v/>
      </c>
      <c r="CX105" s="135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5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5"/>
      <c r="FS105" s="129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6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6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6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6"/>
      <c r="IB105" s="116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6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6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6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5"/>
      <c r="I106" s="129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6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6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6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5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5"/>
      <c r="BE106" s="129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6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6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6"/>
      <c r="CQ106" s="52" t="str">
        <f t="shared" si="383"/>
        <v/>
      </c>
      <c r="CX106" s="135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5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5"/>
      <c r="FS106" s="129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6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6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6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6"/>
      <c r="IB106" s="116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6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6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6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5"/>
      <c r="I107" s="129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6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6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6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5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5"/>
      <c r="BE107" s="129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6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6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6"/>
      <c r="CQ107" s="52" t="str">
        <f t="shared" si="383"/>
        <v/>
      </c>
      <c r="CX107" s="135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5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5"/>
      <c r="FS107" s="129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6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6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6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6"/>
      <c r="IB107" s="116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6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6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6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5"/>
      <c r="I108" s="129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6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6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6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5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5"/>
      <c r="BE108" s="129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6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6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6"/>
      <c r="CQ108" s="52" t="str">
        <f t="shared" si="383"/>
        <v/>
      </c>
      <c r="CX108" s="135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5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5"/>
      <c r="FS108" s="129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6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6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6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6"/>
      <c r="IB108" s="116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6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6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6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5"/>
      <c r="I109" s="129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6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6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6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5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5"/>
      <c r="BE109" s="129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6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6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6"/>
      <c r="CQ109" s="52" t="str">
        <f t="shared" si="383"/>
        <v/>
      </c>
      <c r="CX109" s="135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5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5"/>
      <c r="FS109" s="129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6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6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6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6"/>
      <c r="IB109" s="116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6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6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6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5"/>
      <c r="I110" s="129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6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6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6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5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5"/>
      <c r="BE110" s="129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6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6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6"/>
      <c r="CQ110" s="52" t="str">
        <f t="shared" si="383"/>
        <v/>
      </c>
      <c r="CX110" s="135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5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5"/>
      <c r="FS110" s="129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6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6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6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6"/>
      <c r="IB110" s="116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6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6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6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5"/>
      <c r="I111" s="129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6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6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6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5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5"/>
      <c r="BE111" s="129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6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6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6"/>
      <c r="CQ111" s="52" t="str">
        <f t="shared" si="383"/>
        <v/>
      </c>
      <c r="CX111" s="135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5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5"/>
      <c r="FS111" s="129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6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6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6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6"/>
      <c r="IB111" s="116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6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6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6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5"/>
      <c r="I112" s="129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6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6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6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5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5"/>
      <c r="BE112" s="129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6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6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6"/>
      <c r="CQ112" s="52" t="str">
        <f t="shared" si="383"/>
        <v/>
      </c>
      <c r="CX112" s="135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5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5"/>
      <c r="FS112" s="129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6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6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6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6"/>
      <c r="IB112" s="116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6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6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6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5"/>
      <c r="I113" s="129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6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6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6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5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5"/>
      <c r="BE113" s="129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6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6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6"/>
      <c r="CQ113" s="52" t="str">
        <f t="shared" si="383"/>
        <v/>
      </c>
      <c r="CX113" s="135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5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5"/>
      <c r="FS113" s="129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6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6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6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6"/>
      <c r="IB113" s="116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6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6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6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5"/>
      <c r="I114" s="129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6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6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6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5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5"/>
      <c r="BE114" s="129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6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6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6"/>
      <c r="CQ114" s="52" t="str">
        <f t="shared" si="383"/>
        <v/>
      </c>
      <c r="CX114" s="135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5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5"/>
      <c r="FS114" s="129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6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6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6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6"/>
      <c r="IB114" s="116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6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6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6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5"/>
      <c r="I115" s="129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6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6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6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5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5"/>
      <c r="BE115" s="129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6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6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6"/>
      <c r="CQ115" s="52" t="str">
        <f t="shared" si="383"/>
        <v/>
      </c>
      <c r="CX115" s="135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5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5"/>
      <c r="FS115" s="129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6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6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6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6"/>
      <c r="IB115" s="116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6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6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6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5"/>
      <c r="I116" s="129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6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6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6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5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5"/>
      <c r="BE116" s="129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6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6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6"/>
      <c r="CQ116" s="52" t="str">
        <f t="shared" si="383"/>
        <v/>
      </c>
      <c r="CX116" s="135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5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5"/>
      <c r="FS116" s="129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6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6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6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6"/>
      <c r="IB116" s="116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6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6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6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5"/>
      <c r="I117" s="129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6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6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6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5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5"/>
      <c r="BE117" s="129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6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6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6"/>
      <c r="CQ117" s="52" t="str">
        <f t="shared" si="383"/>
        <v/>
      </c>
      <c r="CX117" s="135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5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5"/>
      <c r="FS117" s="129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6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6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6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6"/>
      <c r="IB117" s="116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6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6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6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5"/>
      <c r="I118" s="129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6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6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6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5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5"/>
      <c r="BE118" s="129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6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6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6"/>
      <c r="CQ118" s="52" t="str">
        <f t="shared" si="383"/>
        <v/>
      </c>
      <c r="CX118" s="135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5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5"/>
      <c r="FS118" s="129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6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6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6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6"/>
      <c r="IB118" s="116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6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6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6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5"/>
      <c r="I119" s="129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6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6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6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5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5"/>
      <c r="BE119" s="129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6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6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6"/>
      <c r="CQ119" s="52" t="str">
        <f t="shared" si="383"/>
        <v/>
      </c>
      <c r="CX119" s="135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5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5"/>
      <c r="FS119" s="129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6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6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6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6"/>
      <c r="IB119" s="116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6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6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6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5"/>
      <c r="I120" s="129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6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6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6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5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5"/>
      <c r="BE120" s="129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6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6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6"/>
      <c r="CQ120" s="52" t="str">
        <f t="shared" si="383"/>
        <v/>
      </c>
      <c r="CX120" s="135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5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5"/>
      <c r="FS120" s="129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6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6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6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6"/>
      <c r="IB120" s="116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6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6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6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5"/>
      <c r="I121" s="129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6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6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6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5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5"/>
      <c r="BE121" s="129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6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6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6"/>
      <c r="CQ121" s="52" t="str">
        <f t="shared" si="383"/>
        <v/>
      </c>
      <c r="CX121" s="135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5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5"/>
      <c r="FS121" s="129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6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6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6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6"/>
      <c r="IB121" s="116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6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6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6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5"/>
      <c r="I122" s="129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6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6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6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5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5"/>
      <c r="BE122" s="129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6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6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6"/>
      <c r="CQ122" s="52" t="str">
        <f t="shared" si="383"/>
        <v/>
      </c>
      <c r="CX122" s="135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5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5"/>
      <c r="FS122" s="129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6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6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6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6"/>
      <c r="IB122" s="116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6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6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6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5"/>
      <c r="I123" s="129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6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6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6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5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5"/>
      <c r="BE123" s="129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6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6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6"/>
      <c r="CQ123" s="52" t="str">
        <f t="shared" si="383"/>
        <v/>
      </c>
      <c r="CX123" s="135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5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5"/>
      <c r="FS123" s="129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6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6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6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6"/>
      <c r="IB123" s="116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6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6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6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5"/>
      <c r="I124" s="129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6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6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6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5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5"/>
      <c r="BE124" s="129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6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6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6"/>
      <c r="CQ124" s="52" t="str">
        <f t="shared" si="383"/>
        <v/>
      </c>
      <c r="CX124" s="135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5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5"/>
      <c r="FS124" s="129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6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6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6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6"/>
      <c r="IB124" s="116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6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6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6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5"/>
      <c r="I125" s="129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6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6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6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5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5"/>
      <c r="BE125" s="129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6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6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6"/>
      <c r="CQ125" s="52" t="str">
        <f t="shared" si="383"/>
        <v/>
      </c>
      <c r="CX125" s="135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5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5"/>
      <c r="FS125" s="129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6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6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6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6"/>
      <c r="IB125" s="116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6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6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6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5"/>
      <c r="I126" s="129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6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6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6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5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5"/>
      <c r="BE126" s="129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6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6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6"/>
      <c r="CQ126" s="52" t="str">
        <f t="shared" si="383"/>
        <v/>
      </c>
      <c r="CX126" s="135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5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5"/>
      <c r="FS126" s="129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6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6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6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6"/>
      <c r="IB126" s="116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6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6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6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5"/>
      <c r="I127" s="129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6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6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6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5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5"/>
      <c r="BE127" s="129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6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6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6"/>
      <c r="CQ127" s="52" t="str">
        <f t="shared" si="383"/>
        <v/>
      </c>
      <c r="CX127" s="135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5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5"/>
      <c r="FS127" s="129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6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6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6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6"/>
      <c r="IB127" s="116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6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6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6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5"/>
      <c r="I128" s="129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6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6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6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5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5"/>
      <c r="BE128" s="129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6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6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6"/>
      <c r="CQ128" s="52" t="str">
        <f t="shared" si="383"/>
        <v/>
      </c>
      <c r="CX128" s="135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5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5"/>
      <c r="FS128" s="129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6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6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6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6"/>
      <c r="IB128" s="116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6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6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6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5"/>
      <c r="I129" s="129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6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6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6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5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5"/>
      <c r="BE129" s="129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6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6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6"/>
      <c r="CQ129" s="52" t="str">
        <f t="shared" si="383"/>
        <v/>
      </c>
      <c r="CX129" s="135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5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5"/>
      <c r="FS129" s="129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6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6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6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6"/>
      <c r="IB129" s="116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6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6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6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5"/>
      <c r="I130" s="129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6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6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6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5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5"/>
      <c r="BE130" s="129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6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6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6"/>
      <c r="CQ130" s="52" t="str">
        <f t="shared" si="383"/>
        <v/>
      </c>
      <c r="CX130" s="135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5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5"/>
      <c r="FS130" s="129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6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6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6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6"/>
      <c r="IB130" s="116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6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6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6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5"/>
      <c r="I131" s="129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6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6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6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5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5"/>
      <c r="BE131" s="129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6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6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6"/>
      <c r="CQ131" s="52" t="str">
        <f t="shared" si="383"/>
        <v/>
      </c>
      <c r="CX131" s="135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5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5"/>
      <c r="FS131" s="129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6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6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6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6"/>
      <c r="IB131" s="116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6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6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6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5"/>
      <c r="I132" s="129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6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6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6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5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5"/>
      <c r="BE132" s="129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6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6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6"/>
      <c r="CQ132" s="52" t="str">
        <f t="shared" si="383"/>
        <v/>
      </c>
      <c r="CX132" s="135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5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5"/>
      <c r="FS132" s="129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6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6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6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6"/>
      <c r="IB132" s="116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6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6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6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5"/>
      <c r="I133" s="129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6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6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6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5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5"/>
      <c r="BE133" s="129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6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6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6"/>
      <c r="CQ133" s="52" t="str">
        <f t="shared" si="383"/>
        <v/>
      </c>
      <c r="CX133" s="135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5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5"/>
      <c r="FS133" s="129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6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6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6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6"/>
      <c r="IB133" s="116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6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6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6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5"/>
      <c r="I134" s="129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6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6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6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5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5"/>
      <c r="BE134" s="129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6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6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6"/>
      <c r="CQ134" s="52" t="str">
        <f t="shared" si="383"/>
        <v/>
      </c>
      <c r="CX134" s="135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5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5"/>
      <c r="FS134" s="129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6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6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6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6"/>
      <c r="IB134" s="116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6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6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6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5"/>
      <c r="I135" s="129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6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6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6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5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5"/>
      <c r="BE135" s="129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6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6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6"/>
      <c r="CQ135" s="52" t="str">
        <f t="shared" si="383"/>
        <v/>
      </c>
      <c r="CX135" s="135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5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5"/>
      <c r="FS135" s="129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6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6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6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6"/>
      <c r="IB135" s="116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6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6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6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5"/>
      <c r="I136" s="129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6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6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6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5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5"/>
      <c r="BE136" s="129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6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6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6"/>
      <c r="CQ136" s="52" t="str">
        <f t="shared" si="383"/>
        <v/>
      </c>
      <c r="CX136" s="135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5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5"/>
      <c r="FS136" s="129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6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6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6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6"/>
      <c r="IB136" s="116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6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6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6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5"/>
      <c r="I137" s="129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6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6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6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5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5"/>
      <c r="BE137" s="129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6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6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6"/>
      <c r="CQ137" s="52" t="str">
        <f t="shared" si="383"/>
        <v/>
      </c>
      <c r="CX137" s="135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5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5"/>
      <c r="FS137" s="129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6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6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6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6"/>
      <c r="IB137" s="116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6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6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6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5"/>
      <c r="I138" s="129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6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6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6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5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5"/>
      <c r="BE138" s="129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6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6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6"/>
      <c r="CQ138" s="52" t="str">
        <f t="shared" si="383"/>
        <v/>
      </c>
      <c r="CX138" s="135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5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5"/>
      <c r="FS138" s="129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6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6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6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6"/>
      <c r="IB138" s="116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6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6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6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5"/>
      <c r="I139" s="129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6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6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6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5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5"/>
      <c r="BE139" s="129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6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6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6"/>
      <c r="CQ139" s="52" t="str">
        <f t="shared" si="383"/>
        <v/>
      </c>
      <c r="CX139" s="135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5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5"/>
      <c r="FS139" s="129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6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6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6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6"/>
      <c r="IB139" s="116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6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6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6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5"/>
      <c r="I140" s="129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6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6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6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5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5"/>
      <c r="BE140" s="129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6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6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6"/>
      <c r="CQ140" s="52" t="str">
        <f t="shared" si="383"/>
        <v/>
      </c>
      <c r="CX140" s="135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5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5"/>
      <c r="FS140" s="129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6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6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6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6"/>
      <c r="IB140" s="116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6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6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6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5"/>
      <c r="I141" s="129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6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6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6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5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5"/>
      <c r="BE141" s="129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6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6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6"/>
      <c r="CQ141" s="52" t="str">
        <f t="shared" si="383"/>
        <v/>
      </c>
      <c r="CX141" s="135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5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5"/>
      <c r="FS141" s="129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6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6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6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6"/>
      <c r="IB141" s="116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6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6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6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5"/>
      <c r="I142" s="129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6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6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6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5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5"/>
      <c r="BE142" s="129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6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6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6"/>
      <c r="CQ142" s="52" t="str">
        <f t="shared" si="383"/>
        <v/>
      </c>
      <c r="CX142" s="135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5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5"/>
      <c r="FS142" s="129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6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6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6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6"/>
      <c r="IB142" s="116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6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6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6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5"/>
      <c r="I143" s="129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6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6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6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5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5"/>
      <c r="BE143" s="129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6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6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6"/>
      <c r="CQ143" s="52" t="str">
        <f t="shared" si="383"/>
        <v/>
      </c>
      <c r="CX143" s="135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5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5"/>
      <c r="FS143" s="129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6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6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6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6"/>
      <c r="IB143" s="116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6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6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6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5"/>
      <c r="I144" s="129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6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6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6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5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5"/>
      <c r="BE144" s="129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6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6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6"/>
      <c r="CQ144" s="52" t="str">
        <f t="shared" si="383"/>
        <v/>
      </c>
      <c r="CX144" s="135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5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5"/>
      <c r="FS144" s="129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6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6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6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6"/>
      <c r="IB144" s="116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6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6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6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5"/>
      <c r="I145" s="129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6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6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6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5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5"/>
      <c r="BE145" s="129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6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6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6"/>
      <c r="CQ145" s="52" t="str">
        <f t="shared" si="383"/>
        <v/>
      </c>
      <c r="CX145" s="135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5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5"/>
      <c r="FS145" s="129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6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6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6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6"/>
      <c r="IB145" s="116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6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6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6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5"/>
      <c r="I146" s="129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6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6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6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5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5"/>
      <c r="BE146" s="129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6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6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6"/>
      <c r="CQ146" s="52" t="str">
        <f t="shared" si="383"/>
        <v/>
      </c>
      <c r="CX146" s="135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5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5"/>
      <c r="FS146" s="129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6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6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6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6"/>
      <c r="IB146" s="116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6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6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6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5"/>
      <c r="I147" s="129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6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6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6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5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5"/>
      <c r="BE147" s="129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6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6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6"/>
      <c r="CQ147" s="52" t="str">
        <f t="shared" si="383"/>
        <v/>
      </c>
      <c r="CX147" s="135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5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5"/>
      <c r="FS147" s="129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6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6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6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6"/>
      <c r="IB147" s="116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6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6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6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5"/>
      <c r="I148" s="129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6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6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6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5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5"/>
      <c r="BE148" s="129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6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6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6"/>
      <c r="CQ148" s="52" t="str">
        <f t="shared" si="383"/>
        <v/>
      </c>
      <c r="CX148" s="135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5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5"/>
      <c r="FS148" s="129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6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6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6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6"/>
      <c r="IB148" s="116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6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6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6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5"/>
      <c r="I149" s="129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6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6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6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5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5"/>
      <c r="BE149" s="129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6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6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6"/>
      <c r="CQ149" s="52" t="str">
        <f t="shared" si="383"/>
        <v/>
      </c>
      <c r="CX149" s="135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5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5"/>
      <c r="FS149" s="129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6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6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6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6"/>
      <c r="IB149" s="116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6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6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6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5"/>
      <c r="I150" s="129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6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6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6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5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5"/>
      <c r="BE150" s="129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6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6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6"/>
      <c r="CQ150" s="52" t="str">
        <f t="shared" si="383"/>
        <v/>
      </c>
      <c r="CX150" s="135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5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5"/>
      <c r="FS150" s="129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6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6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6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6"/>
      <c r="IB150" s="116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6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6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6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5"/>
      <c r="I151" s="129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6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6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6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5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5"/>
      <c r="BE151" s="129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6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6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6"/>
      <c r="CQ151" s="52" t="str">
        <f t="shared" si="383"/>
        <v/>
      </c>
      <c r="CX151" s="135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5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5"/>
      <c r="FS151" s="129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6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6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6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6"/>
      <c r="IB151" s="116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6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6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6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5"/>
      <c r="I152" s="129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6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6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6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5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5"/>
      <c r="BE152" s="129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6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6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6"/>
      <c r="CQ152" s="52" t="str">
        <f t="shared" si="383"/>
        <v/>
      </c>
      <c r="CX152" s="135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5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5"/>
      <c r="FS152" s="129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6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6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6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6"/>
      <c r="IB152" s="116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6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6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6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5"/>
      <c r="I153" s="129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6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6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6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5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5"/>
      <c r="BE153" s="129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6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6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6"/>
      <c r="CQ153" s="52" t="str">
        <f t="shared" si="383"/>
        <v/>
      </c>
      <c r="CX153" s="135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5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5"/>
      <c r="FS153" s="129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6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6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6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6"/>
      <c r="IB153" s="116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6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6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6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5"/>
      <c r="I154" s="129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6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6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6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5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5"/>
      <c r="BE154" s="129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6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6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6"/>
      <c r="CQ154" s="52" t="str">
        <f t="shared" si="383"/>
        <v/>
      </c>
      <c r="CX154" s="135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5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5"/>
      <c r="FS154" s="129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6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6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6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6"/>
      <c r="IB154" s="116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6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6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6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5"/>
      <c r="I155" s="129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6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6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6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5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5"/>
      <c r="BE155" s="129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6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6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6"/>
      <c r="CQ155" s="52" t="str">
        <f t="shared" si="383"/>
        <v/>
      </c>
      <c r="CX155" s="135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5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5"/>
      <c r="FS155" s="129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6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6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6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6"/>
      <c r="IB155" s="116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6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6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6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5"/>
      <c r="I156" s="129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6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6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6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5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5"/>
      <c r="BE156" s="129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6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6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6"/>
      <c r="CQ156" s="52" t="str">
        <f t="shared" si="383"/>
        <v/>
      </c>
      <c r="CX156" s="135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5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5"/>
      <c r="FS156" s="129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6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6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6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6"/>
      <c r="IB156" s="116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6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6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6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5"/>
      <c r="I157" s="129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6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6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6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5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5"/>
      <c r="BE157" s="129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6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6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6"/>
      <c r="CQ157" s="52" t="str">
        <f t="shared" si="383"/>
        <v/>
      </c>
      <c r="CX157" s="135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5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5"/>
      <c r="FS157" s="129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6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6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6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6"/>
      <c r="IB157" s="116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6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6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6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5"/>
      <c r="I158" s="129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6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6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6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5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5"/>
      <c r="BE158" s="129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6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6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6"/>
      <c r="CQ158" s="52" t="str">
        <f t="shared" si="383"/>
        <v/>
      </c>
      <c r="CX158" s="135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5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5"/>
      <c r="FS158" s="129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6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6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6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6"/>
      <c r="IB158" s="116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6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6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6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5"/>
      <c r="I159" s="129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6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6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6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5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5"/>
      <c r="BE159" s="129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6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6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6"/>
      <c r="CQ159" s="52" t="str">
        <f t="shared" si="383"/>
        <v/>
      </c>
      <c r="CX159" s="135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5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5"/>
      <c r="FS159" s="129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6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6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6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6"/>
      <c r="IB159" s="116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6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6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6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5"/>
      <c r="I160" s="129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6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6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6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5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5"/>
      <c r="BE160" s="129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6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6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6"/>
      <c r="CQ160" s="52" t="str">
        <f t="shared" si="383"/>
        <v/>
      </c>
      <c r="CX160" s="135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5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5"/>
      <c r="FS160" s="129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6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6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6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6"/>
      <c r="IB160" s="116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6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6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6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5"/>
      <c r="I161" s="129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6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6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6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5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5"/>
      <c r="BE161" s="129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6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6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6"/>
      <c r="CQ161" s="52" t="str">
        <f t="shared" si="383"/>
        <v/>
      </c>
      <c r="CX161" s="135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5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5"/>
      <c r="FS161" s="129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6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6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6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6"/>
      <c r="IB161" s="116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6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6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6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5"/>
      <c r="I162" s="129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6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6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6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5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5"/>
      <c r="BE162" s="129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6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6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6"/>
      <c r="CQ162" s="52" t="str">
        <f t="shared" ref="CQ162:CQ201" si="582">IF(AND(Sufficient_data="Yes",Include_study?="Yes"),c_/(c_+d_),"")</f>
        <v/>
      </c>
      <c r="CX162" s="135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5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5"/>
      <c r="FS162" s="129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6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6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6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6"/>
      <c r="IB162" s="116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6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6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6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5"/>
      <c r="I163" s="129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6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6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6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5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5"/>
      <c r="BE163" s="129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6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6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6"/>
      <c r="CQ163" s="52" t="str">
        <f t="shared" si="582"/>
        <v/>
      </c>
      <c r="CX163" s="135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5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5"/>
      <c r="FS163" s="129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6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6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6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6"/>
      <c r="IB163" s="116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6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6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6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5"/>
      <c r="I164" s="129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6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6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6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5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5"/>
      <c r="BE164" s="129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6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6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6"/>
      <c r="CQ164" s="52" t="str">
        <f t="shared" si="582"/>
        <v/>
      </c>
      <c r="CX164" s="135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5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5"/>
      <c r="FS164" s="129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6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6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6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6"/>
      <c r="IB164" s="116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6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6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6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5"/>
      <c r="I165" s="129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6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6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6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5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5"/>
      <c r="BE165" s="129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6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6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6"/>
      <c r="CQ165" s="52" t="str">
        <f t="shared" si="582"/>
        <v/>
      </c>
      <c r="CX165" s="135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5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5"/>
      <c r="FS165" s="129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6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6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6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6"/>
      <c r="IB165" s="116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6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6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6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5"/>
      <c r="I166" s="129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6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6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6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5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5"/>
      <c r="BE166" s="129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6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6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6"/>
      <c r="CQ166" s="52" t="str">
        <f t="shared" si="582"/>
        <v/>
      </c>
      <c r="CX166" s="135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5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5"/>
      <c r="FS166" s="129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6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6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6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6"/>
      <c r="IB166" s="116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6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6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6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5"/>
      <c r="I167" s="129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6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6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6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5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5"/>
      <c r="BE167" s="129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6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6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6"/>
      <c r="CQ167" s="52" t="str">
        <f t="shared" si="582"/>
        <v/>
      </c>
      <c r="CX167" s="135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5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5"/>
      <c r="FS167" s="129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6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6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6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6"/>
      <c r="IB167" s="116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6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6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6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5"/>
      <c r="I168" s="129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6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6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6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5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5"/>
      <c r="BE168" s="129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6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6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6"/>
      <c r="CQ168" s="52" t="str">
        <f t="shared" si="582"/>
        <v/>
      </c>
      <c r="CX168" s="135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5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5"/>
      <c r="FS168" s="129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6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6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6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6"/>
      <c r="IB168" s="116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6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6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6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5"/>
      <c r="I169" s="129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6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6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6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5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5"/>
      <c r="BE169" s="129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6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6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6"/>
      <c r="CQ169" s="52" t="str">
        <f t="shared" si="582"/>
        <v/>
      </c>
      <c r="CX169" s="135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5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5"/>
      <c r="FS169" s="129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6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6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6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6"/>
      <c r="IB169" s="116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6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6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6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5"/>
      <c r="I170" s="129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6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6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6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5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5"/>
      <c r="BE170" s="129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6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6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6"/>
      <c r="CQ170" s="52" t="str">
        <f t="shared" si="582"/>
        <v/>
      </c>
      <c r="CX170" s="135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5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5"/>
      <c r="FS170" s="129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6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6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6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6"/>
      <c r="IB170" s="116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6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6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6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5"/>
      <c r="I171" s="129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6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6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6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5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5"/>
      <c r="BE171" s="129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6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6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6"/>
      <c r="CQ171" s="52" t="str">
        <f t="shared" si="582"/>
        <v/>
      </c>
      <c r="CX171" s="135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5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5"/>
      <c r="FS171" s="129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6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6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6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6"/>
      <c r="IB171" s="116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6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6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6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5"/>
      <c r="I172" s="129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6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6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6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5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5"/>
      <c r="BE172" s="129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6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6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6"/>
      <c r="CQ172" s="52" t="str">
        <f t="shared" si="582"/>
        <v/>
      </c>
      <c r="CX172" s="135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5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5"/>
      <c r="FS172" s="129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6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6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6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6"/>
      <c r="IB172" s="116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6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6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6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5"/>
      <c r="I173" s="129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6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6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6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5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5"/>
      <c r="BE173" s="129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6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6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6"/>
      <c r="CQ173" s="52" t="str">
        <f t="shared" si="582"/>
        <v/>
      </c>
      <c r="CX173" s="135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5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5"/>
      <c r="FS173" s="129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6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6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6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6"/>
      <c r="IB173" s="116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6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6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6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5"/>
      <c r="I174" s="129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6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6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6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5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5"/>
      <c r="BE174" s="129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6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6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6"/>
      <c r="CQ174" s="52" t="str">
        <f t="shared" si="582"/>
        <v/>
      </c>
      <c r="CX174" s="135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5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5"/>
      <c r="FS174" s="129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6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6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6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6"/>
      <c r="IB174" s="116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6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6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6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5"/>
      <c r="I175" s="129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6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6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6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5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5"/>
      <c r="BE175" s="129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6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6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6"/>
      <c r="CQ175" s="52" t="str">
        <f t="shared" si="582"/>
        <v/>
      </c>
      <c r="CX175" s="135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5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5"/>
      <c r="FS175" s="129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6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6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6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6"/>
      <c r="IB175" s="116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6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6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6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5"/>
      <c r="I176" s="129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6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6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6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5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5"/>
      <c r="BE176" s="129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6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6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6"/>
      <c r="CQ176" s="52" t="str">
        <f t="shared" si="582"/>
        <v/>
      </c>
      <c r="CX176" s="135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5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5"/>
      <c r="FS176" s="129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6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6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6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6"/>
      <c r="IB176" s="116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6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6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6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5"/>
      <c r="I177" s="129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6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6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6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5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5"/>
      <c r="BE177" s="129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6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6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6"/>
      <c r="CQ177" s="52" t="str">
        <f t="shared" si="582"/>
        <v/>
      </c>
      <c r="CX177" s="135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5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5"/>
      <c r="FS177" s="129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6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6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6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6"/>
      <c r="IB177" s="116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6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6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6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5"/>
      <c r="I178" s="129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6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6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6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5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5"/>
      <c r="BE178" s="129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6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6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6"/>
      <c r="CQ178" s="52" t="str">
        <f t="shared" si="582"/>
        <v/>
      </c>
      <c r="CX178" s="135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5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5"/>
      <c r="FS178" s="129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6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6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6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6"/>
      <c r="IB178" s="116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6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6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6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5"/>
      <c r="I179" s="129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6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6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6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5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5"/>
      <c r="BE179" s="129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6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6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6"/>
      <c r="CQ179" s="52" t="str">
        <f t="shared" si="582"/>
        <v/>
      </c>
      <c r="CX179" s="135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5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5"/>
      <c r="FS179" s="129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6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6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6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6"/>
      <c r="IB179" s="116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6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6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6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5"/>
      <c r="I180" s="129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6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6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6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5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5"/>
      <c r="BE180" s="129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6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6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6"/>
      <c r="CQ180" s="52" t="str">
        <f t="shared" si="582"/>
        <v/>
      </c>
      <c r="CX180" s="135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5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5"/>
      <c r="FS180" s="129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6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6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6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6"/>
      <c r="IB180" s="116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6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6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6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5"/>
      <c r="I181" s="129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6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6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6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5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5"/>
      <c r="BE181" s="129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6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6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6"/>
      <c r="CQ181" s="52" t="str">
        <f t="shared" si="582"/>
        <v/>
      </c>
      <c r="CX181" s="135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5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5"/>
      <c r="FS181" s="129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6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6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6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6"/>
      <c r="IB181" s="116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6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6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6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5"/>
      <c r="I182" s="129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6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6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6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5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5"/>
      <c r="BE182" s="129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6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6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6"/>
      <c r="CQ182" s="52" t="str">
        <f t="shared" si="582"/>
        <v/>
      </c>
      <c r="CX182" s="135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5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5"/>
      <c r="FS182" s="129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6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6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6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6"/>
      <c r="IB182" s="116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6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6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6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5"/>
      <c r="I183" s="129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6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6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6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5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5"/>
      <c r="BE183" s="129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6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6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6"/>
      <c r="CQ183" s="52" t="str">
        <f t="shared" si="582"/>
        <v/>
      </c>
      <c r="CX183" s="135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5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5"/>
      <c r="FS183" s="129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6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6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6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6"/>
      <c r="IB183" s="116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6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6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6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5"/>
      <c r="I184" s="129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6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6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6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5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5"/>
      <c r="BE184" s="129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6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6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6"/>
      <c r="CQ184" s="52" t="str">
        <f t="shared" si="582"/>
        <v/>
      </c>
      <c r="CX184" s="135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5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5"/>
      <c r="FS184" s="129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6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6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6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6"/>
      <c r="IB184" s="116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6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6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6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5"/>
      <c r="I185" s="129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6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6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6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5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5"/>
      <c r="BE185" s="129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6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6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6"/>
      <c r="CQ185" s="52" t="str">
        <f t="shared" si="582"/>
        <v/>
      </c>
      <c r="CX185" s="135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5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5"/>
      <c r="FS185" s="129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6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6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6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6"/>
      <c r="IB185" s="116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6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6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6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5"/>
      <c r="I186" s="129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6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6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6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5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5"/>
      <c r="BE186" s="129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6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6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6"/>
      <c r="CQ186" s="52" t="str">
        <f t="shared" si="582"/>
        <v/>
      </c>
      <c r="CX186" s="135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5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5"/>
      <c r="FS186" s="129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6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6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6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6"/>
      <c r="IB186" s="116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6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6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6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5"/>
      <c r="I187" s="129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6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6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6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5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5"/>
      <c r="BE187" s="129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6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6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6"/>
      <c r="CQ187" s="52" t="str">
        <f t="shared" si="582"/>
        <v/>
      </c>
      <c r="CX187" s="135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5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5"/>
      <c r="FS187" s="129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6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6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6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6"/>
      <c r="IB187" s="116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6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6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6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5"/>
      <c r="I188" s="129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6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6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6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5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5"/>
      <c r="BE188" s="129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6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6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6"/>
      <c r="CQ188" s="52" t="str">
        <f t="shared" si="582"/>
        <v/>
      </c>
      <c r="CX188" s="135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5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5"/>
      <c r="FS188" s="129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6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6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6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6"/>
      <c r="IB188" s="116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6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6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6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5"/>
      <c r="I189" s="129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6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6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6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5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5"/>
      <c r="BE189" s="129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6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6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6"/>
      <c r="CQ189" s="52" t="str">
        <f t="shared" si="582"/>
        <v/>
      </c>
      <c r="CX189" s="135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5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5"/>
      <c r="FS189" s="129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6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6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6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6"/>
      <c r="IB189" s="116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6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6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6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5"/>
      <c r="I190" s="129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6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6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6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5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5"/>
      <c r="BE190" s="129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6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6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6"/>
      <c r="CQ190" s="52" t="str">
        <f t="shared" si="582"/>
        <v/>
      </c>
      <c r="CX190" s="135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5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5"/>
      <c r="FS190" s="129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6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6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6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6"/>
      <c r="IB190" s="116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6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6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6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5"/>
      <c r="I191" s="129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6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6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6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5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5"/>
      <c r="BE191" s="129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6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6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6"/>
      <c r="CQ191" s="52" t="str">
        <f t="shared" si="582"/>
        <v/>
      </c>
      <c r="CX191" s="135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5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5"/>
      <c r="FS191" s="129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6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6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6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6"/>
      <c r="IB191" s="116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6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6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6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5"/>
      <c r="I192" s="129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6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6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6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5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5"/>
      <c r="BE192" s="129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6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6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6"/>
      <c r="CQ192" s="52" t="str">
        <f t="shared" si="582"/>
        <v/>
      </c>
      <c r="CX192" s="135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5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5"/>
      <c r="FS192" s="129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6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6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6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6"/>
      <c r="IB192" s="116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6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6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6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5"/>
      <c r="I193" s="129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6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6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6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5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5"/>
      <c r="BE193" s="129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6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6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6"/>
      <c r="CQ193" s="52" t="str">
        <f t="shared" si="582"/>
        <v/>
      </c>
      <c r="CX193" s="135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5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5"/>
      <c r="FS193" s="129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6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6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6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6"/>
      <c r="IB193" s="116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6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6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6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5"/>
      <c r="I194" s="129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6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6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6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5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5"/>
      <c r="BE194" s="129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6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6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6"/>
      <c r="CQ194" s="52" t="str">
        <f t="shared" si="582"/>
        <v/>
      </c>
      <c r="CX194" s="135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5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5"/>
      <c r="FS194" s="129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6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6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6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6"/>
      <c r="IB194" s="116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6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6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6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5"/>
      <c r="I195" s="129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6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6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6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5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5"/>
      <c r="BE195" s="129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6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6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6"/>
      <c r="CQ195" s="52" t="str">
        <f t="shared" si="582"/>
        <v/>
      </c>
      <c r="CX195" s="135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5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5"/>
      <c r="FS195" s="129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6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6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6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6"/>
      <c r="IB195" s="116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6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6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6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5"/>
      <c r="I196" s="129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6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6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6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5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5"/>
      <c r="BE196" s="129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6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6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6"/>
      <c r="CQ196" s="52" t="str">
        <f t="shared" si="582"/>
        <v/>
      </c>
      <c r="CX196" s="135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5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5"/>
      <c r="FS196" s="129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6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6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6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6"/>
      <c r="IB196" s="116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6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6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6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5"/>
      <c r="I197" s="129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6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6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6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5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5"/>
      <c r="BE197" s="129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6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6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6"/>
      <c r="CQ197" s="52" t="str">
        <f t="shared" si="582"/>
        <v/>
      </c>
      <c r="CX197" s="135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5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5"/>
      <c r="FS197" s="129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6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6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6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6"/>
      <c r="IB197" s="116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6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6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6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5"/>
      <c r="I198" s="129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6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6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6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5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5"/>
      <c r="BE198" s="129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6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6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6"/>
      <c r="CQ198" s="52" t="str">
        <f t="shared" si="582"/>
        <v/>
      </c>
      <c r="CX198" s="135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5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5"/>
      <c r="FS198" s="129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6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6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6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6"/>
      <c r="IB198" s="116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6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6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6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5"/>
      <c r="I199" s="129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6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6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6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5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5"/>
      <c r="BE199" s="129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6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6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6"/>
      <c r="CQ199" s="52" t="str">
        <f t="shared" si="582"/>
        <v/>
      </c>
      <c r="CX199" s="135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5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5"/>
      <c r="FS199" s="129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6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6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6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6"/>
      <c r="IB199" s="116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6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6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6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5"/>
      <c r="I200" s="129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6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6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6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5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5"/>
      <c r="BE200" s="129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6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6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6"/>
      <c r="CQ200" s="52" t="str">
        <f t="shared" si="582"/>
        <v/>
      </c>
      <c r="CX200" s="135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5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5"/>
      <c r="FS200" s="129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6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6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6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6"/>
      <c r="IB200" s="116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6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6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6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6"/>
      <c r="I201" s="130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7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7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7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6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6"/>
      <c r="BE201" s="130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7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7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7"/>
      <c r="CQ201" s="53" t="str">
        <f t="shared" si="582"/>
        <v/>
      </c>
      <c r="CX201" s="136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6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6"/>
      <c r="FS201" s="130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7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7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7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7"/>
      <c r="IB201" s="117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7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7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7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20"/>
  <sheetViews>
    <sheetView showGridLines="0" workbookViewId="0">
      <selection activeCell="L20" sqref="L20"/>
    </sheetView>
  </sheetViews>
  <sheetFormatPr defaultRowHeight="12" x14ac:dyDescent="0.3"/>
  <cols>
    <col min="5" max="5" width="24.109375" customWidth="1"/>
    <col min="6" max="9" width="9.44140625" customWidth="1"/>
    <col min="12" max="12" width="22.77734375" customWidth="1"/>
    <col min="13" max="14" width="9.44140625" customWidth="1"/>
  </cols>
  <sheetData>
    <row r="3" spans="5:14" x14ac:dyDescent="0.3">
      <c r="E3" s="95"/>
      <c r="F3" s="113"/>
      <c r="G3" s="113"/>
      <c r="H3" s="113"/>
      <c r="I3" s="113"/>
      <c r="J3" s="95"/>
      <c r="K3" s="95"/>
      <c r="L3" s="95"/>
      <c r="M3" s="95"/>
      <c r="N3" s="95"/>
    </row>
    <row r="4" spans="5:14" ht="24" x14ac:dyDescent="0.3">
      <c r="E4" s="96" t="s">
        <v>1</v>
      </c>
      <c r="F4" s="105" t="s">
        <v>330</v>
      </c>
      <c r="G4" s="105" t="s">
        <v>331</v>
      </c>
      <c r="H4" s="105" t="s">
        <v>332</v>
      </c>
      <c r="I4" s="106" t="s">
        <v>25</v>
      </c>
      <c r="J4" s="95" t="s">
        <v>333</v>
      </c>
      <c r="K4" s="95"/>
      <c r="L4" s="96" t="s">
        <v>1</v>
      </c>
      <c r="M4" s="105" t="s">
        <v>88</v>
      </c>
      <c r="N4" s="105" t="s">
        <v>334</v>
      </c>
    </row>
    <row r="5" spans="5:14" x14ac:dyDescent="0.3">
      <c r="E5" s="102" t="s">
        <v>335</v>
      </c>
      <c r="F5" s="103">
        <v>1</v>
      </c>
      <c r="G5" s="103">
        <v>0.71272873704745698</v>
      </c>
      <c r="H5" s="103">
        <v>1.4030583418631191</v>
      </c>
      <c r="I5" s="104">
        <v>9.912849552139405E-2</v>
      </c>
      <c r="J5" s="95" t="s">
        <v>333</v>
      </c>
      <c r="K5" s="95"/>
      <c r="L5" s="102" t="s">
        <v>335</v>
      </c>
      <c r="M5" s="103" t="s">
        <v>337</v>
      </c>
      <c r="N5" s="103">
        <v>0.1725989664928114</v>
      </c>
    </row>
    <row r="6" spans="5:14" x14ac:dyDescent="0.3">
      <c r="E6" s="102" t="s">
        <v>335</v>
      </c>
      <c r="F6" s="103">
        <v>1.1962433417437623</v>
      </c>
      <c r="G6" s="103">
        <v>0.82452469675644158</v>
      </c>
      <c r="H6" s="103">
        <v>1.735543081117666</v>
      </c>
      <c r="I6" s="104">
        <v>8.209421590502991E-2</v>
      </c>
      <c r="J6" s="95" t="s">
        <v>333</v>
      </c>
      <c r="K6" s="95"/>
      <c r="L6" s="102" t="s">
        <v>335</v>
      </c>
      <c r="M6" s="103">
        <v>0.17918609782910852</v>
      </c>
      <c r="N6" s="103">
        <v>0.18966236806757217</v>
      </c>
    </row>
    <row r="7" spans="5:14" x14ac:dyDescent="0.3">
      <c r="E7" s="102" t="s">
        <v>335</v>
      </c>
      <c r="F7" s="103">
        <v>0.98559670781893005</v>
      </c>
      <c r="G7" s="103">
        <v>0.70557954812667012</v>
      </c>
      <c r="H7" s="103">
        <v>1.3767418188956937</v>
      </c>
      <c r="I7" s="104">
        <v>0.10177168184651623</v>
      </c>
      <c r="J7" s="95" t="s">
        <v>333</v>
      </c>
      <c r="K7" s="95"/>
      <c r="L7" s="102" t="s">
        <v>335</v>
      </c>
      <c r="M7" s="103">
        <v>-1.450802648957852E-2</v>
      </c>
      <c r="N7" s="103">
        <v>0.17034287486687794</v>
      </c>
    </row>
    <row r="8" spans="5:14" x14ac:dyDescent="0.3">
      <c r="E8" s="102" t="s">
        <v>335</v>
      </c>
      <c r="F8" s="103">
        <v>1.1962433417437623</v>
      </c>
      <c r="G8" s="103">
        <v>0.82452469675644158</v>
      </c>
      <c r="H8" s="103">
        <v>1.735543081117666</v>
      </c>
      <c r="I8" s="104">
        <v>8.209421590502991E-2</v>
      </c>
      <c r="J8" s="95" t="s">
        <v>333</v>
      </c>
      <c r="K8" s="95"/>
      <c r="L8" s="102" t="s">
        <v>335</v>
      </c>
      <c r="M8" s="103">
        <v>0.17918609782910852</v>
      </c>
      <c r="N8" s="103">
        <v>0.18966236806757217</v>
      </c>
    </row>
    <row r="9" spans="5:14" x14ac:dyDescent="0.3">
      <c r="E9" s="102" t="s">
        <v>335</v>
      </c>
      <c r="F9" s="103">
        <v>1.0956910545951641</v>
      </c>
      <c r="G9" s="103">
        <v>0.7778525528689334</v>
      </c>
      <c r="H9" s="103">
        <v>1.5434016160157171</v>
      </c>
      <c r="I9" s="104">
        <v>9.6856368469371373E-2</v>
      </c>
      <c r="J9" s="95" t="s">
        <v>333</v>
      </c>
      <c r="K9" s="95"/>
      <c r="L9" s="102" t="s">
        <v>335</v>
      </c>
      <c r="M9" s="103">
        <v>9.1385264295458929E-2</v>
      </c>
      <c r="N9" s="103">
        <v>0.17461170680810242</v>
      </c>
    </row>
    <row r="10" spans="5:14" x14ac:dyDescent="0.3">
      <c r="E10" s="102" t="s">
        <v>335</v>
      </c>
      <c r="F10" s="103">
        <v>1.1517615176151761</v>
      </c>
      <c r="G10" s="103">
        <v>0.79620500214202961</v>
      </c>
      <c r="H10" s="103">
        <v>1.6660967839819956</v>
      </c>
      <c r="I10" s="104">
        <v>8.3408334124141906E-2</v>
      </c>
      <c r="J10" s="95" t="s">
        <v>333</v>
      </c>
      <c r="K10" s="95"/>
      <c r="L10" s="102" t="s">
        <v>335</v>
      </c>
      <c r="M10" s="103">
        <v>0.14129252488388958</v>
      </c>
      <c r="N10" s="103">
        <v>0.18816234837185439</v>
      </c>
    </row>
    <row r="11" spans="5:14" x14ac:dyDescent="0.3">
      <c r="E11" s="112" t="s">
        <v>335</v>
      </c>
      <c r="F11" s="103">
        <v>0.95696941755033038</v>
      </c>
      <c r="G11" s="103">
        <v>0.6838594265442719</v>
      </c>
      <c r="H11" s="103">
        <v>1.3391501682653664</v>
      </c>
      <c r="I11" s="114">
        <v>0.10068948223665335</v>
      </c>
      <c r="L11" s="112" t="s">
        <v>335</v>
      </c>
      <c r="M11" s="103">
        <v>-4.3983844622532131E-2</v>
      </c>
      <c r="N11" s="103">
        <v>0.17125584165736601</v>
      </c>
    </row>
    <row r="12" spans="5:14" x14ac:dyDescent="0.3">
      <c r="E12" s="112" t="s">
        <v>335</v>
      </c>
      <c r="F12" s="103">
        <v>1.0891038696537678</v>
      </c>
      <c r="G12" s="103">
        <v>0.75779514681658167</v>
      </c>
      <c r="H12" s="103">
        <v>1.5652610654445227</v>
      </c>
      <c r="I12" s="114">
        <v>8.6421743252310515E-2</v>
      </c>
      <c r="L12" s="112" t="s">
        <v>335</v>
      </c>
      <c r="M12" s="103">
        <v>8.5355220167994433E-2</v>
      </c>
      <c r="N12" s="103">
        <v>0.18485275906311724</v>
      </c>
    </row>
    <row r="13" spans="5:14" x14ac:dyDescent="0.3">
      <c r="E13" s="112" t="s">
        <v>336</v>
      </c>
      <c r="F13" s="103">
        <v>1.0300341505061592</v>
      </c>
      <c r="G13" s="103">
        <v>0.73506656400413839</v>
      </c>
      <c r="H13" s="103">
        <v>1.4433663604959888</v>
      </c>
      <c r="I13" s="114">
        <v>9.9781692470964245E-2</v>
      </c>
      <c r="L13" s="112" t="s">
        <v>336</v>
      </c>
      <c r="M13" s="103">
        <v>2.9591957523124511E-2</v>
      </c>
      <c r="N13" s="103">
        <v>0.17203309999867294</v>
      </c>
    </row>
    <row r="14" spans="5:14" x14ac:dyDescent="0.3">
      <c r="E14" s="112" t="s">
        <v>336</v>
      </c>
      <c r="F14" s="103">
        <v>1.0609812722488778</v>
      </c>
      <c r="G14" s="103">
        <v>0.75708480853453286</v>
      </c>
      <c r="H14" s="103">
        <v>1.486862828804868</v>
      </c>
      <c r="I14" s="114">
        <v>9.972964340050422E-2</v>
      </c>
      <c r="L14" s="112" t="s">
        <v>336</v>
      </c>
      <c r="M14" s="103">
        <v>5.9194208438249261E-2</v>
      </c>
      <c r="N14" s="103">
        <v>0.1720779863265719</v>
      </c>
    </row>
    <row r="15" spans="5:14" x14ac:dyDescent="0.3">
      <c r="E15" s="112" t="s">
        <v>336</v>
      </c>
      <c r="F15" s="103">
        <v>1.0672431448401412</v>
      </c>
      <c r="G15" s="103">
        <v>0.70925320003371028</v>
      </c>
      <c r="H15" s="103">
        <v>1.6059256837390912</v>
      </c>
      <c r="I15" s="114">
        <v>6.802412686808422E-2</v>
      </c>
      <c r="L15" s="112" t="s">
        <v>336</v>
      </c>
      <c r="M15" s="103">
        <v>6.507882343562521E-2</v>
      </c>
      <c r="N15" s="103">
        <v>0.20835597553773649</v>
      </c>
    </row>
    <row r="16" spans="5:14" x14ac:dyDescent="0.3">
      <c r="E16" s="112"/>
      <c r="F16" s="103"/>
      <c r="G16" s="103"/>
      <c r="H16" s="103"/>
      <c r="I16" s="114"/>
      <c r="L16" s="112"/>
      <c r="M16" s="103"/>
      <c r="N16" s="103"/>
    </row>
    <row r="17" spans="5:14" x14ac:dyDescent="0.3">
      <c r="E17" s="112"/>
      <c r="F17" s="103"/>
      <c r="G17" s="103"/>
      <c r="H17" s="103"/>
      <c r="I17" s="114"/>
      <c r="L17" s="112"/>
      <c r="M17" s="103"/>
      <c r="N17" s="103"/>
    </row>
    <row r="18" spans="5:14" x14ac:dyDescent="0.3">
      <c r="E18" s="112"/>
      <c r="F18" s="103"/>
      <c r="G18" s="103"/>
      <c r="H18" s="103"/>
      <c r="I18" s="114"/>
      <c r="L18" s="112"/>
      <c r="M18" s="103"/>
      <c r="N18" s="103"/>
    </row>
    <row r="19" spans="5:14" x14ac:dyDescent="0.3">
      <c r="E19" s="112"/>
      <c r="F19" s="103"/>
      <c r="G19" s="103"/>
      <c r="H19" s="103"/>
      <c r="I19" s="114"/>
      <c r="L19" s="112"/>
      <c r="M19" s="103"/>
      <c r="N19" s="103"/>
    </row>
    <row r="20" spans="5:14" x14ac:dyDescent="0.3">
      <c r="E20" s="112"/>
      <c r="F20" s="103"/>
      <c r="G20" s="103"/>
      <c r="H20" s="103"/>
      <c r="I20" s="114"/>
      <c r="L20" s="112"/>
      <c r="M20" s="103"/>
      <c r="N20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2023-07-05T13:27:28Z</dcterms:modified>
  <cp:category/>
  <cp:contentStatus/>
</cp:coreProperties>
</file>