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datasettype/"/>
    </mc:Choice>
  </mc:AlternateContent>
  <xr:revisionPtr revIDLastSave="5" documentId="11_6CABCB2BDEBFE03D52DA5958CE7BB2F3E6893FCC" xr6:coauthVersionLast="47" xr6:coauthVersionMax="47" xr10:uidLastSave="{A70BFF9A-5A85-43B2-A238-95EBBF9E5866}"/>
  <bookViews>
    <workbookView xWindow="-110" yWindow="-110" windowWidth="19420" windowHeight="10420" tabRatio="590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5" i="1" l="1"/>
  <c r="B4" i="8"/>
  <c r="J2" i="1"/>
  <c r="A2" i="1" s="1"/>
  <c r="J3" i="1"/>
  <c r="J4" i="1"/>
  <c r="J6" i="1"/>
  <c r="J12" i="1"/>
  <c r="J13" i="1"/>
  <c r="FB13" i="2" s="1"/>
  <c r="J14" i="1"/>
  <c r="J15" i="1"/>
  <c r="J16" i="1"/>
  <c r="A16" i="1" s="1"/>
  <c r="J17" i="1"/>
  <c r="A17" i="1" s="1"/>
  <c r="J18" i="1"/>
  <c r="J19" i="1"/>
  <c r="J20" i="1"/>
  <c r="J21" i="1"/>
  <c r="J22" i="1"/>
  <c r="J23" i="1"/>
  <c r="J24" i="1"/>
  <c r="J25" i="1"/>
  <c r="J26" i="1"/>
  <c r="J27" i="1"/>
  <c r="J28" i="1"/>
  <c r="J29" i="1"/>
  <c r="DA29" i="2" s="1"/>
  <c r="J30" i="1"/>
  <c r="J31" i="1"/>
  <c r="CH31" i="2" s="1"/>
  <c r="J32" i="1"/>
  <c r="J33" i="1"/>
  <c r="J34" i="1"/>
  <c r="J35" i="1"/>
  <c r="J36" i="1"/>
  <c r="J37" i="1"/>
  <c r="JA37" i="2" s="1"/>
  <c r="J38" i="1"/>
  <c r="J39" i="1"/>
  <c r="AC39" i="2" s="1"/>
  <c r="J40" i="1"/>
  <c r="J41" i="1"/>
  <c r="J42" i="1"/>
  <c r="FL42" i="2" s="1"/>
  <c r="J43" i="1"/>
  <c r="FD43" i="2" s="1"/>
  <c r="J44" i="1"/>
  <c r="J45" i="1"/>
  <c r="FB45" i="2" s="1"/>
  <c r="J46" i="1"/>
  <c r="J47" i="1"/>
  <c r="HT47" i="2" s="1"/>
  <c r="J48" i="1"/>
  <c r="J49" i="1"/>
  <c r="J50" i="1"/>
  <c r="J51" i="1"/>
  <c r="J52" i="1"/>
  <c r="J53" i="1"/>
  <c r="HM53" i="2" s="1"/>
  <c r="J54" i="1"/>
  <c r="J55" i="1"/>
  <c r="FB55" i="2" s="1"/>
  <c r="J56" i="1"/>
  <c r="J57" i="1"/>
  <c r="J58" i="1"/>
  <c r="J59" i="1"/>
  <c r="ID59" i="2" s="1"/>
  <c r="J60" i="1"/>
  <c r="J61" i="1"/>
  <c r="J62" i="1"/>
  <c r="J63" i="1"/>
  <c r="J64" i="1"/>
  <c r="J65" i="1"/>
  <c r="J66" i="1"/>
  <c r="J67" i="1"/>
  <c r="IC67" i="2" s="1"/>
  <c r="J68" i="1"/>
  <c r="D65" i="8" s="1"/>
  <c r="J69" i="1"/>
  <c r="HP69" i="2" s="1"/>
  <c r="J70" i="1"/>
  <c r="J71" i="1"/>
  <c r="DM71" i="2" s="1"/>
  <c r="J72" i="1"/>
  <c r="J73" i="1"/>
  <c r="J74" i="1"/>
  <c r="J75" i="1"/>
  <c r="AG75" i="8" s="1"/>
  <c r="J76" i="1"/>
  <c r="CF73" i="2" s="1"/>
  <c r="J77" i="1"/>
  <c r="AC77" i="2" s="1"/>
  <c r="J78" i="1"/>
  <c r="J79" i="1"/>
  <c r="L79" i="2" s="1"/>
  <c r="J80" i="1"/>
  <c r="J81" i="1"/>
  <c r="J82" i="1"/>
  <c r="AG82" i="2" s="1"/>
  <c r="J83" i="1"/>
  <c r="IM83" i="2" s="1"/>
  <c r="J84" i="1"/>
  <c r="J85" i="1"/>
  <c r="AN85" i="2" s="1"/>
  <c r="J86" i="1"/>
  <c r="J87" i="1"/>
  <c r="GE87" i="2" s="1"/>
  <c r="J88" i="1"/>
  <c r="J89" i="1"/>
  <c r="J90" i="1"/>
  <c r="J91" i="1"/>
  <c r="IE91" i="2" s="1"/>
  <c r="J92" i="1"/>
  <c r="DA89" i="2" s="1"/>
  <c r="J93" i="1"/>
  <c r="Q93" i="2" s="1"/>
  <c r="J94" i="1"/>
  <c r="J95" i="1"/>
  <c r="FZ95" i="2" s="1"/>
  <c r="J96" i="1"/>
  <c r="J97" i="1"/>
  <c r="J98" i="1"/>
  <c r="J99" i="1"/>
  <c r="AH99" i="8" s="1"/>
  <c r="J100" i="1"/>
  <c r="JA97" i="2" s="1"/>
  <c r="J101" i="1"/>
  <c r="IN101" i="2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AG114" i="2" s="1"/>
  <c r="J115" i="1"/>
  <c r="J116" i="1"/>
  <c r="J117" i="1"/>
  <c r="J118" i="1"/>
  <c r="J119" i="1"/>
  <c r="IC119" i="2" s="1"/>
  <c r="J120" i="1"/>
  <c r="J121" i="1"/>
  <c r="J122" i="1"/>
  <c r="FM122" i="2" s="1"/>
  <c r="J123" i="1"/>
  <c r="FC123" i="2" s="1"/>
  <c r="J124" i="1"/>
  <c r="AN121" i="2" s="1"/>
  <c r="J125" i="1"/>
  <c r="CF125" i="2" s="1"/>
  <c r="J126" i="1"/>
  <c r="J127" i="1"/>
  <c r="X127" i="2" s="1"/>
  <c r="J128" i="1"/>
  <c r="J129" i="1"/>
  <c r="J130" i="1"/>
  <c r="FL130" i="2" s="1"/>
  <c r="J131" i="1"/>
  <c r="R131" i="2" s="1"/>
  <c r="J132" i="1"/>
  <c r="J133" i="1"/>
  <c r="AG133" i="8" s="1"/>
  <c r="J134" i="1"/>
  <c r="J135" i="1"/>
  <c r="FB135" i="2" s="1"/>
  <c r="J136" i="1"/>
  <c r="J137" i="1"/>
  <c r="J138" i="1"/>
  <c r="T138" i="2" s="1"/>
  <c r="J139" i="1"/>
  <c r="BU139" i="2" s="1"/>
  <c r="J140" i="1"/>
  <c r="AG137" i="8" s="1"/>
  <c r="J141" i="1"/>
  <c r="J142" i="1"/>
  <c r="J143" i="1"/>
  <c r="CZ143" i="2" s="1"/>
  <c r="J144" i="1"/>
  <c r="J145" i="1"/>
  <c r="J146" i="1"/>
  <c r="J147" i="1"/>
  <c r="FB147" i="2" s="1"/>
  <c r="J148" i="1"/>
  <c r="J149" i="1"/>
  <c r="J150" i="1"/>
  <c r="J151" i="1"/>
  <c r="J152" i="1"/>
  <c r="J153" i="1"/>
  <c r="J154" i="1"/>
  <c r="M154" i="2" s="1"/>
  <c r="J155" i="1"/>
  <c r="JA155" i="2" s="1"/>
  <c r="J156" i="1"/>
  <c r="J157" i="1"/>
  <c r="J158" i="1"/>
  <c r="J159" i="1"/>
  <c r="J160" i="1"/>
  <c r="J161" i="1"/>
  <c r="J162" i="1"/>
  <c r="AF162" i="2" s="1"/>
  <c r="J163" i="1"/>
  <c r="GD163" i="2" s="1"/>
  <c r="J164" i="1"/>
  <c r="J165" i="1"/>
  <c r="J166" i="1"/>
  <c r="J167" i="1"/>
  <c r="J168" i="1"/>
  <c r="J169" i="1"/>
  <c r="J170" i="1"/>
  <c r="J171" i="1"/>
  <c r="L171" i="2" s="1"/>
  <c r="J172" i="1"/>
  <c r="J173" i="1"/>
  <c r="HL173" i="2" s="1"/>
  <c r="J174" i="1"/>
  <c r="J175" i="1"/>
  <c r="HU175" i="2" s="1"/>
  <c r="J176" i="1"/>
  <c r="J177" i="1"/>
  <c r="J178" i="1"/>
  <c r="FW178" i="2" s="1"/>
  <c r="J179" i="1"/>
  <c r="JA179" i="2" s="1"/>
  <c r="J180" i="1"/>
  <c r="J181" i="1"/>
  <c r="BG181" i="2" s="1"/>
  <c r="J182" i="1"/>
  <c r="J183" i="1"/>
  <c r="AI183" i="8" s="1"/>
  <c r="J184" i="1"/>
  <c r="J185" i="1"/>
  <c r="J186" i="1"/>
  <c r="J187" i="1"/>
  <c r="IZ187" i="2" s="1"/>
  <c r="J188" i="1"/>
  <c r="J189" i="1"/>
  <c r="V189" i="8" s="1"/>
  <c r="J190" i="1"/>
  <c r="J191" i="1"/>
  <c r="IE191" i="2" s="1"/>
  <c r="J192" i="1"/>
  <c r="J193" i="1"/>
  <c r="J194" i="1"/>
  <c r="J195" i="1"/>
  <c r="AD195" i="2" s="1"/>
  <c r="J196" i="1"/>
  <c r="L193" i="2" s="1"/>
  <c r="J197" i="1"/>
  <c r="J198" i="1"/>
  <c r="J199" i="1"/>
  <c r="D199" i="10" s="1"/>
  <c r="J200" i="1"/>
  <c r="J201" i="1"/>
  <c r="J202" i="1"/>
  <c r="J203" i="1"/>
  <c r="J204" i="1"/>
  <c r="E1" i="8"/>
  <c r="GM71" i="2"/>
  <c r="GV3" i="2"/>
  <c r="HA1" i="2" s="1"/>
  <c r="EP1" i="2"/>
  <c r="GT170" i="2"/>
  <c r="B4" i="9"/>
  <c r="DB1" i="2"/>
  <c r="B21" i="9"/>
  <c r="J32" i="10"/>
  <c r="EG1" i="2"/>
  <c r="EE1" i="2"/>
  <c r="EF1" i="2"/>
  <c r="DG1" i="2"/>
  <c r="DH138" i="2"/>
  <c r="DZ1" i="2"/>
  <c r="B9" i="5"/>
  <c r="BF42" i="2"/>
  <c r="BF1" i="2"/>
  <c r="AQ34" i="2"/>
  <c r="BW58" i="2"/>
  <c r="BW162" i="2"/>
  <c r="K76" i="2"/>
  <c r="BM10" i="2"/>
  <c r="CI162" i="2"/>
  <c r="CJ162" i="2" s="1"/>
  <c r="B4" i="10"/>
  <c r="F76" i="10"/>
  <c r="F1" i="10"/>
  <c r="FF146" i="2"/>
  <c r="E10" i="10"/>
  <c r="FB10" i="2" s="1"/>
  <c r="E11" i="10"/>
  <c r="FB11" i="2" s="1"/>
  <c r="FH50" i="2"/>
  <c r="FJ132" i="2"/>
  <c r="E131" i="10"/>
  <c r="E156" i="10"/>
  <c r="FK114" i="2"/>
  <c r="FK122" i="2"/>
  <c r="FM18" i="2"/>
  <c r="FM82" i="2"/>
  <c r="FM114" i="2"/>
  <c r="FM194" i="2"/>
  <c r="G34" i="10"/>
  <c r="FL50" i="2"/>
  <c r="FL92" i="2"/>
  <c r="FL98" i="2"/>
  <c r="FL122" i="2"/>
  <c r="FL146" i="2"/>
  <c r="K8" i="5"/>
  <c r="J1" i="5"/>
  <c r="CV22" i="2"/>
  <c r="CV21" i="2"/>
  <c r="HB1" i="2"/>
  <c r="HI1" i="2" s="1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M90" i="2"/>
  <c r="N82" i="2"/>
  <c r="T82" i="2"/>
  <c r="S58" i="2"/>
  <c r="AG34" i="2"/>
  <c r="Y34" i="2"/>
  <c r="N34" i="2"/>
  <c r="Y186" i="2"/>
  <c r="N186" i="2"/>
  <c r="AF178" i="2"/>
  <c r="M170" i="2"/>
  <c r="T170" i="2"/>
  <c r="Z162" i="2"/>
  <c r="T122" i="2"/>
  <c r="N114" i="2"/>
  <c r="M114" i="2"/>
  <c r="Y66" i="2"/>
  <c r="N66" i="2"/>
  <c r="FW50" i="2"/>
  <c r="AF50" i="2"/>
  <c r="Y50" i="2"/>
  <c r="M50" i="2"/>
  <c r="FW42" i="2"/>
  <c r="AG42" i="2"/>
  <c r="T42" i="2"/>
  <c r="M42" i="2"/>
  <c r="FW143" i="2"/>
  <c r="FW154" i="2"/>
  <c r="Y154" i="2"/>
  <c r="T154" i="2"/>
  <c r="AG138" i="2"/>
  <c r="Z138" i="2"/>
  <c r="N130" i="2"/>
  <c r="Z98" i="2"/>
  <c r="Y74" i="2"/>
  <c r="S74" i="2"/>
  <c r="AG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0" i="1"/>
  <c r="A182" i="1"/>
  <c r="A174" i="1"/>
  <c r="A166" i="1"/>
  <c r="A158" i="1"/>
  <c r="A150" i="1"/>
  <c r="A146" i="1"/>
  <c r="A142" i="1"/>
  <c r="A138" i="1"/>
  <c r="A134" i="1"/>
  <c r="A130" i="1"/>
  <c r="A126" i="1"/>
  <c r="A122" i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198" i="1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A136" i="1"/>
  <c r="A128" i="1"/>
  <c r="A120" i="1"/>
  <c r="A112" i="1"/>
  <c r="A104" i="1"/>
  <c r="A96" i="1"/>
  <c r="A88" i="1"/>
  <c r="A80" i="1"/>
  <c r="A72" i="1"/>
  <c r="A64" i="1"/>
  <c r="A56" i="1"/>
  <c r="A48" i="1"/>
  <c r="A40" i="1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AV39" i="8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U75" i="2"/>
  <c r="BS4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S179" i="2"/>
  <c r="AM91" i="2"/>
  <c r="AT67" i="2"/>
  <c r="AM11" i="2"/>
  <c r="D11" i="8" s="1"/>
  <c r="AM42" i="2"/>
  <c r="FZ199" i="2"/>
  <c r="GD195" i="2"/>
  <c r="CF195" i="2"/>
  <c r="HR195" i="2"/>
  <c r="BG191" i="2"/>
  <c r="GD187" i="2"/>
  <c r="HQ187" i="2"/>
  <c r="HS187" i="2"/>
  <c r="AE183" i="2"/>
  <c r="AN179" i="2"/>
  <c r="HL179" i="2"/>
  <c r="Q171" i="2"/>
  <c r="FB171" i="2"/>
  <c r="FZ163" i="2"/>
  <c r="CF163" i="2"/>
  <c r="HP163" i="2"/>
  <c r="AG155" i="8"/>
  <c r="DA155" i="2"/>
  <c r="D155" i="8"/>
  <c r="AD147" i="2"/>
  <c r="FC147" i="2"/>
  <c r="CE143" i="2"/>
  <c r="CE139" i="2"/>
  <c r="HT139" i="2"/>
  <c r="HL139" i="2"/>
  <c r="HP135" i="2"/>
  <c r="CE131" i="2"/>
  <c r="FB131" i="2"/>
  <c r="HM131" i="2"/>
  <c r="V127" i="8"/>
  <c r="AE123" i="2"/>
  <c r="DN123" i="2"/>
  <c r="BG123" i="2"/>
  <c r="CF119" i="2"/>
  <c r="D103" i="8"/>
  <c r="V99" i="8"/>
  <c r="AD99" i="2"/>
  <c r="R99" i="2"/>
  <c r="CZ99" i="2"/>
  <c r="HU99" i="2"/>
  <c r="IN99" i="2"/>
  <c r="CZ95" i="2"/>
  <c r="V91" i="8"/>
  <c r="IC91" i="2"/>
  <c r="R91" i="2"/>
  <c r="DM91" i="2"/>
  <c r="HU91" i="2"/>
  <c r="IZ91" i="2"/>
  <c r="FB87" i="2"/>
  <c r="AG83" i="8"/>
  <c r="IC83" i="2"/>
  <c r="L83" i="2"/>
  <c r="FC83" i="2"/>
  <c r="HT83" i="2"/>
  <c r="IZ83" i="2"/>
  <c r="GD79" i="2"/>
  <c r="HL79" i="2"/>
  <c r="AH75" i="8"/>
  <c r="W75" i="2"/>
  <c r="R75" i="2"/>
  <c r="JA75" i="2"/>
  <c r="D75" i="8"/>
  <c r="HL75" i="2"/>
  <c r="HM75" i="2"/>
  <c r="AD71" i="2"/>
  <c r="HQ71" i="2"/>
  <c r="AH67" i="8"/>
  <c r="ID67" i="2"/>
  <c r="L67" i="2"/>
  <c r="FB67" i="2"/>
  <c r="IO67" i="2"/>
  <c r="HT67" i="2"/>
  <c r="HS67" i="2"/>
  <c r="CQ67" i="2"/>
  <c r="FZ63" i="2"/>
  <c r="BF63" i="8"/>
  <c r="IX63" i="2" s="1"/>
  <c r="IC59" i="2"/>
  <c r="AE59" i="2"/>
  <c r="R59" i="2"/>
  <c r="DM59" i="2"/>
  <c r="D59" i="8"/>
  <c r="HU59" i="2"/>
  <c r="HM59" i="2"/>
  <c r="JA55" i="2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BE157" i="8"/>
  <c r="AT137" i="8"/>
  <c r="IZ121" i="2"/>
  <c r="FC117" i="2"/>
  <c r="DA113" i="2"/>
  <c r="HM101" i="2"/>
  <c r="HP97" i="2"/>
  <c r="FZ89" i="2"/>
  <c r="BE89" i="8"/>
  <c r="ID85" i="2"/>
  <c r="JA81" i="2"/>
  <c r="HL77" i="2"/>
  <c r="R73" i="2"/>
  <c r="W65" i="2"/>
  <c r="CE61" i="2"/>
  <c r="CE57" i="2"/>
  <c r="HR57" i="2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2" i="2"/>
  <c r="AI52" i="8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AI114" i="8"/>
  <c r="AI107" i="8"/>
  <c r="AH52" i="8"/>
  <c r="AI106" i="8"/>
  <c r="AH107" i="8"/>
  <c r="AI115" i="8"/>
  <c r="ID114" i="2"/>
  <c r="AH114" i="8"/>
  <c r="ID106" i="2"/>
  <c r="AH106" i="8"/>
  <c r="ID115" i="2"/>
  <c r="AH115" i="8"/>
  <c r="AH110" i="8"/>
  <c r="AI111" i="8"/>
  <c r="AI108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IC114" i="2"/>
  <c r="W114" i="2"/>
  <c r="X114" i="2"/>
  <c r="AN114" i="2"/>
  <c r="CF114" i="2"/>
  <c r="IC107" i="2"/>
  <c r="X107" i="2"/>
  <c r="W107" i="2"/>
  <c r="AN107" i="2"/>
  <c r="CF107" i="2"/>
  <c r="D52" i="10"/>
  <c r="AT52" i="8"/>
  <c r="D52" i="8"/>
  <c r="BE52" i="8"/>
  <c r="CQ52" i="2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13" i="8"/>
  <c r="BE106" i="8"/>
  <c r="BE108" i="8"/>
  <c r="D106" i="10"/>
  <c r="D108" i="10"/>
  <c r="D110" i="10"/>
  <c r="D107" i="10"/>
  <c r="CQ108" i="2"/>
  <c r="D113" i="10"/>
  <c r="D115" i="10"/>
  <c r="CQ110" i="2"/>
  <c r="CQ106" i="2"/>
  <c r="CQ114" i="2"/>
  <c r="CQ113" i="2"/>
  <c r="CQ107" i="2"/>
  <c r="CQ115" i="2"/>
  <c r="CE108" i="2"/>
  <c r="Q108" i="2"/>
  <c r="CH107" i="2"/>
  <c r="R107" i="2"/>
  <c r="CH114" i="2"/>
  <c r="R114" i="2"/>
  <c r="CH106" i="2"/>
  <c r="R106" i="2"/>
  <c r="CH108" i="2"/>
  <c r="R108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E53" i="2"/>
  <c r="CE111" i="2"/>
  <c r="CE107" i="2"/>
  <c r="CE106" i="2"/>
  <c r="BG106" i="2"/>
  <c r="BG108" i="2"/>
  <c r="GE106" i="2"/>
  <c r="Q106" i="2"/>
  <c r="AD107" i="2"/>
  <c r="CH110" i="2"/>
  <c r="R110" i="2"/>
  <c r="Q107" i="2"/>
  <c r="AD115" i="2"/>
  <c r="Q115" i="2"/>
  <c r="Q114" i="2"/>
  <c r="AD106" i="2"/>
  <c r="Q110" i="2"/>
  <c r="CH52" i="2"/>
  <c r="R52" i="2"/>
  <c r="AD52" i="2"/>
  <c r="AD108" i="2"/>
  <c r="AD110" i="2"/>
  <c r="AD114" i="2"/>
  <c r="BG52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GE114" i="2"/>
  <c r="GE110" i="2"/>
  <c r="GE107" i="2"/>
  <c r="GE108" i="2"/>
  <c r="FC52" i="2"/>
  <c r="GD52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AJ110" i="2"/>
  <c r="AK110" i="2" s="1"/>
  <c r="AI43" i="8"/>
  <c r="AI42" i="8"/>
  <c r="ID51" i="2"/>
  <c r="AH51" i="8"/>
  <c r="AI51" i="8"/>
  <c r="AI50" i="8"/>
  <c r="ID34" i="2"/>
  <c r="AH34" i="8"/>
  <c r="AI38" i="8"/>
  <c r="AI36" i="8"/>
  <c r="AH47" i="8"/>
  <c r="AH46" i="8"/>
  <c r="AH44" i="8"/>
  <c r="AH42" i="8"/>
  <c r="AH38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CQ46" i="2"/>
  <c r="ID46" i="2"/>
  <c r="ID44" i="2"/>
  <c r="ID43" i="2"/>
  <c r="ID42" i="2"/>
  <c r="ID38" i="2"/>
  <c r="ID36" i="2"/>
  <c r="CQ47" i="2"/>
  <c r="CQ42" i="2"/>
  <c r="CQ51" i="2"/>
  <c r="CQ30" i="2"/>
  <c r="CQ38" i="2"/>
  <c r="CQ34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7" i="2"/>
  <c r="D34" i="8"/>
  <c r="AT34" i="8"/>
  <c r="BE34" i="8"/>
  <c r="FB34" i="2"/>
  <c r="D34" i="10"/>
  <c r="D30" i="8"/>
  <c r="AT30" i="8"/>
  <c r="BE30" i="8"/>
  <c r="FB30" i="2"/>
  <c r="D30" i="10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CQ43" i="2"/>
  <c r="X41" i="2"/>
  <c r="X43" i="2"/>
  <c r="ID31" i="2"/>
  <c r="AJ108" i="2"/>
  <c r="AK108" i="2" s="1"/>
  <c r="V30" i="8"/>
  <c r="CZ34" i="2"/>
  <c r="AG46" i="8"/>
  <c r="AG50" i="8"/>
  <c r="AG35" i="8"/>
  <c r="V36" i="8"/>
  <c r="D37" i="10"/>
  <c r="AJ107" i="2"/>
  <c r="AK107" i="2" s="1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43" i="2"/>
  <c r="CF38" i="2"/>
  <c r="CH36" i="2"/>
  <c r="R36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6" i="2"/>
  <c r="DN106" i="2"/>
  <c r="AT35" i="8"/>
  <c r="D49" i="8"/>
  <c r="D35" i="10"/>
  <c r="CQ35" i="2"/>
  <c r="D31" i="8"/>
  <c r="BE35" i="8"/>
  <c r="D35" i="8"/>
  <c r="BE40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50" i="2"/>
  <c r="Q46" i="2"/>
  <c r="AD38" i="2"/>
  <c r="AD36" i="2"/>
  <c r="CE35" i="2"/>
  <c r="Q34" i="2"/>
  <c r="AD43" i="2"/>
  <c r="AD51" i="2"/>
  <c r="BG36" i="2"/>
  <c r="CH44" i="2"/>
  <c r="R44" i="2"/>
  <c r="AD46" i="2"/>
  <c r="Q42" i="2"/>
  <c r="AD42" i="2"/>
  <c r="AD34" i="2"/>
  <c r="AD44" i="2"/>
  <c r="AD39" i="2"/>
  <c r="Q36" i="2"/>
  <c r="AD30" i="2"/>
  <c r="BG43" i="2"/>
  <c r="BG42" i="2"/>
  <c r="BG51" i="2"/>
  <c r="BG46" i="2"/>
  <c r="BG44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FC46" i="2"/>
  <c r="FC36" i="2"/>
  <c r="Q35" i="2"/>
  <c r="GE30" i="2"/>
  <c r="FC38" i="2"/>
  <c r="BG35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M36" i="2"/>
  <c r="DN33" i="2"/>
  <c r="DN30" i="2"/>
  <c r="DM30" i="2"/>
  <c r="DN46" i="2"/>
  <c r="DM46" i="2"/>
  <c r="DN43" i="2"/>
  <c r="DM43" i="2"/>
  <c r="DM44" i="2"/>
  <c r="DN44" i="2"/>
  <c r="FC35" i="2"/>
  <c r="DN35" i="2"/>
  <c r="GD35" i="2"/>
  <c r="DM35" i="2"/>
  <c r="HQ51" i="2"/>
  <c r="HQ42" i="2"/>
  <c r="HP42" i="2"/>
  <c r="HQ43" i="2"/>
  <c r="HP51" i="2"/>
  <c r="HQ47" i="2"/>
  <c r="HQ50" i="2"/>
  <c r="HP50" i="2"/>
  <c r="HQ52" i="2"/>
  <c r="HP52" i="2"/>
  <c r="HQ36" i="2"/>
  <c r="HP36" i="2"/>
  <c r="HQ33" i="2"/>
  <c r="HQ30" i="2"/>
  <c r="HP30" i="2"/>
  <c r="HQ38" i="2"/>
  <c r="HP38" i="2"/>
  <c r="HQ46" i="2"/>
  <c r="HP46" i="2"/>
  <c r="HQ35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43" i="2"/>
  <c r="HS35" i="2"/>
  <c r="HS38" i="2"/>
  <c r="HP35" i="2"/>
  <c r="HS30" i="2"/>
  <c r="HS36" i="2"/>
  <c r="HS52" i="2"/>
  <c r="HS50" i="2"/>
  <c r="HP34" i="2"/>
  <c r="HS42" i="2"/>
  <c r="HS44" i="2"/>
  <c r="HS46" i="2"/>
  <c r="HS110" i="2"/>
  <c r="HS114" i="2"/>
  <c r="HS107" i="2"/>
  <c r="HS106" i="2"/>
  <c r="HS115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IN36" i="2"/>
  <c r="HL36" i="2"/>
  <c r="HR50" i="2"/>
  <c r="HL108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6" i="2"/>
  <c r="HR108" i="2"/>
  <c r="HR110" i="2"/>
  <c r="HR105" i="2"/>
  <c r="HT44" i="2"/>
  <c r="HM38" i="2"/>
  <c r="HU38" i="2"/>
  <c r="HT38" i="2"/>
  <c r="HT51" i="2"/>
  <c r="HU51" i="2"/>
  <c r="HM34" i="2"/>
  <c r="HM42" i="2"/>
  <c r="HM51" i="2"/>
  <c r="HM44" i="2"/>
  <c r="HT33" i="2"/>
  <c r="HT34" i="2"/>
  <c r="HU34" i="2"/>
  <c r="HT30" i="2"/>
  <c r="HU30" i="2"/>
  <c r="HM36" i="2"/>
  <c r="HU43" i="2"/>
  <c r="HT43" i="2"/>
  <c r="HM50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U44" i="2"/>
  <c r="HU35" i="2"/>
  <c r="HT35" i="2"/>
  <c r="HT36" i="2"/>
  <c r="HU36" i="2"/>
  <c r="HM30" i="2"/>
  <c r="IO114" i="2"/>
  <c r="IO108" i="2"/>
  <c r="IO110" i="2"/>
  <c r="IO115" i="2"/>
  <c r="IO106" i="2"/>
  <c r="IO105" i="2"/>
  <c r="IO107" i="2"/>
  <c r="HM114" i="2"/>
  <c r="HM106" i="2"/>
  <c r="HM105" i="2"/>
  <c r="HM110" i="2"/>
  <c r="HM108" i="2"/>
  <c r="HM115" i="2"/>
  <c r="HM107" i="2"/>
  <c r="HU105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34" i="2"/>
  <c r="FZ52" i="2"/>
  <c r="FZ33" i="2"/>
  <c r="FZ51" i="2"/>
  <c r="FZ115" i="2"/>
  <c r="FZ42" i="2"/>
  <c r="FZ114" i="2"/>
  <c r="FZ30" i="2"/>
  <c r="FZ110" i="2"/>
  <c r="FZ46" i="2"/>
  <c r="FZ43" i="2"/>
  <c r="FZ44" i="2"/>
  <c r="FZ53" i="2"/>
  <c r="IO50" i="2"/>
  <c r="IO51" i="2"/>
  <c r="IO42" i="2"/>
  <c r="IO30" i="2"/>
  <c r="IO36" i="2"/>
  <c r="IO47" i="2"/>
  <c r="IO38" i="2"/>
  <c r="IO53" i="2"/>
  <c r="IO35" i="2"/>
  <c r="IO43" i="2"/>
  <c r="IO46" i="2"/>
  <c r="IO52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6" i="8"/>
  <c r="IX106" i="2" s="1"/>
  <c r="BF37" i="8"/>
  <c r="IX37" i="2" s="1"/>
  <c r="BF47" i="8"/>
  <c r="IX47" i="2" s="1"/>
  <c r="BF51" i="8"/>
  <c r="IX51" i="2" s="1"/>
  <c r="BF44" i="8"/>
  <c r="IX44" i="2" s="1"/>
  <c r="BF46" i="8"/>
  <c r="IX46" i="2" s="1"/>
  <c r="BF50" i="8"/>
  <c r="IX50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46" i="2"/>
  <c r="IZ30" i="2"/>
  <c r="IZ50" i="2"/>
  <c r="IZ36" i="2"/>
  <c r="IZ44" i="2"/>
  <c r="IZ43" i="2"/>
  <c r="IZ35" i="2"/>
  <c r="IZ52" i="2"/>
  <c r="IZ41" i="2"/>
  <c r="IZ107" i="2"/>
  <c r="IZ108" i="2"/>
  <c r="IZ106" i="2"/>
  <c r="IZ115" i="2"/>
  <c r="IZ110" i="2"/>
  <c r="IZ114" i="2"/>
  <c r="JA111" i="2"/>
  <c r="JA110" i="2"/>
  <c r="JA105" i="2"/>
  <c r="JA114" i="2"/>
  <c r="JA115" i="2"/>
  <c r="JA35" i="2"/>
  <c r="JA43" i="2"/>
  <c r="JA51" i="2"/>
  <c r="JA42" i="2"/>
  <c r="JA36" i="2"/>
  <c r="JA38" i="2"/>
  <c r="JA30" i="2"/>
  <c r="JA49" i="2"/>
  <c r="JA34" i="2"/>
  <c r="JA47" i="2"/>
  <c r="JA52" i="2"/>
  <c r="JA44" i="2"/>
  <c r="JA50" i="2"/>
  <c r="JA46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R157" i="2" l="1"/>
  <c r="CQ157" i="2"/>
  <c r="AH157" i="8"/>
  <c r="GE157" i="2"/>
  <c r="AH109" i="8"/>
  <c r="AI109" i="8"/>
  <c r="CH109" i="2"/>
  <c r="FC109" i="2"/>
  <c r="AD109" i="2"/>
  <c r="DM109" i="2"/>
  <c r="HQ109" i="2"/>
  <c r="IN109" i="2"/>
  <c r="HR109" i="2"/>
  <c r="CZ109" i="2"/>
  <c r="R109" i="2"/>
  <c r="AC109" i="2"/>
  <c r="BG109" i="2"/>
  <c r="GD109" i="2"/>
  <c r="DN109" i="2"/>
  <c r="HP109" i="2"/>
  <c r="HL109" i="2"/>
  <c r="V109" i="8"/>
  <c r="IC109" i="2"/>
  <c r="L109" i="2"/>
  <c r="FB109" i="2"/>
  <c r="X109" i="2"/>
  <c r="CQ109" i="2"/>
  <c r="BF109" i="8"/>
  <c r="IX109" i="2" s="1"/>
  <c r="AN109" i="2"/>
  <c r="AT109" i="8"/>
  <c r="HT109" i="2"/>
  <c r="GD61" i="2"/>
  <c r="AV61" i="8"/>
  <c r="AI61" i="8"/>
  <c r="CZ61" i="2"/>
  <c r="V61" i="8"/>
  <c r="AN61" i="2"/>
  <c r="CF61" i="2"/>
  <c r="BE61" i="8"/>
  <c r="AE61" i="2"/>
  <c r="HU61" i="2"/>
  <c r="Q61" i="2"/>
  <c r="HQ61" i="2"/>
  <c r="AD61" i="2"/>
  <c r="HR61" i="2"/>
  <c r="HU53" i="2"/>
  <c r="HR45" i="2"/>
  <c r="Q37" i="2"/>
  <c r="AD45" i="2"/>
  <c r="AE45" i="2"/>
  <c r="AC53" i="2"/>
  <c r="BE109" i="8"/>
  <c r="FZ61" i="2"/>
  <c r="BF77" i="8"/>
  <c r="IX77" i="2" s="1"/>
  <c r="DN197" i="2"/>
  <c r="Q197" i="2"/>
  <c r="HQ197" i="2"/>
  <c r="AI149" i="8"/>
  <c r="W149" i="2"/>
  <c r="IZ149" i="2"/>
  <c r="IN149" i="2"/>
  <c r="D149" i="10"/>
  <c r="AI101" i="8"/>
  <c r="FB101" i="2"/>
  <c r="CQ101" i="2"/>
  <c r="AD101" i="2"/>
  <c r="IZ101" i="2"/>
  <c r="IC101" i="2"/>
  <c r="DA101" i="2"/>
  <c r="X101" i="2"/>
  <c r="JA101" i="2"/>
  <c r="AC101" i="2"/>
  <c r="AT101" i="8"/>
  <c r="CF101" i="2"/>
  <c r="HT101" i="2"/>
  <c r="AT45" i="2"/>
  <c r="DA45" i="2"/>
  <c r="AN45" i="2"/>
  <c r="CE45" i="2"/>
  <c r="FC45" i="2"/>
  <c r="HL45" i="2"/>
  <c r="CZ45" i="2"/>
  <c r="CF45" i="2"/>
  <c r="ID45" i="2"/>
  <c r="CH45" i="2"/>
  <c r="BE45" i="8"/>
  <c r="DN45" i="2"/>
  <c r="HQ45" i="2"/>
  <c r="IN45" i="2"/>
  <c r="HM45" i="2"/>
  <c r="FZ45" i="2"/>
  <c r="V45" i="8"/>
  <c r="L45" i="2"/>
  <c r="BG45" i="2"/>
  <c r="GD45" i="2"/>
  <c r="HU45" i="2"/>
  <c r="AI45" i="8"/>
  <c r="W45" i="2"/>
  <c r="AJ45" i="2"/>
  <c r="AK45" i="2" s="1"/>
  <c r="D45" i="10"/>
  <c r="AT45" i="8"/>
  <c r="Q45" i="2"/>
  <c r="HP45" i="2"/>
  <c r="HS53" i="2"/>
  <c r="AC45" i="2"/>
  <c r="DA53" i="2"/>
  <c r="AD77" i="2"/>
  <c r="DN101" i="2"/>
  <c r="CQ125" i="2"/>
  <c r="JA109" i="2"/>
  <c r="IZ109" i="2"/>
  <c r="IO45" i="2"/>
  <c r="HU109" i="2"/>
  <c r="HU37" i="2"/>
  <c r="HT45" i="2"/>
  <c r="HL37" i="2"/>
  <c r="IC37" i="2"/>
  <c r="CH53" i="2"/>
  <c r="HP93" i="2"/>
  <c r="CE101" i="2"/>
  <c r="AT165" i="8"/>
  <c r="L165" i="2"/>
  <c r="DN165" i="2"/>
  <c r="D165" i="10"/>
  <c r="AM117" i="2"/>
  <c r="DA117" i="2"/>
  <c r="IO117" i="2"/>
  <c r="HU117" i="2"/>
  <c r="AH117" i="8"/>
  <c r="HP117" i="2"/>
  <c r="AG117" i="8"/>
  <c r="HM117" i="2"/>
  <c r="L117" i="2"/>
  <c r="BG117" i="2"/>
  <c r="GD69" i="2"/>
  <c r="CF69" i="2"/>
  <c r="AT69" i="8"/>
  <c r="CH69" i="2"/>
  <c r="HT69" i="2"/>
  <c r="FB69" i="2"/>
  <c r="CQ69" i="2"/>
  <c r="L69" i="2"/>
  <c r="IZ69" i="2"/>
  <c r="AH69" i="8"/>
  <c r="DN69" i="2"/>
  <c r="BG69" i="2"/>
  <c r="ID69" i="2"/>
  <c r="DA69" i="2"/>
  <c r="CZ29" i="2"/>
  <c r="X29" i="2"/>
  <c r="AH29" i="8"/>
  <c r="FB29" i="2"/>
  <c r="IC29" i="2"/>
  <c r="ID29" i="2"/>
  <c r="JA53" i="2"/>
  <c r="HP53" i="2"/>
  <c r="DM45" i="2"/>
  <c r="CQ29" i="2"/>
  <c r="ID53" i="2"/>
  <c r="IO69" i="2"/>
  <c r="IO93" i="2"/>
  <c r="AH101" i="8"/>
  <c r="AG197" i="8"/>
  <c r="IE173" i="2"/>
  <c r="AE173" i="2"/>
  <c r="IO173" i="2"/>
  <c r="R133" i="2"/>
  <c r="Q133" i="2"/>
  <c r="D133" i="8"/>
  <c r="HL133" i="2"/>
  <c r="ID77" i="2"/>
  <c r="W77" i="2"/>
  <c r="IN77" i="2"/>
  <c r="FB77" i="2"/>
  <c r="HQ77" i="2"/>
  <c r="AG77" i="8"/>
  <c r="DM77" i="2"/>
  <c r="HM77" i="2"/>
  <c r="IC77" i="2"/>
  <c r="AJ77" i="2"/>
  <c r="AK77" i="2" s="1"/>
  <c r="V77" i="8"/>
  <c r="JA77" i="2"/>
  <c r="X77" i="2"/>
  <c r="D77" i="8"/>
  <c r="HR53" i="2"/>
  <c r="CZ37" i="2"/>
  <c r="IZ45" i="2"/>
  <c r="AJ109" i="2"/>
  <c r="AK109" i="2" s="1"/>
  <c r="AG45" i="8"/>
  <c r="W109" i="2"/>
  <c r="HS61" i="2"/>
  <c r="W69" i="2"/>
  <c r="HR85" i="2"/>
  <c r="GD189" i="2"/>
  <c r="DA189" i="2"/>
  <c r="D189" i="10"/>
  <c r="HT189" i="2"/>
  <c r="FZ141" i="2"/>
  <c r="BG141" i="8"/>
  <c r="IY141" i="2" s="1"/>
  <c r="HM141" i="2"/>
  <c r="AD141" i="2"/>
  <c r="FC141" i="2"/>
  <c r="IC93" i="2"/>
  <c r="IE93" i="2"/>
  <c r="AC93" i="2"/>
  <c r="BE93" i="8"/>
  <c r="AE93" i="2"/>
  <c r="HU93" i="2"/>
  <c r="AD93" i="2"/>
  <c r="HR93" i="2"/>
  <c r="FZ93" i="2"/>
  <c r="L93" i="2"/>
  <c r="HS93" i="2"/>
  <c r="AI93" i="8"/>
  <c r="CZ93" i="2"/>
  <c r="BG93" i="2"/>
  <c r="ID93" i="2"/>
  <c r="AN93" i="2"/>
  <c r="AN37" i="2"/>
  <c r="D37" i="8"/>
  <c r="AJ37" i="2"/>
  <c r="AK37" i="2" s="1"/>
  <c r="L37" i="2"/>
  <c r="DM37" i="2"/>
  <c r="IO37" i="2"/>
  <c r="CF37" i="2"/>
  <c r="AT37" i="8"/>
  <c r="BE37" i="8"/>
  <c r="AC37" i="2"/>
  <c r="AD37" i="2"/>
  <c r="AI37" i="8"/>
  <c r="AH37" i="8"/>
  <c r="AG37" i="8"/>
  <c r="DA37" i="2"/>
  <c r="HQ37" i="2"/>
  <c r="HR37" i="2"/>
  <c r="HT37" i="2"/>
  <c r="HM37" i="2"/>
  <c r="FZ37" i="2"/>
  <c r="V37" i="8"/>
  <c r="W37" i="2"/>
  <c r="ID37" i="2"/>
  <c r="CQ37" i="2"/>
  <c r="R37" i="2"/>
  <c r="FC37" i="2"/>
  <c r="GD37" i="2"/>
  <c r="R45" i="2"/>
  <c r="X37" i="2"/>
  <c r="GE37" i="2"/>
  <c r="JA45" i="2"/>
  <c r="IZ37" i="2"/>
  <c r="HM109" i="2"/>
  <c r="IO109" i="2"/>
  <c r="HS109" i="2"/>
  <c r="HS37" i="2"/>
  <c r="Q109" i="2"/>
  <c r="AE109" i="2"/>
  <c r="D109" i="10"/>
  <c r="ID109" i="2"/>
  <c r="D61" i="8"/>
  <c r="CE69" i="2"/>
  <c r="X93" i="2"/>
  <c r="HS117" i="2"/>
  <c r="BF141" i="8"/>
  <c r="IX141" i="2" s="1"/>
  <c r="AJ181" i="2"/>
  <c r="AK181" i="2" s="1"/>
  <c r="CF181" i="2"/>
  <c r="FB181" i="2"/>
  <c r="L125" i="2"/>
  <c r="CZ125" i="2"/>
  <c r="BE125" i="8"/>
  <c r="AI125" i="8"/>
  <c r="IC85" i="2"/>
  <c r="FZ85" i="2"/>
  <c r="L85" i="2"/>
  <c r="HS85" i="2"/>
  <c r="AI85" i="8"/>
  <c r="CZ85" i="2"/>
  <c r="BG85" i="2"/>
  <c r="X85" i="2"/>
  <c r="IO85" i="2"/>
  <c r="AC85" i="2"/>
  <c r="BE85" i="8"/>
  <c r="CF85" i="2"/>
  <c r="HU85" i="2"/>
  <c r="Q85" i="2"/>
  <c r="HP85" i="2"/>
  <c r="AR53" i="2"/>
  <c r="FB53" i="2"/>
  <c r="AN53" i="2"/>
  <c r="AT53" i="8"/>
  <c r="R53" i="2"/>
  <c r="AJ53" i="2"/>
  <c r="AK53" i="2" s="1"/>
  <c r="BF53" i="8"/>
  <c r="IX53" i="2" s="1"/>
  <c r="AH53" i="8"/>
  <c r="CF53" i="2"/>
  <c r="D53" i="8"/>
  <c r="FC53" i="2"/>
  <c r="GD53" i="2"/>
  <c r="D53" i="10"/>
  <c r="W53" i="2"/>
  <c r="V53" i="8"/>
  <c r="AI53" i="8"/>
  <c r="CQ53" i="2"/>
  <c r="BG53" i="2"/>
  <c r="GE53" i="2"/>
  <c r="HL53" i="2"/>
  <c r="HT53" i="2"/>
  <c r="X53" i="2"/>
  <c r="L53" i="2"/>
  <c r="Q53" i="2"/>
  <c r="AD53" i="2"/>
  <c r="DN53" i="2"/>
  <c r="HQ53" i="2"/>
  <c r="BF45" i="8"/>
  <c r="IX45" i="2" s="1"/>
  <c r="IN53" i="2"/>
  <c r="IN37" i="2"/>
  <c r="CF109" i="2"/>
  <c r="FZ109" i="2"/>
  <c r="CE37" i="2"/>
  <c r="CQ45" i="2"/>
  <c r="AH45" i="8"/>
  <c r="D109" i="8"/>
  <c r="IZ53" i="2"/>
  <c r="HS45" i="2"/>
  <c r="HP37" i="2"/>
  <c r="DN37" i="2"/>
  <c r="BG37" i="2"/>
  <c r="D45" i="8"/>
  <c r="CH37" i="2"/>
  <c r="X45" i="2"/>
  <c r="GE109" i="2"/>
  <c r="CE109" i="2"/>
  <c r="BE53" i="8"/>
  <c r="CE53" i="2"/>
  <c r="AG109" i="8"/>
  <c r="DM61" i="2"/>
  <c r="FB85" i="2"/>
  <c r="BF117" i="8"/>
  <c r="IX117" i="2" s="1"/>
  <c r="AN149" i="2"/>
  <c r="CQ59" i="2"/>
  <c r="HT59" i="2"/>
  <c r="FB59" i="2"/>
  <c r="HM67" i="2"/>
  <c r="D67" i="8"/>
  <c r="R67" i="2"/>
  <c r="HS75" i="2"/>
  <c r="IO75" i="2"/>
  <c r="L75" i="2"/>
  <c r="HP83" i="2"/>
  <c r="FB83" i="2"/>
  <c r="AH83" i="8"/>
  <c r="HP91" i="2"/>
  <c r="FB91" i="2"/>
  <c r="AH91" i="8"/>
  <c r="HP99" i="2"/>
  <c r="FB99" i="2"/>
  <c r="IN123" i="2"/>
  <c r="IZ131" i="2"/>
  <c r="HU139" i="2"/>
  <c r="V139" i="8"/>
  <c r="CQ163" i="2"/>
  <c r="Z195" i="2"/>
  <c r="M195" i="2"/>
  <c r="BF195" i="2"/>
  <c r="FG195" i="2"/>
  <c r="E195" i="10"/>
  <c r="S195" i="2"/>
  <c r="CG195" i="2"/>
  <c r="Y195" i="2"/>
  <c r="FK195" i="2"/>
  <c r="FM195" i="2"/>
  <c r="FW195" i="2"/>
  <c r="C195" i="2"/>
  <c r="CY195" i="2"/>
  <c r="AR195" i="2"/>
  <c r="B195" i="2"/>
  <c r="AU195" i="8"/>
  <c r="DG195" i="2"/>
  <c r="BP195" i="2"/>
  <c r="AV195" i="8"/>
  <c r="BQ195" i="2"/>
  <c r="AG195" i="2"/>
  <c r="F195" i="2"/>
  <c r="F195" i="8"/>
  <c r="AM195" i="2"/>
  <c r="T195" i="2"/>
  <c r="JH195" i="2"/>
  <c r="JI195" i="2" s="1"/>
  <c r="JJ195" i="2" s="1"/>
  <c r="FD195" i="2"/>
  <c r="D195" i="2"/>
  <c r="IL195" i="2"/>
  <c r="DC195" i="2"/>
  <c r="BT195" i="2"/>
  <c r="BR195" i="2"/>
  <c r="AS195" i="2"/>
  <c r="BG195" i="8"/>
  <c r="IY195" i="2" s="1"/>
  <c r="AP195" i="2"/>
  <c r="AH195" i="8"/>
  <c r="CE195" i="2"/>
  <c r="L195" i="2"/>
  <c r="AJ195" i="2"/>
  <c r="AK195" i="2" s="1"/>
  <c r="HU195" i="2"/>
  <c r="IZ195" i="2"/>
  <c r="AF195" i="2"/>
  <c r="IM195" i="2"/>
  <c r="DF195" i="2"/>
  <c r="BU195" i="2"/>
  <c r="IC195" i="2"/>
  <c r="W195" i="2"/>
  <c r="FC195" i="2"/>
  <c r="IO195" i="2"/>
  <c r="HL195" i="2"/>
  <c r="HS195" i="2"/>
  <c r="AO195" i="2"/>
  <c r="BW195" i="2"/>
  <c r="AC195" i="2"/>
  <c r="Q195" i="2"/>
  <c r="DN195" i="2"/>
  <c r="AT195" i="8"/>
  <c r="BG195" i="2"/>
  <c r="E195" i="2"/>
  <c r="V195" i="8"/>
  <c r="CH195" i="2"/>
  <c r="AE195" i="2"/>
  <c r="DA195" i="2"/>
  <c r="BE195" i="8"/>
  <c r="HQ195" i="2"/>
  <c r="BS195" i="2"/>
  <c r="X195" i="2"/>
  <c r="D195" i="8"/>
  <c r="D195" i="10"/>
  <c r="AT195" i="2"/>
  <c r="FZ195" i="2"/>
  <c r="GE195" i="2"/>
  <c r="BF195" i="8"/>
  <c r="IX195" i="2" s="1"/>
  <c r="IE195" i="2"/>
  <c r="AG195" i="8"/>
  <c r="R195" i="2"/>
  <c r="HT195" i="2"/>
  <c r="AI195" i="8"/>
  <c r="FB195" i="2"/>
  <c r="HP195" i="2"/>
  <c r="ID195" i="2"/>
  <c r="DM195" i="2"/>
  <c r="CQ195" i="2"/>
  <c r="E187" i="2"/>
  <c r="CY187" i="2"/>
  <c r="AO187" i="2"/>
  <c r="AW187" i="2" s="1"/>
  <c r="FE187" i="2"/>
  <c r="AU187" i="8"/>
  <c r="FW187" i="2"/>
  <c r="F187" i="2"/>
  <c r="F187" i="8"/>
  <c r="N187" i="2"/>
  <c r="C187" i="2"/>
  <c r="IM187" i="2"/>
  <c r="DC187" i="2"/>
  <c r="Y187" i="2"/>
  <c r="FD187" i="2"/>
  <c r="BT187" i="2"/>
  <c r="BR187" i="2"/>
  <c r="AM187" i="2"/>
  <c r="K187" i="2"/>
  <c r="FL187" i="2"/>
  <c r="D187" i="2"/>
  <c r="DF187" i="2"/>
  <c r="BU187" i="2"/>
  <c r="BS187" i="2"/>
  <c r="B187" i="2"/>
  <c r="AR187" i="2"/>
  <c r="DG187" i="2"/>
  <c r="BP187" i="2"/>
  <c r="AS187" i="2"/>
  <c r="JH187" i="2"/>
  <c r="JI187" i="2" s="1"/>
  <c r="JJ187" i="2" s="1"/>
  <c r="Z187" i="2"/>
  <c r="IL187" i="2"/>
  <c r="AI187" i="8"/>
  <c r="CF187" i="2"/>
  <c r="FB187" i="2"/>
  <c r="JA187" i="2"/>
  <c r="HP187" i="2"/>
  <c r="HR187" i="2"/>
  <c r="T187" i="2"/>
  <c r="AT187" i="2"/>
  <c r="ID187" i="2"/>
  <c r="W187" i="2"/>
  <c r="DM187" i="2"/>
  <c r="D187" i="8"/>
  <c r="CQ187" i="2"/>
  <c r="IE187" i="2"/>
  <c r="FZ187" i="2"/>
  <c r="AC187" i="2"/>
  <c r="X187" i="2"/>
  <c r="CZ187" i="2"/>
  <c r="BF187" i="8"/>
  <c r="IX187" i="2" s="1"/>
  <c r="IN187" i="2"/>
  <c r="AV187" i="8"/>
  <c r="AG187" i="8"/>
  <c r="CE187" i="2"/>
  <c r="R187" i="2"/>
  <c r="AN187" i="2"/>
  <c r="HT187" i="2"/>
  <c r="HM187" i="2"/>
  <c r="AE187" i="2"/>
  <c r="AT187" i="8"/>
  <c r="V187" i="8"/>
  <c r="Q187" i="2"/>
  <c r="BE187" i="8"/>
  <c r="D187" i="10"/>
  <c r="AH187" i="8"/>
  <c r="L187" i="2"/>
  <c r="HU187" i="2"/>
  <c r="AP187" i="2"/>
  <c r="IC187" i="2"/>
  <c r="FC187" i="2"/>
  <c r="HL187" i="2"/>
  <c r="BG187" i="8"/>
  <c r="IV187" i="2" s="1"/>
  <c r="IW187" i="2" s="1"/>
  <c r="BQ187" i="2"/>
  <c r="CH187" i="2"/>
  <c r="DN187" i="2"/>
  <c r="BG187" i="2"/>
  <c r="Z179" i="2"/>
  <c r="F179" i="2"/>
  <c r="F179" i="8"/>
  <c r="M179" i="2"/>
  <c r="CG179" i="2"/>
  <c r="FF179" i="2"/>
  <c r="Y179" i="2"/>
  <c r="BG179" i="8"/>
  <c r="IY179" i="2" s="1"/>
  <c r="FH179" i="2"/>
  <c r="FM179" i="2"/>
  <c r="T179" i="2"/>
  <c r="E179" i="2"/>
  <c r="IL179" i="2"/>
  <c r="DC179" i="2"/>
  <c r="BW179" i="2"/>
  <c r="FW179" i="2"/>
  <c r="D179" i="2"/>
  <c r="CY179" i="2"/>
  <c r="DG179" i="2"/>
  <c r="AF179" i="2"/>
  <c r="AV179" i="8"/>
  <c r="IM179" i="2"/>
  <c r="F179" i="10"/>
  <c r="AU179" i="8"/>
  <c r="BT179" i="2"/>
  <c r="BR179" i="2"/>
  <c r="FD179" i="2"/>
  <c r="BU179" i="2"/>
  <c r="BS179" i="2"/>
  <c r="FJ179" i="2"/>
  <c r="B179" i="2"/>
  <c r="AR179" i="2"/>
  <c r="AG179" i="2"/>
  <c r="BQ179" i="2"/>
  <c r="AT179" i="2"/>
  <c r="IE179" i="2"/>
  <c r="IC179" i="2"/>
  <c r="W179" i="2"/>
  <c r="FC179" i="2"/>
  <c r="FK179" i="2"/>
  <c r="JH179" i="2"/>
  <c r="JI179" i="2" s="1"/>
  <c r="JJ179" i="2" s="1"/>
  <c r="N179" i="2"/>
  <c r="AO179" i="2"/>
  <c r="AW179" i="2" s="1"/>
  <c r="BP179" i="2"/>
  <c r="CE179" i="2"/>
  <c r="X179" i="2"/>
  <c r="DN179" i="2"/>
  <c r="AT179" i="8"/>
  <c r="BG179" i="2"/>
  <c r="V179" i="8"/>
  <c r="GD179" i="2"/>
  <c r="R179" i="2"/>
  <c r="DA179" i="2"/>
  <c r="BE179" i="8"/>
  <c r="HQ179" i="2"/>
  <c r="AP179" i="2"/>
  <c r="AH179" i="8"/>
  <c r="AD179" i="2"/>
  <c r="GE179" i="2"/>
  <c r="AJ179" i="2"/>
  <c r="AK179" i="2" s="1"/>
  <c r="HU179" i="2"/>
  <c r="IZ179" i="2"/>
  <c r="AE179" i="2"/>
  <c r="IO179" i="2"/>
  <c r="HM179" i="2"/>
  <c r="FZ179" i="2"/>
  <c r="Q179" i="2"/>
  <c r="D179" i="8"/>
  <c r="HR179" i="2"/>
  <c r="AG179" i="8"/>
  <c r="L179" i="2"/>
  <c r="BF179" i="8"/>
  <c r="IX179" i="2" s="1"/>
  <c r="HS179" i="2"/>
  <c r="D179" i="10"/>
  <c r="AI179" i="8"/>
  <c r="FB179" i="2"/>
  <c r="HT179" i="2"/>
  <c r="AM179" i="2"/>
  <c r="ID179" i="2"/>
  <c r="DM179" i="2"/>
  <c r="HP179" i="2"/>
  <c r="E171" i="10"/>
  <c r="T171" i="2"/>
  <c r="E171" i="2"/>
  <c r="IM171" i="2"/>
  <c r="DC171" i="2"/>
  <c r="FM171" i="2"/>
  <c r="M171" i="2"/>
  <c r="AF171" i="2"/>
  <c r="C171" i="2"/>
  <c r="IL171" i="2"/>
  <c r="AO171" i="2"/>
  <c r="AW171" i="2" s="1"/>
  <c r="K171" i="2"/>
  <c r="FK171" i="2"/>
  <c r="N171" i="2"/>
  <c r="D171" i="2"/>
  <c r="CY171" i="2"/>
  <c r="DG171" i="2"/>
  <c r="FW171" i="2"/>
  <c r="JH171" i="2"/>
  <c r="JI171" i="2" s="1"/>
  <c r="JJ171" i="2" s="1"/>
  <c r="FD171" i="2"/>
  <c r="BQ171" i="2"/>
  <c r="AG171" i="2"/>
  <c r="F171" i="2"/>
  <c r="Y171" i="2"/>
  <c r="BG171" i="8"/>
  <c r="IY171" i="2" s="1"/>
  <c r="S171" i="2"/>
  <c r="AV171" i="8"/>
  <c r="AT171" i="2"/>
  <c r="AU171" i="8"/>
  <c r="BT171" i="2"/>
  <c r="DF171" i="2"/>
  <c r="AP171" i="2"/>
  <c r="V171" i="8"/>
  <c r="GD171" i="2"/>
  <c r="R171" i="2"/>
  <c r="CZ171" i="2"/>
  <c r="BE171" i="8"/>
  <c r="HQ171" i="2"/>
  <c r="B171" i="2"/>
  <c r="BU171" i="2"/>
  <c r="BP171" i="2"/>
  <c r="IE171" i="2"/>
  <c r="AH171" i="8"/>
  <c r="AD171" i="2"/>
  <c r="AE171" i="2"/>
  <c r="DA171" i="2"/>
  <c r="HU171" i="2"/>
  <c r="IZ171" i="2"/>
  <c r="AR171" i="2"/>
  <c r="BR171" i="2"/>
  <c r="IC171" i="2"/>
  <c r="GE171" i="2"/>
  <c r="FC171" i="2"/>
  <c r="IO171" i="2"/>
  <c r="HL171" i="2"/>
  <c r="HS171" i="2"/>
  <c r="F171" i="8"/>
  <c r="AC171" i="2"/>
  <c r="AN171" i="2"/>
  <c r="HT171" i="2"/>
  <c r="BS171" i="2"/>
  <c r="CF171" i="2"/>
  <c r="DM171" i="2"/>
  <c r="HP171" i="2"/>
  <c r="CH171" i="2"/>
  <c r="DN171" i="2"/>
  <c r="CQ171" i="2"/>
  <c r="FZ171" i="2"/>
  <c r="W171" i="2"/>
  <c r="AJ171" i="2"/>
  <c r="AK171" i="2" s="1"/>
  <c r="BG171" i="2"/>
  <c r="AG171" i="8"/>
  <c r="X171" i="2"/>
  <c r="JA171" i="2"/>
  <c r="IN171" i="2"/>
  <c r="AM171" i="2"/>
  <c r="T163" i="2"/>
  <c r="B163" i="2"/>
  <c r="CY163" i="2"/>
  <c r="DG163" i="2"/>
  <c r="FF163" i="2"/>
  <c r="FK163" i="2"/>
  <c r="M163" i="2"/>
  <c r="W163" i="8"/>
  <c r="FH163" i="2"/>
  <c r="Y163" i="2"/>
  <c r="F163" i="2"/>
  <c r="F163" i="8"/>
  <c r="F163" i="10"/>
  <c r="N163" i="2"/>
  <c r="JH163" i="2"/>
  <c r="JI163" i="2" s="1"/>
  <c r="JJ163" i="2" s="1"/>
  <c r="FD163" i="2"/>
  <c r="AG163" i="2"/>
  <c r="C163" i="2"/>
  <c r="AV163" i="8"/>
  <c r="AR163" i="2"/>
  <c r="DF163" i="2"/>
  <c r="E163" i="2"/>
  <c r="DC163" i="2"/>
  <c r="BP163" i="2"/>
  <c r="FM163" i="2"/>
  <c r="D163" i="2"/>
  <c r="AO163" i="2"/>
  <c r="AY163" i="2" s="1"/>
  <c r="BQ163" i="2"/>
  <c r="FJ163" i="2"/>
  <c r="IE163" i="2"/>
  <c r="Z163" i="2"/>
  <c r="BG163" i="8"/>
  <c r="IV163" i="2" s="1"/>
  <c r="IW163" i="2" s="1"/>
  <c r="BW163" i="2"/>
  <c r="S163" i="2"/>
  <c r="IM163" i="2"/>
  <c r="BT163" i="2"/>
  <c r="BR163" i="2"/>
  <c r="IL163" i="2"/>
  <c r="BS163" i="2"/>
  <c r="AS163" i="2"/>
  <c r="AU163" i="8"/>
  <c r="AH163" i="8"/>
  <c r="AD163" i="2"/>
  <c r="L163" i="2"/>
  <c r="DA163" i="2"/>
  <c r="HU163" i="2"/>
  <c r="IZ163" i="2"/>
  <c r="AF163" i="2"/>
  <c r="BU163" i="2"/>
  <c r="IC163" i="2"/>
  <c r="W163" i="2"/>
  <c r="FC163" i="2"/>
  <c r="IO163" i="2"/>
  <c r="HL163" i="2"/>
  <c r="HS163" i="2"/>
  <c r="AT163" i="2"/>
  <c r="CE163" i="2"/>
  <c r="GE163" i="2"/>
  <c r="DM163" i="2"/>
  <c r="AT163" i="8"/>
  <c r="BG163" i="2"/>
  <c r="AM163" i="2"/>
  <c r="V163" i="8"/>
  <c r="Q163" i="2"/>
  <c r="AJ163" i="2"/>
  <c r="AK163" i="2" s="1"/>
  <c r="IN163" i="2"/>
  <c r="AP163" i="2"/>
  <c r="AG163" i="8"/>
  <c r="R163" i="2"/>
  <c r="JA163" i="2"/>
  <c r="HQ163" i="2"/>
  <c r="AI163" i="8"/>
  <c r="X163" i="2"/>
  <c r="D163" i="8"/>
  <c r="HM163" i="2"/>
  <c r="ID163" i="2"/>
  <c r="AE163" i="2"/>
  <c r="BF163" i="8"/>
  <c r="IX163" i="2" s="1"/>
  <c r="HR163" i="2"/>
  <c r="AC163" i="2"/>
  <c r="FB163" i="2"/>
  <c r="BE163" i="8"/>
  <c r="Z155" i="2"/>
  <c r="JH155" i="2"/>
  <c r="JI155" i="2" s="1"/>
  <c r="JJ155" i="2" s="1"/>
  <c r="FD155" i="2"/>
  <c r="FT155" i="2"/>
  <c r="T155" i="2"/>
  <c r="K155" i="2"/>
  <c r="M155" i="2"/>
  <c r="E155" i="2"/>
  <c r="IM155" i="2"/>
  <c r="DC155" i="2"/>
  <c r="AF155" i="2"/>
  <c r="C155" i="2"/>
  <c r="AV155" i="8"/>
  <c r="AR155" i="2"/>
  <c r="FW155" i="2"/>
  <c r="S155" i="2"/>
  <c r="AU155" i="8"/>
  <c r="N155" i="2"/>
  <c r="BG155" i="8"/>
  <c r="IV155" i="2" s="1"/>
  <c r="IW155" i="2" s="1"/>
  <c r="BT155" i="2"/>
  <c r="BR155" i="2"/>
  <c r="FM155" i="2"/>
  <c r="Y155" i="2"/>
  <c r="IL155" i="2"/>
  <c r="BU155" i="2"/>
  <c r="BS155" i="2"/>
  <c r="CY155" i="2"/>
  <c r="F155" i="8"/>
  <c r="BP155" i="2"/>
  <c r="D155" i="2"/>
  <c r="DF155" i="2"/>
  <c r="DG155" i="2"/>
  <c r="B155" i="2"/>
  <c r="AT155" i="2"/>
  <c r="IC155" i="2"/>
  <c r="GE155" i="2"/>
  <c r="FC155" i="2"/>
  <c r="IO155" i="2"/>
  <c r="HL155" i="2"/>
  <c r="HS155" i="2"/>
  <c r="AG155" i="2"/>
  <c r="F155" i="2"/>
  <c r="AS155" i="2"/>
  <c r="CE155" i="2"/>
  <c r="Q155" i="2"/>
  <c r="DM155" i="2"/>
  <c r="AT155" i="8"/>
  <c r="BG155" i="2"/>
  <c r="V155" i="8"/>
  <c r="GD155" i="2"/>
  <c r="X155" i="2"/>
  <c r="CZ155" i="2"/>
  <c r="BE155" i="8"/>
  <c r="HQ155" i="2"/>
  <c r="ID155" i="2"/>
  <c r="R155" i="2"/>
  <c r="BF155" i="8"/>
  <c r="IX155" i="2" s="1"/>
  <c r="HR155" i="2"/>
  <c r="AC155" i="2"/>
  <c r="FB155" i="2"/>
  <c r="HT155" i="2"/>
  <c r="AM155" i="2"/>
  <c r="CF155" i="2"/>
  <c r="AN155" i="2"/>
  <c r="HU155" i="2"/>
  <c r="AO155" i="2"/>
  <c r="AW155" i="2" s="1"/>
  <c r="AP155" i="2"/>
  <c r="AD155" i="2"/>
  <c r="DN155" i="2"/>
  <c r="HP155" i="2"/>
  <c r="IE155" i="2"/>
  <c r="FZ155" i="2"/>
  <c r="CH155" i="2"/>
  <c r="AJ155" i="2"/>
  <c r="AK155" i="2" s="1"/>
  <c r="CQ155" i="2"/>
  <c r="FF147" i="2"/>
  <c r="FK147" i="2"/>
  <c r="AG147" i="2"/>
  <c r="FH147" i="2"/>
  <c r="Z147" i="2"/>
  <c r="BV147" i="2"/>
  <c r="F147" i="10"/>
  <c r="FJ147" i="2"/>
  <c r="T147" i="2"/>
  <c r="B147" i="2"/>
  <c r="BW147" i="2"/>
  <c r="FM147" i="2"/>
  <c r="M147" i="2"/>
  <c r="AQ147" i="2"/>
  <c r="E147" i="10"/>
  <c r="AF147" i="2"/>
  <c r="BG147" i="8"/>
  <c r="IY147" i="2" s="1"/>
  <c r="C147" i="2"/>
  <c r="CY147" i="2"/>
  <c r="DG147" i="2"/>
  <c r="D147" i="2"/>
  <c r="AU147" i="8"/>
  <c r="FW147" i="2"/>
  <c r="F147" i="8"/>
  <c r="BT147" i="2"/>
  <c r="BR147" i="2"/>
  <c r="Y147" i="2"/>
  <c r="F147" i="2"/>
  <c r="FD147" i="2"/>
  <c r="BU147" i="2"/>
  <c r="BS147" i="2"/>
  <c r="AP147" i="2"/>
  <c r="N147" i="2"/>
  <c r="JH147" i="2"/>
  <c r="JI147" i="2" s="1"/>
  <c r="JJ147" i="2" s="1"/>
  <c r="DF147" i="2"/>
  <c r="AV147" i="8"/>
  <c r="AR147" i="2"/>
  <c r="BQ147" i="2"/>
  <c r="IL147" i="2"/>
  <c r="AS147" i="2"/>
  <c r="IM147" i="2"/>
  <c r="DC147" i="2"/>
  <c r="CF147" i="2"/>
  <c r="AE147" i="2"/>
  <c r="DM147" i="2"/>
  <c r="AT147" i="8"/>
  <c r="BG147" i="2"/>
  <c r="AO147" i="2"/>
  <c r="AY147" i="2" s="1"/>
  <c r="V147" i="8"/>
  <c r="GD147" i="2"/>
  <c r="X147" i="2"/>
  <c r="CZ147" i="2"/>
  <c r="BE147" i="8"/>
  <c r="HQ147" i="2"/>
  <c r="E147" i="2"/>
  <c r="BP147" i="2"/>
  <c r="AM147" i="2"/>
  <c r="AH147" i="8"/>
  <c r="CE147" i="2"/>
  <c r="R147" i="2"/>
  <c r="DA147" i="2"/>
  <c r="HU147" i="2"/>
  <c r="IZ147" i="2"/>
  <c r="CH147" i="2"/>
  <c r="DN147" i="2"/>
  <c r="HL147" i="2"/>
  <c r="FZ147" i="2"/>
  <c r="W147" i="2"/>
  <c r="AJ147" i="2"/>
  <c r="AK147" i="2" s="1"/>
  <c r="CQ147" i="2"/>
  <c r="AG147" i="8"/>
  <c r="Q147" i="2"/>
  <c r="JA147" i="2"/>
  <c r="IN147" i="2"/>
  <c r="AI147" i="8"/>
  <c r="GE147" i="2"/>
  <c r="IO147" i="2"/>
  <c r="HM147" i="2"/>
  <c r="IC147" i="2"/>
  <c r="L147" i="2"/>
  <c r="D147" i="8"/>
  <c r="HR147" i="2"/>
  <c r="S147" i="2"/>
  <c r="IE147" i="2"/>
  <c r="Y139" i="2"/>
  <c r="K139" i="2"/>
  <c r="FM139" i="2"/>
  <c r="FW139" i="2"/>
  <c r="S139" i="2"/>
  <c r="AG139" i="2"/>
  <c r="Z139" i="2"/>
  <c r="AF139" i="2"/>
  <c r="M139" i="2"/>
  <c r="JH139" i="2"/>
  <c r="JI139" i="2" s="1"/>
  <c r="JJ139" i="2" s="1"/>
  <c r="FD139" i="2"/>
  <c r="BQ139" i="2"/>
  <c r="N139" i="2"/>
  <c r="BG139" i="8"/>
  <c r="IY139" i="2" s="1"/>
  <c r="DF139" i="2"/>
  <c r="E139" i="2"/>
  <c r="AV139" i="8"/>
  <c r="DC139" i="2"/>
  <c r="C139" i="2"/>
  <c r="IM139" i="2"/>
  <c r="AR139" i="2"/>
  <c r="D139" i="2"/>
  <c r="IL139" i="2"/>
  <c r="AO139" i="2"/>
  <c r="AY139" i="2" s="1"/>
  <c r="BT139" i="2"/>
  <c r="AU139" i="8"/>
  <c r="CY139" i="2"/>
  <c r="F139" i="8"/>
  <c r="DG139" i="2"/>
  <c r="BS139" i="2"/>
  <c r="AM139" i="2"/>
  <c r="FZ139" i="2"/>
  <c r="AC139" i="2"/>
  <c r="X139" i="2"/>
  <c r="DN139" i="2"/>
  <c r="BF139" i="8"/>
  <c r="IX139" i="2" s="1"/>
  <c r="IN139" i="2"/>
  <c r="AP139" i="2"/>
  <c r="AG139" i="8"/>
  <c r="AD139" i="2"/>
  <c r="AE139" i="2"/>
  <c r="IE139" i="2"/>
  <c r="AI139" i="8"/>
  <c r="CH139" i="2"/>
  <c r="FB139" i="2"/>
  <c r="JA139" i="2"/>
  <c r="HP139" i="2"/>
  <c r="HR139" i="2"/>
  <c r="T139" i="2"/>
  <c r="F139" i="2"/>
  <c r="BP139" i="2"/>
  <c r="AS139" i="2"/>
  <c r="AH139" i="8"/>
  <c r="Q139" i="2"/>
  <c r="DA139" i="2"/>
  <c r="CQ139" i="2"/>
  <c r="IC139" i="2"/>
  <c r="L139" i="2"/>
  <c r="IO139" i="2"/>
  <c r="BG139" i="2"/>
  <c r="BR139" i="2"/>
  <c r="ID139" i="2"/>
  <c r="R139" i="2"/>
  <c r="D139" i="8"/>
  <c r="HQ139" i="2"/>
  <c r="CF139" i="2"/>
  <c r="FC139" i="2"/>
  <c r="AT139" i="8"/>
  <c r="HM139" i="2"/>
  <c r="GD139" i="2"/>
  <c r="AN139" i="2"/>
  <c r="BE139" i="8"/>
  <c r="IZ139" i="2"/>
  <c r="B139" i="2"/>
  <c r="FJ131" i="2"/>
  <c r="N131" i="2"/>
  <c r="BV131" i="2"/>
  <c r="BY131" i="2" s="1"/>
  <c r="F131" i="10"/>
  <c r="AF131" i="2"/>
  <c r="BW131" i="2"/>
  <c r="FW131" i="2"/>
  <c r="S131" i="2"/>
  <c r="AG131" i="2"/>
  <c r="FF131" i="2"/>
  <c r="M131" i="2"/>
  <c r="C131" i="2"/>
  <c r="AV131" i="8"/>
  <c r="AO131" i="2"/>
  <c r="AW131" i="2" s="1"/>
  <c r="D131" i="2"/>
  <c r="IM131" i="2"/>
  <c r="AR131" i="2"/>
  <c r="BP131" i="2"/>
  <c r="Z131" i="2"/>
  <c r="B131" i="2"/>
  <c r="CY131" i="2"/>
  <c r="DG131" i="2"/>
  <c r="BQ131" i="2"/>
  <c r="T131" i="2"/>
  <c r="AU131" i="8"/>
  <c r="AM131" i="2"/>
  <c r="Y131" i="2"/>
  <c r="F131" i="2"/>
  <c r="F131" i="8"/>
  <c r="FH131" i="2"/>
  <c r="FK131" i="2"/>
  <c r="BG131" i="8"/>
  <c r="IV131" i="2" s="1"/>
  <c r="IW131" i="2" s="1"/>
  <c r="DF131" i="2"/>
  <c r="BT131" i="2"/>
  <c r="BR131" i="2"/>
  <c r="FD131" i="2"/>
  <c r="AP131" i="2"/>
  <c r="DC131" i="2"/>
  <c r="IE131" i="2"/>
  <c r="V131" i="8"/>
  <c r="GD131" i="2"/>
  <c r="AE131" i="2"/>
  <c r="CZ131" i="2"/>
  <c r="BE131" i="8"/>
  <c r="HQ131" i="2"/>
  <c r="BS131" i="2"/>
  <c r="E131" i="2"/>
  <c r="JH131" i="2"/>
  <c r="JI131" i="2" s="1"/>
  <c r="JJ131" i="2" s="1"/>
  <c r="BU131" i="2"/>
  <c r="IC131" i="2"/>
  <c r="W131" i="2"/>
  <c r="FC131" i="2"/>
  <c r="IO131" i="2"/>
  <c r="HL131" i="2"/>
  <c r="HS131" i="2"/>
  <c r="AG131" i="8"/>
  <c r="CH131" i="2"/>
  <c r="DM131" i="2"/>
  <c r="HT131" i="2"/>
  <c r="HR131" i="2"/>
  <c r="D131" i="10"/>
  <c r="AT131" i="2"/>
  <c r="AH131" i="8"/>
  <c r="Q131" i="2"/>
  <c r="DN131" i="2"/>
  <c r="HU131" i="2"/>
  <c r="AS131" i="2"/>
  <c r="AI131" i="8"/>
  <c r="X131" i="2"/>
  <c r="AJ131" i="2"/>
  <c r="AK131" i="2" s="1"/>
  <c r="HP131" i="2"/>
  <c r="IL131" i="2"/>
  <c r="ID131" i="2"/>
  <c r="GE131" i="2"/>
  <c r="DA131" i="2"/>
  <c r="CQ131" i="2"/>
  <c r="CF131" i="2"/>
  <c r="L131" i="2"/>
  <c r="JA131" i="2"/>
  <c r="BG131" i="2"/>
  <c r="FM131" i="2"/>
  <c r="FG123" i="2"/>
  <c r="AF123" i="2"/>
  <c r="CG123" i="2"/>
  <c r="N123" i="2"/>
  <c r="Y123" i="2"/>
  <c r="FW123" i="2"/>
  <c r="S123" i="2"/>
  <c r="T123" i="2"/>
  <c r="AU123" i="8"/>
  <c r="BT123" i="2"/>
  <c r="BR123" i="2"/>
  <c r="F123" i="2"/>
  <c r="F123" i="8"/>
  <c r="BU123" i="2"/>
  <c r="BS123" i="2"/>
  <c r="JH123" i="2"/>
  <c r="JI123" i="2" s="1"/>
  <c r="JJ123" i="2" s="1"/>
  <c r="FD123" i="2"/>
  <c r="BG123" i="8"/>
  <c r="IY123" i="2" s="1"/>
  <c r="DF123" i="2"/>
  <c r="BP123" i="2"/>
  <c r="AS123" i="2"/>
  <c r="CI123" i="2"/>
  <c r="E123" i="2"/>
  <c r="AV123" i="8"/>
  <c r="DC123" i="2"/>
  <c r="Z123" i="2"/>
  <c r="D123" i="2"/>
  <c r="IL123" i="2"/>
  <c r="AO123" i="2"/>
  <c r="AY123" i="2" s="1"/>
  <c r="AG123" i="2"/>
  <c r="AR123" i="2"/>
  <c r="BQ123" i="2"/>
  <c r="M123" i="2"/>
  <c r="DG123" i="2"/>
  <c r="AG123" i="8"/>
  <c r="C123" i="2"/>
  <c r="B123" i="2"/>
  <c r="AT123" i="2"/>
  <c r="IM123" i="2"/>
  <c r="IE123" i="2"/>
  <c r="ID123" i="2"/>
  <c r="W123" i="2"/>
  <c r="GE123" i="2"/>
  <c r="X123" i="2"/>
  <c r="CZ123" i="2"/>
  <c r="BE123" i="8"/>
  <c r="HQ123" i="2"/>
  <c r="AC123" i="2"/>
  <c r="L123" i="2"/>
  <c r="AJ123" i="2"/>
  <c r="AK123" i="2" s="1"/>
  <c r="HT123" i="2"/>
  <c r="HM123" i="2"/>
  <c r="FZ123" i="2"/>
  <c r="CH123" i="2"/>
  <c r="R123" i="2"/>
  <c r="DA123" i="2"/>
  <c r="HU123" i="2"/>
  <c r="IZ123" i="2"/>
  <c r="AM123" i="2"/>
  <c r="V123" i="8"/>
  <c r="AD123" i="2"/>
  <c r="FB123" i="2"/>
  <c r="JA123" i="2"/>
  <c r="HP123" i="2"/>
  <c r="HR123" i="2"/>
  <c r="AP123" i="2"/>
  <c r="AH123" i="8"/>
  <c r="CF123" i="2"/>
  <c r="DM123" i="2"/>
  <c r="IO123" i="2"/>
  <c r="HL123" i="2"/>
  <c r="HS123" i="2"/>
  <c r="CY123" i="2"/>
  <c r="F115" i="10"/>
  <c r="M115" i="2"/>
  <c r="BW115" i="2"/>
  <c r="Y115" i="2"/>
  <c r="N115" i="2"/>
  <c r="FL115" i="2"/>
  <c r="AF115" i="2"/>
  <c r="Z115" i="2"/>
  <c r="FW115" i="2"/>
  <c r="BG115" i="8"/>
  <c r="IY115" i="2" s="1"/>
  <c r="DF115" i="2"/>
  <c r="AG115" i="2"/>
  <c r="E115" i="2"/>
  <c r="IL115" i="2"/>
  <c r="DC115" i="2"/>
  <c r="T115" i="2"/>
  <c r="C115" i="2"/>
  <c r="AV115" i="8"/>
  <c r="AR115" i="2"/>
  <c r="BT115" i="2"/>
  <c r="BR115" i="2"/>
  <c r="S115" i="2"/>
  <c r="D115" i="2"/>
  <c r="IM115" i="2"/>
  <c r="AO115" i="2"/>
  <c r="AW115" i="2" s="1"/>
  <c r="BU115" i="2"/>
  <c r="BS115" i="2"/>
  <c r="B115" i="2"/>
  <c r="CY115" i="2"/>
  <c r="DG115" i="2"/>
  <c r="FF115" i="2"/>
  <c r="E115" i="10"/>
  <c r="F115" i="2"/>
  <c r="F115" i="8"/>
  <c r="BQ115" i="2"/>
  <c r="AT115" i="2"/>
  <c r="AS115" i="2"/>
  <c r="JH115" i="2"/>
  <c r="JI115" i="2" s="1"/>
  <c r="JJ115" i="2" s="1"/>
  <c r="FD115" i="2"/>
  <c r="AU115" i="8"/>
  <c r="BP115" i="2"/>
  <c r="AP115" i="2"/>
  <c r="AG107" i="2"/>
  <c r="FL107" i="2"/>
  <c r="AF107" i="2"/>
  <c r="N107" i="2"/>
  <c r="CI107" i="2"/>
  <c r="CJ107" i="2" s="1"/>
  <c r="FK107" i="2"/>
  <c r="FM107" i="2"/>
  <c r="Y107" i="2"/>
  <c r="FH107" i="2"/>
  <c r="D107" i="2"/>
  <c r="IL107" i="2"/>
  <c r="AO107" i="2"/>
  <c r="AY107" i="2" s="1"/>
  <c r="BQ107" i="2"/>
  <c r="FJ107" i="2"/>
  <c r="B107" i="2"/>
  <c r="CY107" i="2"/>
  <c r="DG107" i="2"/>
  <c r="AU107" i="8"/>
  <c r="FG107" i="2"/>
  <c r="F107" i="2"/>
  <c r="F107" i="8"/>
  <c r="JH107" i="2"/>
  <c r="JI107" i="2" s="1"/>
  <c r="JJ107" i="2" s="1"/>
  <c r="FD107" i="2"/>
  <c r="BT107" i="2"/>
  <c r="E107" i="2"/>
  <c r="AV107" i="8"/>
  <c r="DC107" i="2"/>
  <c r="C107" i="2"/>
  <c r="IE107" i="2"/>
  <c r="BG107" i="8"/>
  <c r="IY107" i="2" s="1"/>
  <c r="BP107" i="2"/>
  <c r="IM107" i="2"/>
  <c r="DF107" i="2"/>
  <c r="BR107" i="2"/>
  <c r="AM107" i="2"/>
  <c r="AP107" i="2"/>
  <c r="AT107" i="2"/>
  <c r="DA107" i="2"/>
  <c r="AS107" i="2"/>
  <c r="CZ107" i="2"/>
  <c r="BS107" i="2"/>
  <c r="AR107" i="2"/>
  <c r="BU107" i="2"/>
  <c r="BV99" i="2"/>
  <c r="CG99" i="2"/>
  <c r="FE99" i="2"/>
  <c r="FL99" i="2"/>
  <c r="S99" i="2"/>
  <c r="Y99" i="2"/>
  <c r="F99" i="2"/>
  <c r="F99" i="8"/>
  <c r="FW99" i="2"/>
  <c r="JH99" i="2"/>
  <c r="JI99" i="2" s="1"/>
  <c r="JJ99" i="2" s="1"/>
  <c r="FD99" i="2"/>
  <c r="BP99" i="2"/>
  <c r="M99" i="2"/>
  <c r="BG99" i="8"/>
  <c r="IY99" i="2" s="1"/>
  <c r="DF99" i="2"/>
  <c r="BQ99" i="2"/>
  <c r="N99" i="2"/>
  <c r="B99" i="2"/>
  <c r="IL99" i="2"/>
  <c r="DC99" i="2"/>
  <c r="E99" i="2"/>
  <c r="AV99" i="8"/>
  <c r="AR99" i="2"/>
  <c r="D99" i="2"/>
  <c r="CY99" i="2"/>
  <c r="DG99" i="2"/>
  <c r="BT99" i="2"/>
  <c r="BR99" i="2"/>
  <c r="BU99" i="2"/>
  <c r="IM99" i="2"/>
  <c r="AU99" i="8"/>
  <c r="AT99" i="2"/>
  <c r="AO99" i="2"/>
  <c r="AY99" i="2" s="1"/>
  <c r="AS99" i="2"/>
  <c r="BS99" i="2"/>
  <c r="IC99" i="2"/>
  <c r="CH99" i="2"/>
  <c r="FC99" i="2"/>
  <c r="IO99" i="2"/>
  <c r="IZ99" i="2"/>
  <c r="CQ99" i="2"/>
  <c r="ID99" i="2"/>
  <c r="GE99" i="2"/>
  <c r="DM99" i="2"/>
  <c r="D99" i="8"/>
  <c r="HQ99" i="2"/>
  <c r="AM99" i="2"/>
  <c r="CE99" i="2"/>
  <c r="W99" i="2"/>
  <c r="DN99" i="2"/>
  <c r="AT99" i="8"/>
  <c r="BG99" i="2"/>
  <c r="AP99" i="2"/>
  <c r="IE99" i="2"/>
  <c r="AI99" i="8"/>
  <c r="X99" i="2"/>
  <c r="Q99" i="2"/>
  <c r="AJ99" i="2"/>
  <c r="AK99" i="2" s="1"/>
  <c r="BE99" i="8"/>
  <c r="HR99" i="2"/>
  <c r="C99" i="2"/>
  <c r="BF91" i="2"/>
  <c r="FM91" i="2"/>
  <c r="T91" i="2"/>
  <c r="E91" i="10"/>
  <c r="FK91" i="2"/>
  <c r="M91" i="2"/>
  <c r="AF91" i="2"/>
  <c r="FJ91" i="2"/>
  <c r="F91" i="10"/>
  <c r="B91" i="2"/>
  <c r="AV91" i="8"/>
  <c r="DC91" i="2"/>
  <c r="BT91" i="2"/>
  <c r="BR91" i="2"/>
  <c r="D91" i="2"/>
  <c r="IM91" i="2"/>
  <c r="AR91" i="2"/>
  <c r="BU91" i="2"/>
  <c r="BS91" i="2"/>
  <c r="FL91" i="2"/>
  <c r="E91" i="2"/>
  <c r="IL91" i="2"/>
  <c r="AO91" i="2"/>
  <c r="AY91" i="2" s="1"/>
  <c r="C91" i="2"/>
  <c r="CY91" i="2"/>
  <c r="DG91" i="2"/>
  <c r="BP91" i="2"/>
  <c r="N91" i="2"/>
  <c r="AU91" i="8"/>
  <c r="JH91" i="2"/>
  <c r="JI91" i="2" s="1"/>
  <c r="JJ91" i="2" s="1"/>
  <c r="FD91" i="2"/>
  <c r="F91" i="8"/>
  <c r="AT91" i="2"/>
  <c r="DF91" i="2"/>
  <c r="AS91" i="2"/>
  <c r="BQ91" i="2"/>
  <c r="FF91" i="2"/>
  <c r="F91" i="2"/>
  <c r="ID91" i="2"/>
  <c r="CH91" i="2"/>
  <c r="FC91" i="2"/>
  <c r="D91" i="8"/>
  <c r="HQ91" i="2"/>
  <c r="CE91" i="2"/>
  <c r="W91" i="2"/>
  <c r="DN91" i="2"/>
  <c r="AT91" i="8"/>
  <c r="BG91" i="2"/>
  <c r="BG91" i="8"/>
  <c r="IY91" i="2" s="1"/>
  <c r="FZ91" i="2"/>
  <c r="AD91" i="2"/>
  <c r="AC91" i="2"/>
  <c r="CZ91" i="2"/>
  <c r="BF91" i="8"/>
  <c r="IX91" i="2" s="1"/>
  <c r="IN91" i="2"/>
  <c r="AG91" i="8"/>
  <c r="CF91" i="2"/>
  <c r="L91" i="2"/>
  <c r="DA91" i="2"/>
  <c r="HT91" i="2"/>
  <c r="HL91" i="2"/>
  <c r="AP91" i="2"/>
  <c r="N83" i="2"/>
  <c r="FY83" i="2"/>
  <c r="CI83" i="2"/>
  <c r="FG83" i="2"/>
  <c r="T83" i="2"/>
  <c r="E83" i="2"/>
  <c r="CY83" i="2"/>
  <c r="DG83" i="2"/>
  <c r="BV83" i="2"/>
  <c r="BY83" i="2" s="1"/>
  <c r="AU83" i="8"/>
  <c r="F83" i="2"/>
  <c r="F83" i="8"/>
  <c r="BT83" i="2"/>
  <c r="BR83" i="2"/>
  <c r="JH83" i="2"/>
  <c r="JI83" i="2" s="1"/>
  <c r="JJ83" i="2" s="1"/>
  <c r="FD83" i="2"/>
  <c r="BU83" i="2"/>
  <c r="BS83" i="2"/>
  <c r="FE83" i="2"/>
  <c r="BG83" i="8"/>
  <c r="IY83" i="2" s="1"/>
  <c r="DF83" i="2"/>
  <c r="CG83" i="2"/>
  <c r="M83" i="2"/>
  <c r="C83" i="2"/>
  <c r="AV83" i="8"/>
  <c r="AR83" i="2"/>
  <c r="BQ83" i="2"/>
  <c r="DC83" i="2"/>
  <c r="IE83" i="2"/>
  <c r="FH83" i="2"/>
  <c r="AO83" i="2"/>
  <c r="AY83" i="2" s="1"/>
  <c r="Z83" i="2"/>
  <c r="B83" i="2"/>
  <c r="D83" i="2"/>
  <c r="BP83" i="2"/>
  <c r="AM83" i="2"/>
  <c r="IL83" i="2"/>
  <c r="AP83" i="2"/>
  <c r="AT83" i="2"/>
  <c r="CF83" i="2"/>
  <c r="AC83" i="2"/>
  <c r="DN83" i="2"/>
  <c r="AT83" i="8"/>
  <c r="BG83" i="2"/>
  <c r="AS83" i="2"/>
  <c r="FZ83" i="2"/>
  <c r="AD83" i="2"/>
  <c r="Q83" i="2"/>
  <c r="CZ83" i="2"/>
  <c r="BF83" i="8"/>
  <c r="IX83" i="2" s="1"/>
  <c r="IN83" i="2"/>
  <c r="AI83" i="8"/>
  <c r="X83" i="2"/>
  <c r="CH83" i="2"/>
  <c r="AJ83" i="2"/>
  <c r="AK83" i="2" s="1"/>
  <c r="BE83" i="8"/>
  <c r="HR83" i="2"/>
  <c r="V83" i="8"/>
  <c r="GD83" i="2"/>
  <c r="R83" i="2"/>
  <c r="AN83" i="2"/>
  <c r="HU83" i="2"/>
  <c r="HS83" i="2"/>
  <c r="BW75" i="2"/>
  <c r="E75" i="10"/>
  <c r="AG75" i="2"/>
  <c r="FL75" i="2"/>
  <c r="Z75" i="2"/>
  <c r="FF75" i="2"/>
  <c r="T75" i="2"/>
  <c r="JH75" i="2"/>
  <c r="JI75" i="2" s="1"/>
  <c r="JJ75" i="2" s="1"/>
  <c r="FD75" i="2"/>
  <c r="BQ75" i="2"/>
  <c r="BG75" i="8"/>
  <c r="IY75" i="2" s="1"/>
  <c r="DF75" i="2"/>
  <c r="B75" i="2"/>
  <c r="AV75" i="8"/>
  <c r="DC75" i="2"/>
  <c r="C75" i="2"/>
  <c r="AU75" i="8"/>
  <c r="AR75" i="2"/>
  <c r="D75" i="2"/>
  <c r="IL75" i="2"/>
  <c r="AO75" i="2"/>
  <c r="AY75" i="2" s="1"/>
  <c r="BT75" i="2"/>
  <c r="CY75" i="2"/>
  <c r="DG75" i="2"/>
  <c r="BS75" i="2"/>
  <c r="AT75" i="2"/>
  <c r="AF75" i="2"/>
  <c r="E75" i="2"/>
  <c r="AS75" i="2"/>
  <c r="IM75" i="2"/>
  <c r="F75" i="2"/>
  <c r="CF75" i="2"/>
  <c r="CH75" i="2"/>
  <c r="DN75" i="2"/>
  <c r="AT75" i="8"/>
  <c r="BG75" i="2"/>
  <c r="F75" i="8"/>
  <c r="FZ75" i="2"/>
  <c r="AD75" i="2"/>
  <c r="AC75" i="2"/>
  <c r="CZ75" i="2"/>
  <c r="BF75" i="8"/>
  <c r="IX75" i="2" s="1"/>
  <c r="IN75" i="2"/>
  <c r="BP75" i="2"/>
  <c r="AM75" i="2"/>
  <c r="AI75" i="8"/>
  <c r="X75" i="2"/>
  <c r="Q75" i="2"/>
  <c r="AJ75" i="2"/>
  <c r="AK75" i="2" s="1"/>
  <c r="BE75" i="8"/>
  <c r="HR75" i="2"/>
  <c r="AP75" i="2"/>
  <c r="BR75" i="2"/>
  <c r="IE75" i="2"/>
  <c r="V75" i="8"/>
  <c r="GD75" i="2"/>
  <c r="S67" i="2"/>
  <c r="FL67" i="2"/>
  <c r="FY67" i="2"/>
  <c r="T67" i="2"/>
  <c r="AG67" i="2"/>
  <c r="C67" i="2"/>
  <c r="IL67" i="2"/>
  <c r="AR67" i="2"/>
  <c r="M67" i="2"/>
  <c r="D67" i="2"/>
  <c r="AV67" i="8"/>
  <c r="AO67" i="2"/>
  <c r="AY67" i="2" s="1"/>
  <c r="BP67" i="2"/>
  <c r="E67" i="2"/>
  <c r="IM67" i="2"/>
  <c r="DG67" i="2"/>
  <c r="BQ67" i="2"/>
  <c r="FK67" i="2"/>
  <c r="CY67" i="2"/>
  <c r="F67" i="2"/>
  <c r="F67" i="8"/>
  <c r="BG67" i="8"/>
  <c r="IY67" i="2" s="1"/>
  <c r="DF67" i="2"/>
  <c r="BT67" i="2"/>
  <c r="BR67" i="2"/>
  <c r="AP67" i="2"/>
  <c r="B67" i="2"/>
  <c r="BU67" i="2"/>
  <c r="IE67" i="2"/>
  <c r="JH67" i="2"/>
  <c r="JI67" i="2" s="1"/>
  <c r="JJ67" i="2" s="1"/>
  <c r="FD67" i="2"/>
  <c r="AM67" i="2"/>
  <c r="AD67" i="2"/>
  <c r="W67" i="2"/>
  <c r="DN67" i="2"/>
  <c r="AT67" i="8"/>
  <c r="BG67" i="2"/>
  <c r="FZ67" i="2"/>
  <c r="X67" i="2"/>
  <c r="AC67" i="2"/>
  <c r="CZ67" i="2"/>
  <c r="BF67" i="8"/>
  <c r="IX67" i="2" s="1"/>
  <c r="IN67" i="2"/>
  <c r="AI67" i="8"/>
  <c r="CH67" i="2"/>
  <c r="Q67" i="2"/>
  <c r="AJ67" i="2"/>
  <c r="AK67" i="2" s="1"/>
  <c r="BE67" i="8"/>
  <c r="HR67" i="2"/>
  <c r="AU67" i="8"/>
  <c r="AS67" i="2"/>
  <c r="E59" i="10"/>
  <c r="Z59" i="2"/>
  <c r="T59" i="2"/>
  <c r="M59" i="2"/>
  <c r="CY59" i="2"/>
  <c r="BT59" i="2"/>
  <c r="BR59" i="2"/>
  <c r="F59" i="2"/>
  <c r="F59" i="8"/>
  <c r="BU59" i="2"/>
  <c r="BS59" i="2"/>
  <c r="N59" i="2"/>
  <c r="JH59" i="2"/>
  <c r="JI59" i="2" s="1"/>
  <c r="JJ59" i="2" s="1"/>
  <c r="FD59" i="2"/>
  <c r="IL59" i="2"/>
  <c r="DF59" i="2"/>
  <c r="BP59" i="2"/>
  <c r="B59" i="2"/>
  <c r="BG59" i="8"/>
  <c r="IY59" i="2" s="1"/>
  <c r="DC59" i="2"/>
  <c r="D59" i="2"/>
  <c r="AU59" i="8"/>
  <c r="AO59" i="2"/>
  <c r="AY59" i="2" s="1"/>
  <c r="C59" i="2"/>
  <c r="E59" i="2"/>
  <c r="AV59" i="8"/>
  <c r="AP59" i="2"/>
  <c r="AR59" i="2"/>
  <c r="BQ59" i="2"/>
  <c r="AS59" i="2"/>
  <c r="IM59" i="2"/>
  <c r="AT59" i="2"/>
  <c r="AD59" i="2"/>
  <c r="W59" i="2"/>
  <c r="DN59" i="2"/>
  <c r="AT59" i="8"/>
  <c r="BG59" i="2"/>
  <c r="DG59" i="2"/>
  <c r="IE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Y51" i="2"/>
  <c r="FF51" i="2"/>
  <c r="FK51" i="2"/>
  <c r="FL51" i="2"/>
  <c r="Z51" i="2"/>
  <c r="FJ51" i="2"/>
  <c r="IL51" i="2"/>
  <c r="DF51" i="2"/>
  <c r="B51" i="2"/>
  <c r="BG51" i="8"/>
  <c r="IY51" i="2" s="1"/>
  <c r="DC51" i="2"/>
  <c r="J51" i="2"/>
  <c r="FM51" i="2"/>
  <c r="C51" i="2"/>
  <c r="AU51" i="8"/>
  <c r="AR51" i="2"/>
  <c r="BT51" i="2"/>
  <c r="BR51" i="2"/>
  <c r="FY51" i="2"/>
  <c r="CI51" i="2"/>
  <c r="CJ51" i="2" s="1"/>
  <c r="AG51" i="2"/>
  <c r="D51" i="2"/>
  <c r="AV51" i="8"/>
  <c r="AO51" i="2"/>
  <c r="AX51" i="2" s="1"/>
  <c r="BU51" i="2"/>
  <c r="BS51" i="2"/>
  <c r="T51" i="2"/>
  <c r="E51" i="2"/>
  <c r="IM51" i="2"/>
  <c r="DG51" i="2"/>
  <c r="F51" i="10"/>
  <c r="F51" i="2"/>
  <c r="F51" i="8"/>
  <c r="BQ51" i="2"/>
  <c r="AM51" i="2"/>
  <c r="JH51" i="2"/>
  <c r="JI51" i="2" s="1"/>
  <c r="JJ51" i="2" s="1"/>
  <c r="AT51" i="2"/>
  <c r="CY51" i="2"/>
  <c r="FD51" i="2"/>
  <c r="IE51" i="2"/>
  <c r="AP51" i="2"/>
  <c r="BP51" i="2"/>
  <c r="AS51" i="2"/>
  <c r="AF43" i="2"/>
  <c r="FM43" i="2"/>
  <c r="AG43" i="2"/>
  <c r="FH43" i="2"/>
  <c r="Z43" i="2"/>
  <c r="BW43" i="2"/>
  <c r="B43" i="2"/>
  <c r="AV43" i="8"/>
  <c r="DC43" i="2"/>
  <c r="BQ43" i="2"/>
  <c r="C43" i="2"/>
  <c r="BG43" i="8"/>
  <c r="IV43" i="2" s="1"/>
  <c r="IW43" i="2" s="1"/>
  <c r="AR43" i="2"/>
  <c r="IM43" i="2"/>
  <c r="AO43" i="2"/>
  <c r="AW43" i="2" s="1"/>
  <c r="AU43" i="8"/>
  <c r="DG43" i="2"/>
  <c r="F43" i="8"/>
  <c r="E43" i="2"/>
  <c r="JH43" i="2"/>
  <c r="JI43" i="2" s="1"/>
  <c r="JJ43" i="2" s="1"/>
  <c r="CY43" i="2"/>
  <c r="BS43" i="2"/>
  <c r="DF43" i="2"/>
  <c r="BP43" i="2"/>
  <c r="AM43" i="2"/>
  <c r="BT43" i="2"/>
  <c r="BR43" i="2"/>
  <c r="M43" i="2"/>
  <c r="BU43" i="2"/>
  <c r="D43" i="2"/>
  <c r="IL43" i="2"/>
  <c r="AP43" i="2"/>
  <c r="F43" i="2"/>
  <c r="FF35" i="2"/>
  <c r="T35" i="2"/>
  <c r="S35" i="2"/>
  <c r="FL35" i="2"/>
  <c r="CI35" i="2"/>
  <c r="CK35" i="2" s="1"/>
  <c r="AF35" i="2"/>
  <c r="AU35" i="2"/>
  <c r="E35" i="2"/>
  <c r="FW35" i="2"/>
  <c r="B35" i="2"/>
  <c r="FD35" i="2"/>
  <c r="F35" i="10"/>
  <c r="D35" i="2"/>
  <c r="C35" i="2"/>
  <c r="F35" i="2"/>
  <c r="CY35" i="2"/>
  <c r="E35" i="10"/>
  <c r="AG35" i="2"/>
  <c r="A19" i="1"/>
  <c r="FM19" i="2"/>
  <c r="FL19" i="2"/>
  <c r="F19" i="10"/>
  <c r="FK19" i="2"/>
  <c r="E19" i="10"/>
  <c r="E19" i="2"/>
  <c r="FE19" i="2"/>
  <c r="D19" i="2"/>
  <c r="FF19" i="2"/>
  <c r="B19" i="2"/>
  <c r="AM19" i="2"/>
  <c r="D19" i="8" s="1"/>
  <c r="FJ19" i="2"/>
  <c r="C19" i="2"/>
  <c r="FD19" i="2"/>
  <c r="D139" i="10"/>
  <c r="HS59" i="2"/>
  <c r="IO59" i="2"/>
  <c r="L59" i="2"/>
  <c r="AH59" i="8"/>
  <c r="HL67" i="2"/>
  <c r="JA67" i="2"/>
  <c r="CF67" i="2"/>
  <c r="V67" i="8"/>
  <c r="HQ75" i="2"/>
  <c r="AN75" i="2"/>
  <c r="CE75" i="2"/>
  <c r="D83" i="8"/>
  <c r="GE83" i="2"/>
  <c r="BE91" i="8"/>
  <c r="Q91" i="2"/>
  <c r="AI91" i="8"/>
  <c r="HT99" i="2"/>
  <c r="L99" i="2"/>
  <c r="AG99" i="8"/>
  <c r="CQ123" i="2"/>
  <c r="Q123" i="2"/>
  <c r="IN131" i="2"/>
  <c r="AD131" i="2"/>
  <c r="AJ139" i="2"/>
  <c r="AK139" i="2" s="1"/>
  <c r="HS147" i="2"/>
  <c r="AC147" i="2"/>
  <c r="L155" i="2"/>
  <c r="HT163" i="2"/>
  <c r="HR171" i="2"/>
  <c r="CE171" i="2"/>
  <c r="CZ179" i="2"/>
  <c r="IO187" i="2"/>
  <c r="HM195" i="2"/>
  <c r="IE115" i="2"/>
  <c r="D147" i="10"/>
  <c r="HL59" i="2"/>
  <c r="JA59" i="2"/>
  <c r="CF59" i="2"/>
  <c r="V59" i="8"/>
  <c r="HQ67" i="2"/>
  <c r="AN67" i="2"/>
  <c r="CE67" i="2"/>
  <c r="AG67" i="8"/>
  <c r="IZ75" i="2"/>
  <c r="DA75" i="2"/>
  <c r="GE75" i="2"/>
  <c r="CQ83" i="2"/>
  <c r="IO83" i="2"/>
  <c r="W83" i="2"/>
  <c r="CQ91" i="2"/>
  <c r="IO91" i="2"/>
  <c r="GE91" i="2"/>
  <c r="BF99" i="8"/>
  <c r="IX99" i="2" s="1"/>
  <c r="AC99" i="2"/>
  <c r="FZ99" i="2"/>
  <c r="BF123" i="8"/>
  <c r="IX123" i="2" s="1"/>
  <c r="CE123" i="2"/>
  <c r="BF131" i="8"/>
  <c r="IX131" i="2" s="1"/>
  <c r="AC131" i="2"/>
  <c r="CZ139" i="2"/>
  <c r="HP147" i="2"/>
  <c r="ID147" i="2"/>
  <c r="AE155" i="2"/>
  <c r="CZ163" i="2"/>
  <c r="HM171" i="2"/>
  <c r="ID171" i="2"/>
  <c r="CH179" i="2"/>
  <c r="AJ187" i="2"/>
  <c r="AK187" i="2" s="1"/>
  <c r="IN195" i="2"/>
  <c r="AM115" i="2"/>
  <c r="DC67" i="2"/>
  <c r="D155" i="10"/>
  <c r="HQ59" i="2"/>
  <c r="AN59" i="2"/>
  <c r="GE59" i="2"/>
  <c r="AG59" i="8"/>
  <c r="IZ67" i="2"/>
  <c r="DA67" i="2"/>
  <c r="GE67" i="2"/>
  <c r="HP75" i="2"/>
  <c r="FC75" i="2"/>
  <c r="AE75" i="2"/>
  <c r="HM83" i="2"/>
  <c r="JA83" i="2"/>
  <c r="CE83" i="2"/>
  <c r="HM91" i="2"/>
  <c r="JA91" i="2"/>
  <c r="GD91" i="2"/>
  <c r="HM99" i="2"/>
  <c r="JA99" i="2"/>
  <c r="GD99" i="2"/>
  <c r="AT123" i="8"/>
  <c r="GD123" i="2"/>
  <c r="AT131" i="8"/>
  <c r="FZ131" i="2"/>
  <c r="DM139" i="2"/>
  <c r="HT147" i="2"/>
  <c r="IZ155" i="2"/>
  <c r="W155" i="2"/>
  <c r="DN163" i="2"/>
  <c r="BF171" i="8"/>
  <c r="IX171" i="2" s="1"/>
  <c r="AI171" i="8"/>
  <c r="CF179" i="2"/>
  <c r="DA187" i="2"/>
  <c r="JA195" i="2"/>
  <c r="AT139" i="2"/>
  <c r="BQ155" i="2"/>
  <c r="D163" i="10"/>
  <c r="IZ59" i="2"/>
  <c r="DA59" i="2"/>
  <c r="CE59" i="2"/>
  <c r="HP67" i="2"/>
  <c r="DM67" i="2"/>
  <c r="GD67" i="2"/>
  <c r="HU75" i="2"/>
  <c r="DM75" i="2"/>
  <c r="ID75" i="2"/>
  <c r="HL83" i="2"/>
  <c r="DA83" i="2"/>
  <c r="AE83" i="2"/>
  <c r="HS91" i="2"/>
  <c r="AN91" i="2"/>
  <c r="AE91" i="2"/>
  <c r="HS99" i="2"/>
  <c r="AN99" i="2"/>
  <c r="AE99" i="2"/>
  <c r="CZ115" i="2"/>
  <c r="D123" i="8"/>
  <c r="IC123" i="2"/>
  <c r="D131" i="8"/>
  <c r="W139" i="2"/>
  <c r="BF147" i="8"/>
  <c r="IX147" i="2" s="1"/>
  <c r="HM155" i="2"/>
  <c r="AI155" i="8"/>
  <c r="AN163" i="2"/>
  <c r="AT171" i="8"/>
  <c r="IN179" i="2"/>
  <c r="AC179" i="2"/>
  <c r="GE187" i="2"/>
  <c r="AN195" i="2"/>
  <c r="AM35" i="2"/>
  <c r="AT147" i="2"/>
  <c r="D171" i="10"/>
  <c r="HP59" i="2"/>
  <c r="FC59" i="2"/>
  <c r="GD59" i="2"/>
  <c r="HU67" i="2"/>
  <c r="FC67" i="2"/>
  <c r="AE67" i="2"/>
  <c r="CQ75" i="2"/>
  <c r="HT75" i="2"/>
  <c r="FB75" i="2"/>
  <c r="IC75" i="2"/>
  <c r="HQ83" i="2"/>
  <c r="DM83" i="2"/>
  <c r="ID83" i="2"/>
  <c r="HR91" i="2"/>
  <c r="AJ91" i="2"/>
  <c r="AK91" i="2" s="1"/>
  <c r="X91" i="2"/>
  <c r="HL99" i="2"/>
  <c r="DA99" i="2"/>
  <c r="CF99" i="2"/>
  <c r="DA115" i="2"/>
  <c r="AN123" i="2"/>
  <c r="AI123" i="8"/>
  <c r="AN131" i="2"/>
  <c r="HS139" i="2"/>
  <c r="GE139" i="2"/>
  <c r="AN147" i="2"/>
  <c r="IN155" i="2"/>
  <c r="AH155" i="8"/>
  <c r="CH163" i="2"/>
  <c r="D171" i="8"/>
  <c r="CQ179" i="2"/>
  <c r="AD187" i="2"/>
  <c r="CZ195" i="2"/>
  <c r="AM59" i="2"/>
  <c r="AS171" i="2"/>
  <c r="BS67" i="2"/>
  <c r="C179" i="2"/>
  <c r="G147" i="10"/>
  <c r="G131" i="10"/>
  <c r="G107" i="10"/>
  <c r="G91" i="10"/>
  <c r="G179" i="10"/>
  <c r="G195" i="10"/>
  <c r="G163" i="10"/>
  <c r="G51" i="10"/>
  <c r="G18" i="10"/>
  <c r="A178" i="1"/>
  <c r="AL178" i="2" s="1"/>
  <c r="DF116" i="2"/>
  <c r="DF52" i="2"/>
  <c r="DF156" i="2"/>
  <c r="DF92" i="2"/>
  <c r="DF132" i="2"/>
  <c r="DF68" i="2"/>
  <c r="DF179" i="2"/>
  <c r="DF108" i="2"/>
  <c r="DF44" i="2"/>
  <c r="EY10" i="2"/>
  <c r="DF164" i="2"/>
  <c r="DF100" i="2"/>
  <c r="FX194" i="2"/>
  <c r="Z194" i="2"/>
  <c r="DE194" i="2"/>
  <c r="E194" i="10"/>
  <c r="S194" i="2"/>
  <c r="FW194" i="2"/>
  <c r="M194" i="2"/>
  <c r="AF194" i="2"/>
  <c r="FL194" i="2"/>
  <c r="N194" i="2"/>
  <c r="AG186" i="2"/>
  <c r="FG186" i="2"/>
  <c r="Z186" i="2"/>
  <c r="S186" i="2"/>
  <c r="A186" i="1"/>
  <c r="FW186" i="2"/>
  <c r="M186" i="2"/>
  <c r="T186" i="2"/>
  <c r="N178" i="2"/>
  <c r="AG178" i="2"/>
  <c r="FM178" i="2"/>
  <c r="Z178" i="2"/>
  <c r="FL178" i="2"/>
  <c r="S178" i="2"/>
  <c r="Y178" i="2"/>
  <c r="FM170" i="2"/>
  <c r="S170" i="2"/>
  <c r="N170" i="2"/>
  <c r="FK170" i="2"/>
  <c r="FL170" i="2"/>
  <c r="AG170" i="2"/>
  <c r="BV170" i="2"/>
  <c r="BX170" i="2" s="1"/>
  <c r="Z170" i="2"/>
  <c r="AF170" i="2"/>
  <c r="Y162" i="2"/>
  <c r="FL162" i="2"/>
  <c r="S162" i="2"/>
  <c r="N162" i="2"/>
  <c r="FJ162" i="2"/>
  <c r="AG162" i="2"/>
  <c r="FM162" i="2"/>
  <c r="FW162" i="2"/>
  <c r="T162" i="2"/>
  <c r="FL154" i="2"/>
  <c r="S154" i="2"/>
  <c r="N154" i="2"/>
  <c r="AG154" i="2"/>
  <c r="Z154" i="2"/>
  <c r="AF154" i="2"/>
  <c r="A154" i="1"/>
  <c r="AL154" i="2" s="1"/>
  <c r="FH146" i="2"/>
  <c r="Y146" i="2"/>
  <c r="BF146" i="2"/>
  <c r="S146" i="2"/>
  <c r="DI146" i="2"/>
  <c r="FM146" i="2"/>
  <c r="N146" i="2"/>
  <c r="AG146" i="2"/>
  <c r="FW146" i="2"/>
  <c r="T146" i="2"/>
  <c r="FT138" i="2"/>
  <c r="FM138" i="2"/>
  <c r="AF138" i="2"/>
  <c r="Y138" i="2"/>
  <c r="S138" i="2"/>
  <c r="N138" i="2"/>
  <c r="FL138" i="2"/>
  <c r="M138" i="2"/>
  <c r="FW130" i="2"/>
  <c r="T130" i="2"/>
  <c r="FE130" i="2"/>
  <c r="AF130" i="2"/>
  <c r="Y130" i="2"/>
  <c r="S130" i="2"/>
  <c r="FK130" i="2"/>
  <c r="FM130" i="2"/>
  <c r="Z130" i="2"/>
  <c r="AF122" i="2"/>
  <c r="Y122" i="2"/>
  <c r="S122" i="2"/>
  <c r="N122" i="2"/>
  <c r="M122" i="2"/>
  <c r="FW114" i="2"/>
  <c r="T114" i="2"/>
  <c r="AF114" i="2"/>
  <c r="FL114" i="2"/>
  <c r="Y114" i="2"/>
  <c r="GB114" i="2"/>
  <c r="S114" i="2"/>
  <c r="Z114" i="2"/>
  <c r="AG106" i="2"/>
  <c r="Z106" i="2"/>
  <c r="T98" i="2"/>
  <c r="FW98" i="2"/>
  <c r="M98" i="2"/>
  <c r="FM98" i="2"/>
  <c r="AF98" i="2"/>
  <c r="E98" i="10"/>
  <c r="Y98" i="2"/>
  <c r="AG98" i="2"/>
  <c r="FM90" i="2"/>
  <c r="AF90" i="2"/>
  <c r="FK90" i="2"/>
  <c r="Y90" i="2"/>
  <c r="S90" i="2"/>
  <c r="N90" i="2"/>
  <c r="T90" i="2"/>
  <c r="FK82" i="2"/>
  <c r="FW82" i="2"/>
  <c r="M82" i="2"/>
  <c r="CI82" i="2"/>
  <c r="CJ82" i="2" s="1"/>
  <c r="AF82" i="2"/>
  <c r="Y82" i="2"/>
  <c r="FL82" i="2"/>
  <c r="S82" i="2"/>
  <c r="Z82" i="2"/>
  <c r="Z74" i="2"/>
  <c r="T74" i="2"/>
  <c r="FW74" i="2"/>
  <c r="M74" i="2"/>
  <c r="AF74" i="2"/>
  <c r="N74" i="2"/>
  <c r="GM66" i="2"/>
  <c r="FL66" i="2"/>
  <c r="AG66" i="2"/>
  <c r="Z66" i="2"/>
  <c r="T66" i="2"/>
  <c r="FW66" i="2"/>
  <c r="M66" i="2"/>
  <c r="DD66" i="2"/>
  <c r="FM66" i="2"/>
  <c r="S66" i="2"/>
  <c r="CI58" i="2"/>
  <c r="CK58" i="2" s="1"/>
  <c r="T58" i="2"/>
  <c r="FW58" i="2"/>
  <c r="M58" i="2"/>
  <c r="GN58" i="2"/>
  <c r="AF58" i="2"/>
  <c r="AG58" i="2"/>
  <c r="FE58" i="2"/>
  <c r="N58" i="2"/>
  <c r="DB50" i="2"/>
  <c r="DL50" i="2" s="1"/>
  <c r="S50" i="2"/>
  <c r="FF50" i="2"/>
  <c r="N50" i="2"/>
  <c r="Z50" i="2"/>
  <c r="FM50" i="2"/>
  <c r="T50" i="2"/>
  <c r="AG50" i="2"/>
  <c r="Y42" i="2"/>
  <c r="FM42" i="2"/>
  <c r="S42" i="2"/>
  <c r="N42" i="2"/>
  <c r="Z42" i="2"/>
  <c r="CG42" i="2"/>
  <c r="AF42" i="2"/>
  <c r="Z34" i="2"/>
  <c r="DI34" i="2"/>
  <c r="T34" i="2"/>
  <c r="FL34" i="2"/>
  <c r="FW34" i="2"/>
  <c r="M34" i="2"/>
  <c r="DH34" i="2"/>
  <c r="AF34" i="2"/>
  <c r="S34" i="2"/>
  <c r="A18" i="1"/>
  <c r="FL18" i="2"/>
  <c r="A162" i="1"/>
  <c r="N98" i="2"/>
  <c r="FW138" i="2"/>
  <c r="Z122" i="2"/>
  <c r="Y170" i="2"/>
  <c r="AF186" i="2"/>
  <c r="Z90" i="2"/>
  <c r="FM186" i="2"/>
  <c r="FM58" i="2"/>
  <c r="BW34" i="2"/>
  <c r="FT58" i="2"/>
  <c r="S98" i="2"/>
  <c r="M146" i="2"/>
  <c r="AG122" i="2"/>
  <c r="FW170" i="2"/>
  <c r="AG194" i="2"/>
  <c r="Z58" i="2"/>
  <c r="AG90" i="2"/>
  <c r="FK50" i="2"/>
  <c r="FG42" i="2"/>
  <c r="AU179" i="2"/>
  <c r="AU34" i="2"/>
  <c r="DJ146" i="2"/>
  <c r="M130" i="2"/>
  <c r="Z146" i="2"/>
  <c r="FW122" i="2"/>
  <c r="M178" i="2"/>
  <c r="T194" i="2"/>
  <c r="FW90" i="2"/>
  <c r="FL90" i="2"/>
  <c r="FK34" i="2"/>
  <c r="F170" i="10"/>
  <c r="GQ82" i="2"/>
  <c r="A170" i="1"/>
  <c r="A194" i="1"/>
  <c r="AG130" i="2"/>
  <c r="AF146" i="2"/>
  <c r="AF66" i="2"/>
  <c r="M162" i="2"/>
  <c r="T178" i="2"/>
  <c r="Y194" i="2"/>
  <c r="Y58" i="2"/>
  <c r="FL186" i="2"/>
  <c r="FL58" i="2"/>
  <c r="FM154" i="2"/>
  <c r="FK194" i="2"/>
  <c r="AQ66" i="2"/>
  <c r="DH170" i="2"/>
  <c r="G116" i="10"/>
  <c r="A3" i="1"/>
  <c r="A4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A103" i="2" s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A167" i="2" s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A47" i="2" s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AL143" i="2" s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AL95" i="2" s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AX79" i="2" s="1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L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Y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IY61" i="2" s="1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BI39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E7" i="2"/>
  <c r="D7" i="2"/>
  <c r="C7" i="2"/>
  <c r="BE11" i="8"/>
  <c r="D12" i="10"/>
  <c r="CZ11" i="2"/>
  <c r="V10" i="8"/>
  <c r="IY186" i="2"/>
  <c r="A39" i="2"/>
  <c r="D6" i="2"/>
  <c r="AW107" i="2"/>
  <c r="DP34" i="2"/>
  <c r="AX180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AX163" i="2"/>
  <c r="AW51" i="2"/>
  <c r="C6" i="2"/>
  <c r="AX42" i="2"/>
  <c r="AW75" i="2"/>
  <c r="E6" i="2"/>
  <c r="D10" i="10"/>
  <c r="AT10" i="8"/>
  <c r="D10" i="8"/>
  <c r="AG10" i="8"/>
  <c r="CZ10" i="2"/>
  <c r="D9" i="10"/>
  <c r="AX60" i="2"/>
  <c r="AY149" i="2"/>
  <c r="AW76" i="2"/>
  <c r="AY51" i="2"/>
  <c r="AW42" i="2"/>
  <c r="AW67" i="2"/>
  <c r="AX67" i="2"/>
  <c r="AW148" i="2"/>
  <c r="AY52" i="2"/>
  <c r="AY132" i="2"/>
  <c r="A197" i="2"/>
  <c r="AW163" i="2"/>
  <c r="AX171" i="2"/>
  <c r="AW180" i="2"/>
  <c r="AY115" i="2"/>
  <c r="AX132" i="2"/>
  <c r="AY68" i="2"/>
  <c r="AX99" i="2"/>
  <c r="AX187" i="2"/>
  <c r="AX147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BI178" i="2"/>
  <c r="BJ58" i="2"/>
  <c r="E5" i="2"/>
  <c r="D5" i="2"/>
  <c r="DA5" i="2"/>
  <c r="C5" i="2"/>
  <c r="AI5" i="8" s="1"/>
  <c r="DR120" i="2"/>
  <c r="BI45" i="2"/>
  <c r="BJ77" i="2"/>
  <c r="AX114" i="2"/>
  <c r="A80" i="2"/>
  <c r="IY42" i="2"/>
  <c r="IV114" i="2"/>
  <c r="IW114" i="2" s="1"/>
  <c r="AY39" i="2"/>
  <c r="IY66" i="2"/>
  <c r="IY162" i="2"/>
  <c r="DP120" i="2"/>
  <c r="A88" i="2"/>
  <c r="AM4" i="2"/>
  <c r="V4" i="8" s="1"/>
  <c r="BY53" i="2"/>
  <c r="AW156" i="2"/>
  <c r="IY178" i="2"/>
  <c r="IY122" i="2"/>
  <c r="AX156" i="2"/>
  <c r="BJ196" i="2"/>
  <c r="BY85" i="2"/>
  <c r="BX69" i="2"/>
  <c r="AL34" i="2"/>
  <c r="IV146" i="2"/>
  <c r="IW146" i="2" s="1"/>
  <c r="IV98" i="2"/>
  <c r="IW98" i="2" s="1"/>
  <c r="AL104" i="2"/>
  <c r="A56" i="2"/>
  <c r="IV74" i="2"/>
  <c r="IW74" i="2" s="1"/>
  <c r="IV59" i="2"/>
  <c r="IW59" i="2" s="1"/>
  <c r="IV170" i="2"/>
  <c r="IW170" i="2" s="1"/>
  <c r="E4" i="10"/>
  <c r="FB4" i="2" s="1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109" i="2"/>
  <c r="IY52" i="2"/>
  <c r="AY50" i="2"/>
  <c r="AW50" i="2"/>
  <c r="IV91" i="2"/>
  <c r="IW91" i="2" s="1"/>
  <c r="IY92" i="2"/>
  <c r="AL130" i="2"/>
  <c r="BJ140" i="2"/>
  <c r="IV60" i="2"/>
  <c r="IW60" i="2" s="1"/>
  <c r="A58" i="2"/>
  <c r="BX130" i="2"/>
  <c r="IY187" i="2"/>
  <c r="AX178" i="2"/>
  <c r="AW34" i="2"/>
  <c r="AW114" i="2"/>
  <c r="AW151" i="2"/>
  <c r="BI36" i="2"/>
  <c r="IY163" i="2"/>
  <c r="IY124" i="2"/>
  <c r="AY178" i="2"/>
  <c r="AL74" i="2"/>
  <c r="CJ35" i="2"/>
  <c r="BI52" i="2"/>
  <c r="IV148" i="2"/>
  <c r="IW148" i="2" s="1"/>
  <c r="IV108" i="2"/>
  <c r="IW108" i="2" s="1"/>
  <c r="AY186" i="2"/>
  <c r="AL186" i="2"/>
  <c r="BY140" i="2"/>
  <c r="A42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IV107" i="2"/>
  <c r="IW107" i="2" s="1"/>
  <c r="DR45" i="2"/>
  <c r="IV164" i="2"/>
  <c r="IW164" i="2" s="1"/>
  <c r="IV140" i="2"/>
  <c r="IW140" i="2" s="1"/>
  <c r="A66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114" i="2"/>
  <c r="BI98" i="2"/>
  <c r="A98" i="2"/>
  <c r="IV44" i="2"/>
  <c r="IW44" i="2" s="1"/>
  <c r="IV100" i="2"/>
  <c r="IW100" i="2" s="1"/>
  <c r="IV132" i="2"/>
  <c r="IW132" i="2" s="1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BY184" i="2"/>
  <c r="A82" i="2"/>
  <c r="BY200" i="2"/>
  <c r="BY112" i="2"/>
  <c r="E4" i="2"/>
  <c r="D4" i="2"/>
  <c r="C4" i="2"/>
  <c r="BY125" i="2"/>
  <c r="BY178" i="2"/>
  <c r="BY42" i="2"/>
  <c r="BX66" i="2"/>
  <c r="AX34" i="2"/>
  <c r="BY146" i="2"/>
  <c r="BY77" i="2"/>
  <c r="BY50" i="2"/>
  <c r="BY37" i="2"/>
  <c r="BY172" i="2"/>
  <c r="BY116" i="2"/>
  <c r="BY170" i="2"/>
  <c r="BI64" i="2"/>
  <c r="AY191" i="2"/>
  <c r="BY175" i="2"/>
  <c r="BY151" i="2"/>
  <c r="BY71" i="2"/>
  <c r="BY47" i="2"/>
  <c r="A200" i="2"/>
  <c r="BJ104" i="2"/>
  <c r="IV53" i="2"/>
  <c r="IW53" i="2" s="1"/>
  <c r="BY103" i="2"/>
  <c r="BY79" i="2"/>
  <c r="BI112" i="2"/>
  <c r="IY36" i="2"/>
  <c r="BY159" i="2"/>
  <c r="BY31" i="2"/>
  <c r="CJ58" i="2"/>
  <c r="AY90" i="2"/>
  <c r="BY111" i="2"/>
  <c r="BY87" i="2"/>
  <c r="BY143" i="2"/>
  <c r="BY119" i="2"/>
  <c r="BY39" i="2"/>
  <c r="IY34" i="2"/>
  <c r="IV30" i="2"/>
  <c r="IW30" i="2" s="1"/>
  <c r="BX131" i="2"/>
  <c r="AX63" i="2"/>
  <c r="AY79" i="2"/>
  <c r="AW58" i="2"/>
  <c r="AY58" i="2"/>
  <c r="AY154" i="2"/>
  <c r="AW154" i="2"/>
  <c r="AY195" i="2"/>
  <c r="AX195" i="2"/>
  <c r="A67" i="2"/>
  <c r="AW195" i="2"/>
  <c r="CK123" i="2"/>
  <c r="CJ123" i="2"/>
  <c r="CJ83" i="2"/>
  <c r="CK83" i="2"/>
  <c r="BX58" i="2"/>
  <c r="E3" i="2"/>
  <c r="BY186" i="2"/>
  <c r="D3" i="2"/>
  <c r="C3" i="2"/>
  <c r="BJ154" i="2"/>
  <c r="BY34" i="2"/>
  <c r="CK82" i="2"/>
  <c r="D13" i="8"/>
  <c r="BE13" i="8"/>
  <c r="CZ7" i="2"/>
  <c r="AT13" i="8"/>
  <c r="D13" i="10"/>
  <c r="AG13" i="8"/>
  <c r="D7" i="8"/>
  <c r="V13" i="8"/>
  <c r="AX108" i="2"/>
  <c r="AX84" i="2"/>
  <c r="AW60" i="2"/>
  <c r="AW124" i="2"/>
  <c r="AY44" i="2"/>
  <c r="AY92" i="2"/>
  <c r="AY172" i="2"/>
  <c r="AX162" i="2"/>
  <c r="AW82" i="2"/>
  <c r="AW84" i="2"/>
  <c r="AW164" i="2"/>
  <c r="AW98" i="2"/>
  <c r="AX44" i="2"/>
  <c r="AX36" i="2"/>
  <c r="AX98" i="2"/>
  <c r="CJ184" i="2"/>
  <c r="AY116" i="2"/>
  <c r="AY164" i="2"/>
  <c r="AW92" i="2"/>
  <c r="AW116" i="2"/>
  <c r="AY82" i="2"/>
  <c r="CK151" i="2"/>
  <c r="AY36" i="2"/>
  <c r="AW108" i="2"/>
  <c r="AX124" i="2"/>
  <c r="AX76" i="2"/>
  <c r="AY162" i="2"/>
  <c r="AW172" i="2"/>
  <c r="CJ192" i="2"/>
  <c r="IY35" i="2"/>
  <c r="A63" i="2"/>
  <c r="AX125" i="2"/>
  <c r="AY35" i="2"/>
  <c r="AW35" i="2"/>
  <c r="BY171" i="2"/>
  <c r="BX171" i="2"/>
  <c r="BY147" i="2"/>
  <c r="BX147" i="2"/>
  <c r="BY123" i="2"/>
  <c r="BX123" i="2"/>
  <c r="BX99" i="2"/>
  <c r="BY99" i="2"/>
  <c r="BY75" i="2"/>
  <c r="BX75" i="2"/>
  <c r="BY51" i="2"/>
  <c r="BX51" i="2"/>
  <c r="BY43" i="2"/>
  <c r="BX43" i="2"/>
  <c r="BY35" i="2"/>
  <c r="BX35" i="2"/>
  <c r="BX195" i="2"/>
  <c r="CK194" i="2"/>
  <c r="CK162" i="2"/>
  <c r="CK34" i="2"/>
  <c r="CJ53" i="2"/>
  <c r="AY30" i="2"/>
  <c r="AX30" i="2"/>
  <c r="B2" i="2"/>
  <c r="AM2" i="2"/>
  <c r="E2" i="10"/>
  <c r="DQ9" i="2"/>
  <c r="FP8" i="2"/>
  <c r="DQ6" i="2"/>
  <c r="DS6" i="2" s="1"/>
  <c r="BJ118" i="2"/>
  <c r="BI118" i="2"/>
  <c r="AY122" i="2"/>
  <c r="AX194" i="2"/>
  <c r="AW194" i="2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CJ119" i="2" l="1"/>
  <c r="BI34" i="2"/>
  <c r="D9" i="8"/>
  <c r="IV51" i="2"/>
  <c r="IW51" i="2" s="1"/>
  <c r="CK107" i="2"/>
  <c r="AW101" i="2"/>
  <c r="BJ53" i="2"/>
  <c r="AG9" i="8"/>
  <c r="AT9" i="8"/>
  <c r="BY122" i="2"/>
  <c r="BX93" i="2"/>
  <c r="AY155" i="2"/>
  <c r="BY48" i="2"/>
  <c r="BX194" i="2"/>
  <c r="BX174" i="2"/>
  <c r="AX43" i="2"/>
  <c r="BJ85" i="2"/>
  <c r="V9" i="8"/>
  <c r="BX155" i="2"/>
  <c r="AY43" i="2"/>
  <c r="BJ138" i="2"/>
  <c r="BY199" i="2"/>
  <c r="AX83" i="2"/>
  <c r="BE9" i="8"/>
  <c r="BY138" i="2"/>
  <c r="AW83" i="2"/>
  <c r="AX155" i="2"/>
  <c r="A143" i="2"/>
  <c r="BY127" i="2"/>
  <c r="CK51" i="2"/>
  <c r="AX151" i="2"/>
  <c r="AX91" i="2"/>
  <c r="AX59" i="2"/>
  <c r="AY125" i="2"/>
  <c r="CJ135" i="2"/>
  <c r="BX101" i="2"/>
  <c r="AI4" i="8"/>
  <c r="AX179" i="2"/>
  <c r="IY151" i="2"/>
  <c r="BX83" i="2"/>
  <c r="AW191" i="2"/>
  <c r="AW79" i="2"/>
  <c r="AW91" i="2"/>
  <c r="IV195" i="2"/>
  <c r="IW195" i="2" s="1"/>
  <c r="AX149" i="2"/>
  <c r="CK175" i="2"/>
  <c r="CJ55" i="2"/>
  <c r="IV123" i="2"/>
  <c r="IW123" i="2" s="1"/>
  <c r="AW117" i="2"/>
  <c r="CJ87" i="2"/>
  <c r="CK61" i="2"/>
  <c r="AY117" i="2"/>
  <c r="BJ126" i="2"/>
  <c r="CJ100" i="2"/>
  <c r="BJ117" i="2"/>
  <c r="BJ69" i="2"/>
  <c r="BY88" i="2"/>
  <c r="BX163" i="2"/>
  <c r="BY179" i="2"/>
  <c r="CK45" i="2"/>
  <c r="BX187" i="2"/>
  <c r="CK114" i="2"/>
  <c r="BJ82" i="2"/>
  <c r="AI8" i="8"/>
  <c r="A5" i="1"/>
  <c r="A6" i="1" s="1"/>
  <c r="CK98" i="2"/>
  <c r="CK172" i="2"/>
  <c r="CK143" i="2"/>
  <c r="IV135" i="2"/>
  <c r="IW135" i="2" s="1"/>
  <c r="AX159" i="2"/>
  <c r="CJ56" i="2"/>
  <c r="DR93" i="2"/>
  <c r="AY167" i="2"/>
  <c r="AL51" i="2"/>
  <c r="A83" i="2"/>
  <c r="IV72" i="2"/>
  <c r="IW72" i="2" s="1"/>
  <c r="IV40" i="2"/>
  <c r="IW40" i="2" s="1"/>
  <c r="AL91" i="2"/>
  <c r="DR34" i="2"/>
  <c r="AL35" i="2"/>
  <c r="DP180" i="2"/>
  <c r="DR48" i="2"/>
  <c r="CK155" i="2"/>
  <c r="DP48" i="2"/>
  <c r="DR180" i="2"/>
  <c r="IV117" i="2"/>
  <c r="IW117" i="2" s="1"/>
  <c r="AL59" i="2"/>
  <c r="AY109" i="2"/>
  <c r="IV127" i="2"/>
  <c r="IW127" i="2" s="1"/>
  <c r="AY55" i="2"/>
  <c r="AX31" i="2"/>
  <c r="AX55" i="2"/>
  <c r="A181" i="2"/>
  <c r="IY55" i="2"/>
  <c r="CJ37" i="2"/>
  <c r="A157" i="2"/>
  <c r="IV69" i="2"/>
  <c r="IW69" i="2" s="1"/>
  <c r="IY125" i="2"/>
  <c r="AY47" i="2"/>
  <c r="A69" i="2"/>
  <c r="AY119" i="2"/>
  <c r="AW77" i="2"/>
  <c r="IV39" i="2"/>
  <c r="IW39" i="2" s="1"/>
  <c r="IV191" i="2"/>
  <c r="IW191" i="2" s="1"/>
  <c r="CJ149" i="2"/>
  <c r="DP93" i="2"/>
  <c r="AX77" i="2"/>
  <c r="AX167" i="2"/>
  <c r="AW69" i="2"/>
  <c r="IV95" i="2"/>
  <c r="IW95" i="2" s="1"/>
  <c r="CJ48" i="2"/>
  <c r="AW103" i="2"/>
  <c r="IV61" i="2"/>
  <c r="IW61" i="2" s="1"/>
  <c r="CK93" i="2"/>
  <c r="AW111" i="2"/>
  <c r="AL52" i="2"/>
  <c r="AW109" i="2"/>
  <c r="CK108" i="2"/>
  <c r="AY69" i="2"/>
  <c r="IV159" i="2"/>
  <c r="IW159" i="2" s="1"/>
  <c r="AY71" i="2"/>
  <c r="DR141" i="2"/>
  <c r="AY111" i="2"/>
  <c r="IY183" i="2"/>
  <c r="IV133" i="2"/>
  <c r="IW133" i="2" s="1"/>
  <c r="AW31" i="2"/>
  <c r="CJ101" i="2"/>
  <c r="IV165" i="2"/>
  <c r="IW165" i="2" s="1"/>
  <c r="AY199" i="2"/>
  <c r="IV71" i="2"/>
  <c r="IW71" i="2" s="1"/>
  <c r="CJ117" i="2"/>
  <c r="AX199" i="2"/>
  <c r="AX71" i="2"/>
  <c r="CK157" i="2"/>
  <c r="DR69" i="2"/>
  <c r="IV87" i="2"/>
  <c r="IW87" i="2" s="1"/>
  <c r="IV79" i="2"/>
  <c r="IW79" i="2" s="1"/>
  <c r="DP31" i="2"/>
  <c r="IY167" i="2"/>
  <c r="AX143" i="2"/>
  <c r="DS31" i="2"/>
  <c r="CJ197" i="2"/>
  <c r="CJ63" i="2"/>
  <c r="AW143" i="2"/>
  <c r="IV199" i="2"/>
  <c r="IW199" i="2" s="1"/>
  <c r="CK66" i="2"/>
  <c r="CJ44" i="2"/>
  <c r="AX135" i="2"/>
  <c r="DR164" i="2"/>
  <c r="AX53" i="2"/>
  <c r="CJ200" i="2"/>
  <c r="DP138" i="2"/>
  <c r="CK171" i="2"/>
  <c r="CJ69" i="2"/>
  <c r="A75" i="2"/>
  <c r="DR82" i="2"/>
  <c r="DR138" i="2"/>
  <c r="IV201" i="2"/>
  <c r="IW201" i="2" s="1"/>
  <c r="DP82" i="2"/>
  <c r="A179" i="2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7" i="1" l="1"/>
  <c r="A8" i="1" s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F12" i="2" l="1"/>
  <c r="A9" i="1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AX13" i="2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14" i="1" l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24" i="2" l="1"/>
  <c r="EA24" i="2" s="1"/>
  <c r="ET24" i="2" s="1"/>
  <c r="DT142" i="2"/>
  <c r="AV13" i="8"/>
  <c r="IL13" i="2" s="1"/>
  <c r="DT49" i="2"/>
  <c r="DT21" i="2"/>
  <c r="EQ21" i="2" s="1"/>
  <c r="DT43" i="2"/>
  <c r="DU43" i="2" s="1"/>
  <c r="DT94" i="2"/>
  <c r="EM94" i="2" s="1"/>
  <c r="DT4" i="2"/>
  <c r="EB4" i="2" s="1"/>
  <c r="DT107" i="2"/>
  <c r="EM107" i="2" s="1"/>
  <c r="DT157" i="2"/>
  <c r="DT48" i="2"/>
  <c r="EV48" i="2" s="1"/>
  <c r="DT141" i="2"/>
  <c r="DW141" i="2" s="1"/>
  <c r="DT173" i="2"/>
  <c r="DT159" i="2"/>
  <c r="ES159" i="2" s="1"/>
  <c r="EU159" i="2" s="1"/>
  <c r="DT147" i="2"/>
  <c r="DT154" i="2"/>
  <c r="DU154" i="2" s="1"/>
  <c r="DT137" i="2"/>
  <c r="EA137" i="2" s="1"/>
  <c r="ET137" i="2" s="1"/>
  <c r="DT168" i="2"/>
  <c r="DT198" i="2"/>
  <c r="ER198" i="2" s="1"/>
  <c r="DT108" i="2"/>
  <c r="EI108" i="2" s="1"/>
  <c r="DT132" i="2"/>
  <c r="DT72" i="2"/>
  <c r="DT85" i="2"/>
  <c r="EB85" i="2" s="1"/>
  <c r="DT30" i="2"/>
  <c r="EH30" i="2" s="1"/>
  <c r="DT175" i="2"/>
  <c r="EF175" i="2" s="1"/>
  <c r="DT97" i="2"/>
  <c r="DT199" i="2"/>
  <c r="EB199" i="2" s="1"/>
  <c r="DT26" i="2"/>
  <c r="DT162" i="2"/>
  <c r="EV162" i="2" s="1"/>
  <c r="DT135" i="2"/>
  <c r="DT67" i="2"/>
  <c r="DT165" i="2"/>
  <c r="EH165" i="2" s="1"/>
  <c r="DT192" i="2"/>
  <c r="EK192" i="2" s="1"/>
  <c r="DT127" i="2"/>
  <c r="DT25" i="2"/>
  <c r="EC25" i="2" s="1"/>
  <c r="DT129" i="2"/>
  <c r="DT59" i="2"/>
  <c r="DT47" i="2"/>
  <c r="EQ47" i="2" s="1"/>
  <c r="DT184" i="2"/>
  <c r="DT73" i="2"/>
  <c r="DZ73" i="2" s="1"/>
  <c r="DT106" i="2"/>
  <c r="EV106" i="2" s="1"/>
  <c r="DT150" i="2"/>
  <c r="DT131" i="2"/>
  <c r="DX131" i="2" s="1"/>
  <c r="DY131" i="2" s="1"/>
  <c r="DT86" i="2"/>
  <c r="EQ86" i="2" s="1"/>
  <c r="DT75" i="2"/>
  <c r="DT155" i="2"/>
  <c r="DT158" i="2"/>
  <c r="EH158" i="2" s="1"/>
  <c r="DT197" i="2"/>
  <c r="DU197" i="2" s="1"/>
  <c r="DT80" i="2"/>
  <c r="EP80" i="2" s="1"/>
  <c r="DT124" i="2"/>
  <c r="DT23" i="2"/>
  <c r="EB23" i="2" s="1"/>
  <c r="DT22" i="2"/>
  <c r="DT93" i="2"/>
  <c r="ES93" i="2" s="1"/>
  <c r="EU93" i="2" s="1"/>
  <c r="DT62" i="2"/>
  <c r="DT50" i="2"/>
  <c r="DT174" i="2"/>
  <c r="EJ174" i="2" s="1"/>
  <c r="DT183" i="2"/>
  <c r="EV183" i="2" s="1"/>
  <c r="DT152" i="2"/>
  <c r="DT74" i="2"/>
  <c r="EP74" i="2" s="1"/>
  <c r="DT88" i="2"/>
  <c r="DT45" i="2"/>
  <c r="DT53" i="2"/>
  <c r="DT91" i="2"/>
  <c r="DT29" i="2"/>
  <c r="EC29" i="2" s="1"/>
  <c r="DT35" i="2"/>
  <c r="DW35" i="2" s="1"/>
  <c r="DT136" i="2"/>
  <c r="DT78" i="2"/>
  <c r="DT95" i="2"/>
  <c r="EQ95" i="2" s="1"/>
  <c r="DT143" i="2"/>
  <c r="DT109" i="2"/>
  <c r="DT116" i="2"/>
  <c r="EB116" i="2" s="1"/>
  <c r="DT98" i="2"/>
  <c r="EK98" i="2" s="1"/>
  <c r="DT194" i="2"/>
  <c r="EL194" i="2" s="1"/>
  <c r="DT105" i="2"/>
  <c r="EJ105" i="2" s="1"/>
  <c r="DT42" i="2"/>
  <c r="ED42" i="2" s="1"/>
  <c r="DT122" i="2"/>
  <c r="DT40" i="2"/>
  <c r="DX40" i="2" s="1"/>
  <c r="DY40" i="2" s="1"/>
  <c r="DT182" i="2"/>
  <c r="EG182" i="2" s="1"/>
  <c r="DT193" i="2"/>
  <c r="EN193" i="2" s="1"/>
  <c r="DT69" i="2"/>
  <c r="DW69" i="2" s="1"/>
  <c r="DT99" i="2"/>
  <c r="DU99" i="2" s="1"/>
  <c r="DT139" i="2"/>
  <c r="JH7" i="2"/>
  <c r="JI7" i="2" s="1"/>
  <c r="JJ7" i="2" s="1"/>
  <c r="BG7" i="8"/>
  <c r="IY7" i="2" s="1"/>
  <c r="AV7" i="8"/>
  <c r="IL7" i="2" s="1"/>
  <c r="DT58" i="2"/>
  <c r="DT201" i="2"/>
  <c r="DT171" i="2"/>
  <c r="EO171" i="2" s="1"/>
  <c r="DT103" i="2"/>
  <c r="DX103" i="2" s="1"/>
  <c r="DY103" i="2" s="1"/>
  <c r="DT181" i="2"/>
  <c r="DT191" i="2"/>
  <c r="EQ191" i="2" s="1"/>
  <c r="DT130" i="2"/>
  <c r="EA130" i="2" s="1"/>
  <c r="ET130" i="2" s="1"/>
  <c r="DT145" i="2"/>
  <c r="DT66" i="2"/>
  <c r="DT87" i="2"/>
  <c r="DV87" i="2" s="1"/>
  <c r="DT55" i="2"/>
  <c r="DX55" i="2" s="1"/>
  <c r="DY55" i="2" s="1"/>
  <c r="DT70" i="2"/>
  <c r="EN70" i="2" s="1"/>
  <c r="DT164" i="2"/>
  <c r="DW164" i="2" s="1"/>
  <c r="DT9" i="2"/>
  <c r="DT186" i="2"/>
  <c r="DT161" i="2"/>
  <c r="EJ161" i="2" s="1"/>
  <c r="DT60" i="2"/>
  <c r="DT79" i="2"/>
  <c r="DT189" i="2"/>
  <c r="DT44" i="2"/>
  <c r="EI44" i="2" s="1"/>
  <c r="DT125" i="2"/>
  <c r="DT71" i="2"/>
  <c r="EK71" i="2" s="1"/>
  <c r="DT28" i="2"/>
  <c r="DT121" i="2"/>
  <c r="DT111" i="2"/>
  <c r="DT64" i="2"/>
  <c r="DT179" i="2"/>
  <c r="EM179" i="2" s="1"/>
  <c r="DT82" i="2"/>
  <c r="DU82" i="2" s="1"/>
  <c r="DT100" i="2"/>
  <c r="DT18" i="2"/>
  <c r="EQ18" i="2" s="1"/>
  <c r="DT166" i="2"/>
  <c r="DT68" i="2"/>
  <c r="DT123" i="2"/>
  <c r="DT190" i="2"/>
  <c r="EH190" i="2" s="1"/>
  <c r="DT117" i="2"/>
  <c r="DX117" i="2" s="1"/>
  <c r="DY117" i="2" s="1"/>
  <c r="DT167" i="2"/>
  <c r="DV167" i="2" s="1"/>
  <c r="DT20" i="2"/>
  <c r="DT84" i="2"/>
  <c r="ED84" i="2" s="1"/>
  <c r="DT77" i="2"/>
  <c r="DT89" i="2"/>
  <c r="DT163" i="2"/>
  <c r="DT112" i="2"/>
  <c r="DT76" i="2"/>
  <c r="EO76" i="2" s="1"/>
  <c r="DT38" i="2"/>
  <c r="DX38" i="2" s="1"/>
  <c r="DY38" i="2" s="1"/>
  <c r="DT180" i="2"/>
  <c r="DT115" i="2"/>
  <c r="EV115" i="2" s="1"/>
  <c r="DT39" i="2"/>
  <c r="DT34" i="2"/>
  <c r="DT149" i="2"/>
  <c r="DT90" i="2"/>
  <c r="DT83" i="2"/>
  <c r="EJ83" i="2" s="1"/>
  <c r="DT15" i="2"/>
  <c r="EF15" i="2" s="1"/>
  <c r="DT144" i="2"/>
  <c r="DT81" i="2"/>
  <c r="EK81" i="2" s="1"/>
  <c r="DT31" i="2"/>
  <c r="DW31" i="2" s="1"/>
  <c r="DT126" i="2"/>
  <c r="DT110" i="2"/>
  <c r="DT133" i="2"/>
  <c r="EC133" i="2" s="1"/>
  <c r="DT101" i="2"/>
  <c r="EA101" i="2" s="1"/>
  <c r="ET101" i="2" s="1"/>
  <c r="DT177" i="2"/>
  <c r="DX177" i="2" s="1"/>
  <c r="DY177" i="2" s="1"/>
  <c r="DT54" i="2"/>
  <c r="EG54" i="2" s="1"/>
  <c r="DT41" i="2"/>
  <c r="EQ41" i="2" s="1"/>
  <c r="DT65" i="2"/>
  <c r="DT196" i="2"/>
  <c r="EB196" i="2" s="1"/>
  <c r="DT17" i="2"/>
  <c r="DT128" i="2"/>
  <c r="DT134" i="2"/>
  <c r="EP134" i="2" s="1"/>
  <c r="DT172" i="2"/>
  <c r="EO172" i="2" s="1"/>
  <c r="DT37" i="2"/>
  <c r="DT200" i="2"/>
  <c r="DU200" i="2" s="1"/>
  <c r="DT188" i="2"/>
  <c r="DT16" i="2"/>
  <c r="DT36" i="2"/>
  <c r="EN36" i="2" s="1"/>
  <c r="DT120" i="2"/>
  <c r="DT195" i="2"/>
  <c r="EA195" i="2" s="1"/>
  <c r="ET195" i="2" s="1"/>
  <c r="DT151" i="2"/>
  <c r="EL151" i="2" s="1"/>
  <c r="DT63" i="2"/>
  <c r="DT153" i="2"/>
  <c r="ES153" i="2" s="1"/>
  <c r="EU153" i="2" s="1"/>
  <c r="DT146" i="2"/>
  <c r="EC146" i="2" s="1"/>
  <c r="DT19" i="2"/>
  <c r="DT13" i="2"/>
  <c r="DT32" i="2"/>
  <c r="DV32" i="2" s="1"/>
  <c r="DT156" i="2"/>
  <c r="EA156" i="2" s="1"/>
  <c r="ET156" i="2" s="1"/>
  <c r="DT140" i="2"/>
  <c r="EL140" i="2" s="1"/>
  <c r="DT118" i="2"/>
  <c r="EG118" i="2" s="1"/>
  <c r="DT102" i="2"/>
  <c r="EA102" i="2" s="1"/>
  <c r="ET102" i="2" s="1"/>
  <c r="DT176" i="2"/>
  <c r="DT104" i="2"/>
  <c r="DW104" i="2" s="1"/>
  <c r="DT14" i="2"/>
  <c r="DT52" i="2"/>
  <c r="DT27" i="2"/>
  <c r="EF27" i="2" s="1"/>
  <c r="DT46" i="2"/>
  <c r="ER46" i="2" s="1"/>
  <c r="DT185" i="2"/>
  <c r="DT57" i="2"/>
  <c r="DX57" i="2" s="1"/>
  <c r="DY57" i="2" s="1"/>
  <c r="DT113" i="2"/>
  <c r="DT187" i="2"/>
  <c r="DT33" i="2"/>
  <c r="EF33" i="2" s="1"/>
  <c r="DT114" i="2"/>
  <c r="DT170" i="2"/>
  <c r="EF170" i="2" s="1"/>
  <c r="DT56" i="2"/>
  <c r="DV56" i="2" s="1"/>
  <c r="DT169" i="2"/>
  <c r="DW169" i="2" s="1"/>
  <c r="DT51" i="2"/>
  <c r="EC51" i="2" s="1"/>
  <c r="DT138" i="2"/>
  <c r="DT61" i="2"/>
  <c r="EO61" i="2" s="1"/>
  <c r="DT160" i="2"/>
  <c r="EQ160" i="2" s="1"/>
  <c r="DT92" i="2"/>
  <c r="DT148" i="2"/>
  <c r="ER148" i="2" s="1"/>
  <c r="DT96" i="2"/>
  <c r="ER96" i="2" s="1"/>
  <c r="DT178" i="2"/>
  <c r="ED178" i="2" s="1"/>
  <c r="DT119" i="2"/>
  <c r="EJ119" i="2" s="1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N198" i="2"/>
  <c r="EH26" i="2"/>
  <c r="ER94" i="2"/>
  <c r="EG94" i="2"/>
  <c r="EK94" i="2"/>
  <c r="DU94" i="2"/>
  <c r="ES94" i="2"/>
  <c r="EU94" i="2" s="1"/>
  <c r="EE94" i="2"/>
  <c r="EB94" i="2"/>
  <c r="ED94" i="2"/>
  <c r="DV94" i="2"/>
  <c r="EC94" i="2"/>
  <c r="DX94" i="2"/>
  <c r="DY94" i="2" s="1"/>
  <c r="EL94" i="2"/>
  <c r="EF94" i="2"/>
  <c r="EV94" i="2"/>
  <c r="EP94" i="2"/>
  <c r="DZ94" i="2"/>
  <c r="EO94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DZ183" i="2"/>
  <c r="EQ30" i="2"/>
  <c r="EQ182" i="2"/>
  <c r="ED136" i="2"/>
  <c r="EL193" i="2"/>
  <c r="DX193" i="2"/>
  <c r="DY193" i="2" s="1"/>
  <c r="DV193" i="2"/>
  <c r="EG78" i="2"/>
  <c r="EB129" i="2"/>
  <c r="EV169" i="2"/>
  <c r="EV61" i="2"/>
  <c r="DV61" i="2"/>
  <c r="H173" i="9"/>
  <c r="DU155" i="2"/>
  <c r="EF22" i="2"/>
  <c r="EM62" i="2"/>
  <c r="EJ62" i="2"/>
  <c r="EO127" i="2"/>
  <c r="ES127" i="2"/>
  <c r="EU127" i="2" s="1"/>
  <c r="EI127" i="2"/>
  <c r="EA127" i="2"/>
  <c r="ET127" i="2" s="1"/>
  <c r="EK127" i="2"/>
  <c r="EN184" i="2"/>
  <c r="ER184" i="2"/>
  <c r="EG184" i="2"/>
  <c r="EJ184" i="2"/>
  <c r="DX184" i="2"/>
  <c r="DY184" i="2" s="1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ED73" i="2"/>
  <c r="ER141" i="2"/>
  <c r="DX141" i="2"/>
  <c r="DY141" i="2" s="1"/>
  <c r="DV141" i="2"/>
  <c r="EG141" i="2"/>
  <c r="EM141" i="2"/>
  <c r="EH141" i="2"/>
  <c r="EP141" i="2"/>
  <c r="EA141" i="2"/>
  <c r="ET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DW175" i="2"/>
  <c r="EK175" i="2"/>
  <c r="DX175" i="2"/>
  <c r="DY175" i="2" s="1"/>
  <c r="EP131" i="2"/>
  <c r="EO131" i="2"/>
  <c r="ED131" i="2"/>
  <c r="EH160" i="2"/>
  <c r="EB160" i="2"/>
  <c r="EJ160" i="2"/>
  <c r="DU160" i="2"/>
  <c r="DW122" i="2"/>
  <c r="EE122" i="2"/>
  <c r="DX122" i="2"/>
  <c r="DY122" i="2" s="1"/>
  <c r="DU147" i="2"/>
  <c r="DW147" i="2"/>
  <c r="DX147" i="2"/>
  <c r="DY147" i="2" s="1"/>
  <c r="EO147" i="2"/>
  <c r="ER147" i="2"/>
  <c r="EL147" i="2"/>
  <c r="EH147" i="2"/>
  <c r="DV147" i="2"/>
  <c r="EB147" i="2"/>
  <c r="EV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Q70" i="2"/>
  <c r="DZ70" i="2"/>
  <c r="EC186" i="2"/>
  <c r="EK186" i="2"/>
  <c r="EG186" i="2"/>
  <c r="DV186" i="2"/>
  <c r="EN186" i="2"/>
  <c r="EB60" i="2"/>
  <c r="DU60" i="2"/>
  <c r="EC60" i="2"/>
  <c r="EH60" i="2"/>
  <c r="EQ60" i="2"/>
  <c r="EL60" i="2"/>
  <c r="EG60" i="2"/>
  <c r="DX60" i="2"/>
  <c r="DY60" i="2" s="1"/>
  <c r="ER60" i="2"/>
  <c r="DW60" i="2"/>
  <c r="EO60" i="2"/>
  <c r="EN60" i="2"/>
  <c r="DV60" i="2"/>
  <c r="EV60" i="2"/>
  <c r="DZ60" i="2"/>
  <c r="ES60" i="2"/>
  <c r="EU60" i="2" s="1"/>
  <c r="EH79" i="2"/>
  <c r="DV79" i="2"/>
  <c r="EV79" i="2"/>
  <c r="EE79" i="2"/>
  <c r="EN79" i="2"/>
  <c r="EO79" i="2"/>
  <c r="EC79" i="2"/>
  <c r="EQ79" i="2"/>
  <c r="EM79" i="2"/>
  <c r="DZ79" i="2"/>
  <c r="EP79" i="2"/>
  <c r="EN44" i="2"/>
  <c r="DW44" i="2"/>
  <c r="EC44" i="2"/>
  <c r="EQ44" i="2"/>
  <c r="DX44" i="2"/>
  <c r="DY44" i="2" s="1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E18" i="2"/>
  <c r="EJ148" i="2"/>
  <c r="EM96" i="2"/>
  <c r="EV96" i="2"/>
  <c r="EB119" i="2"/>
  <c r="EH24" i="2"/>
  <c r="EP24" i="2"/>
  <c r="EQ24" i="2"/>
  <c r="DV24" i="2"/>
  <c r="DZ24" i="2"/>
  <c r="EG24" i="2"/>
  <c r="EF24" i="2"/>
  <c r="ER24" i="2"/>
  <c r="EK24" i="2"/>
  <c r="DX154" i="2"/>
  <c r="DY154" i="2" s="1"/>
  <c r="ED199" i="2"/>
  <c r="DV199" i="2"/>
  <c r="EE199" i="2"/>
  <c r="EF199" i="2"/>
  <c r="DU199" i="2"/>
  <c r="EL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S99" i="2"/>
  <c r="EU99" i="2" s="1"/>
  <c r="EQ99" i="2"/>
  <c r="DW99" i="2"/>
  <c r="EG99" i="2"/>
  <c r="EH99" i="2"/>
  <c r="EI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G123" i="2"/>
  <c r="EP123" i="2"/>
  <c r="ER123" i="2"/>
  <c r="EH123" i="2"/>
  <c r="ES123" i="2"/>
  <c r="EU123" i="2" s="1"/>
  <c r="DW123" i="2"/>
  <c r="EM123" i="2"/>
  <c r="DZ123" i="2"/>
  <c r="EJ123" i="2"/>
  <c r="DU123" i="2"/>
  <c r="EI123" i="2"/>
  <c r="EB123" i="2"/>
  <c r="EF123" i="2"/>
  <c r="EE123" i="2"/>
  <c r="EC123" i="2"/>
  <c r="EM117" i="2"/>
  <c r="ER167" i="2"/>
  <c r="EF167" i="2"/>
  <c r="EN167" i="2"/>
  <c r="EK167" i="2"/>
  <c r="EQ167" i="2"/>
  <c r="DZ167" i="2"/>
  <c r="DV84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DU163" i="2"/>
  <c r="EJ163" i="2"/>
  <c r="EK163" i="2"/>
  <c r="EI163" i="2"/>
  <c r="EE163" i="2"/>
  <c r="DX163" i="2"/>
  <c r="DY163" i="2" s="1"/>
  <c r="EB163" i="2"/>
  <c r="ED163" i="2"/>
  <c r="ER163" i="2"/>
  <c r="EF163" i="2"/>
  <c r="EA163" i="2"/>
  <c r="ET163" i="2" s="1"/>
  <c r="EQ163" i="2"/>
  <c r="DZ163" i="2"/>
  <c r="EL163" i="2"/>
  <c r="EV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A38" i="2"/>
  <c r="ET38" i="2" s="1"/>
  <c r="EQ38" i="2"/>
  <c r="EH38" i="2"/>
  <c r="EK38" i="2"/>
  <c r="DW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DX83" i="2"/>
  <c r="DY83" i="2" s="1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F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H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B191" i="2"/>
  <c r="EN191" i="2"/>
  <c r="EI191" i="2"/>
  <c r="DX191" i="2"/>
  <c r="DY191" i="2" s="1"/>
  <c r="DZ191" i="2"/>
  <c r="EB109" i="2"/>
  <c r="EL109" i="2"/>
  <c r="EK109" i="2"/>
  <c r="EN109" i="2"/>
  <c r="EV109" i="2"/>
  <c r="EG109" i="2"/>
  <c r="EA109" i="2"/>
  <c r="ET109" i="2" s="1"/>
  <c r="EH109" i="2"/>
  <c r="EO109" i="2"/>
  <c r="EM109" i="2"/>
  <c r="EF109" i="2"/>
  <c r="DU109" i="2"/>
  <c r="ED109" i="2"/>
  <c r="EC109" i="2"/>
  <c r="EQ109" i="2"/>
  <c r="DZ109" i="2"/>
  <c r="DV43" i="2"/>
  <c r="EC43" i="2"/>
  <c r="EH43" i="2"/>
  <c r="DW43" i="2"/>
  <c r="EJ43" i="2"/>
  <c r="EE43" i="2"/>
  <c r="EK43" i="2"/>
  <c r="ED43" i="2"/>
  <c r="ER43" i="2"/>
  <c r="EQ43" i="2"/>
  <c r="EN43" i="2"/>
  <c r="DX43" i="2"/>
  <c r="DY43" i="2" s="1"/>
  <c r="EA43" i="2"/>
  <c r="ET43" i="2" s="1"/>
  <c r="EO43" i="2"/>
  <c r="EP43" i="2"/>
  <c r="EA135" i="2"/>
  <c r="ET135" i="2" s="1"/>
  <c r="EO135" i="2"/>
  <c r="EI135" i="2"/>
  <c r="EQ135" i="2"/>
  <c r="EJ135" i="2"/>
  <c r="ED135" i="2"/>
  <c r="DW135" i="2"/>
  <c r="DU135" i="2"/>
  <c r="EE135" i="2"/>
  <c r="EH135" i="2"/>
  <c r="DZ135" i="2"/>
  <c r="EK135" i="2"/>
  <c r="ER135" i="2"/>
  <c r="EC135" i="2"/>
  <c r="EN135" i="2"/>
  <c r="ES135" i="2"/>
  <c r="EU135" i="2" s="1"/>
  <c r="ES72" i="2"/>
  <c r="EU72" i="2" s="1"/>
  <c r="ED72" i="2"/>
  <c r="DW72" i="2"/>
  <c r="EI72" i="2"/>
  <c r="DU72" i="2"/>
  <c r="EH72" i="2"/>
  <c r="EF72" i="2"/>
  <c r="EN72" i="2"/>
  <c r="EL72" i="2"/>
  <c r="EA72" i="2"/>
  <c r="ET72" i="2" s="1"/>
  <c r="EK72" i="2"/>
  <c r="DX72" i="2"/>
  <c r="DY72" i="2" s="1"/>
  <c r="DV72" i="2"/>
  <c r="EV72" i="2"/>
  <c r="EG72" i="2"/>
  <c r="EJ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F98" i="2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J194" i="2"/>
  <c r="EG194" i="2"/>
  <c r="ES194" i="2"/>
  <c r="EU194" i="2" s="1"/>
  <c r="ER194" i="2"/>
  <c r="EH194" i="2"/>
  <c r="EO194" i="2"/>
  <c r="EL66" i="2"/>
  <c r="EI66" i="2"/>
  <c r="EQ66" i="2"/>
  <c r="EE66" i="2"/>
  <c r="EC66" i="2"/>
  <c r="EH66" i="2"/>
  <c r="EJ66" i="2"/>
  <c r="ED66" i="2"/>
  <c r="DU66" i="2"/>
  <c r="EA66" i="2"/>
  <c r="ET66" i="2" s="1"/>
  <c r="DX66" i="2"/>
  <c r="DY66" i="2" s="1"/>
  <c r="EV66" i="2"/>
  <c r="ER66" i="2"/>
  <c r="EB66" i="2"/>
  <c r="EP66" i="2"/>
  <c r="EJ41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DU110" i="2"/>
  <c r="DZ110" i="2"/>
  <c r="EK110" i="2"/>
  <c r="EQ110" i="2"/>
  <c r="EJ110" i="2"/>
  <c r="EN110" i="2"/>
  <c r="EF110" i="2"/>
  <c r="EC110" i="2"/>
  <c r="DX110" i="2"/>
  <c r="DY110" i="2" s="1"/>
  <c r="EM110" i="2"/>
  <c r="EH110" i="2"/>
  <c r="EA110" i="2"/>
  <c r="ET110" i="2" s="1"/>
  <c r="EG110" i="2"/>
  <c r="EP110" i="2"/>
  <c r="EV110" i="2"/>
  <c r="DZ177" i="2"/>
  <c r="EP177" i="2"/>
  <c r="EF177" i="2"/>
  <c r="EL177" i="2"/>
  <c r="EG177" i="2"/>
  <c r="EB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J80" i="2"/>
  <c r="DU80" i="2"/>
  <c r="ER80" i="2"/>
  <c r="EC80" i="2"/>
  <c r="EA80" i="2"/>
  <c r="ET80" i="2" s="1"/>
  <c r="ES80" i="2"/>
  <c r="EU80" i="2" s="1"/>
  <c r="EO23" i="2"/>
  <c r="DX23" i="2"/>
  <c r="DY23" i="2" s="1"/>
  <c r="DZ23" i="2"/>
  <c r="DV23" i="2"/>
  <c r="EH2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H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M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V172" i="2"/>
  <c r="EQ172" i="2"/>
  <c r="EJ172" i="2"/>
  <c r="EK172" i="2"/>
  <c r="ER172" i="2"/>
  <c r="DX172" i="2"/>
  <c r="DY172" i="2" s="1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S107" i="2"/>
  <c r="EU107" i="2" s="1"/>
  <c r="EJ107" i="2"/>
  <c r="EO107" i="2"/>
  <c r="DU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DU192" i="2"/>
  <c r="DV192" i="2"/>
  <c r="EL192" i="2"/>
  <c r="EN192" i="2"/>
  <c r="EH192" i="2"/>
  <c r="EJ192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DX46" i="2"/>
  <c r="DY46" i="2" s="1"/>
  <c r="DW46" i="2"/>
  <c r="EC46" i="2"/>
  <c r="EL46" i="2"/>
  <c r="EA46" i="2"/>
  <c r="ET46" i="2" s="1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EM170" i="2"/>
  <c r="DU156" i="2"/>
  <c r="DX140" i="2"/>
  <c r="DY140" i="2" s="1"/>
  <c r="EF140" i="2"/>
  <c r="EV140" i="2"/>
  <c r="ES140" i="2"/>
  <c r="EU140" i="2" s="1"/>
  <c r="DU140" i="2"/>
  <c r="EP140" i="2"/>
  <c r="ED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O102" i="2" l="1"/>
  <c r="EG153" i="2"/>
  <c r="EC153" i="2"/>
  <c r="DU119" i="2"/>
  <c r="EQ102" i="2"/>
  <c r="EV153" i="2"/>
  <c r="EA119" i="2"/>
  <c r="ET119" i="2" s="1"/>
  <c r="DX102" i="2"/>
  <c r="DY102" i="2" s="1"/>
  <c r="ED153" i="2"/>
  <c r="EA41" i="2"/>
  <c r="ET41" i="2" s="1"/>
  <c r="EI81" i="2"/>
  <c r="EN84" i="2"/>
  <c r="EE102" i="2"/>
  <c r="EK153" i="2"/>
  <c r="EP41" i="2"/>
  <c r="DX81" i="2"/>
  <c r="DY81" i="2" s="1"/>
  <c r="ES84" i="2"/>
  <c r="EU84" i="2" s="1"/>
  <c r="EL102" i="2"/>
  <c r="DU102" i="2"/>
  <c r="EQ153" i="2"/>
  <c r="EB41" i="2"/>
  <c r="ED81" i="2"/>
  <c r="EA84" i="2"/>
  <c r="ET84" i="2" s="1"/>
  <c r="DV119" i="2"/>
  <c r="ES102" i="2"/>
  <c r="EU102" i="2" s="1"/>
  <c r="EN153" i="2"/>
  <c r="EO41" i="2"/>
  <c r="EM81" i="2"/>
  <c r="EG84" i="2"/>
  <c r="ES119" i="2"/>
  <c r="EU119" i="2" s="1"/>
  <c r="DU18" i="2"/>
  <c r="EV51" i="2"/>
  <c r="EJ102" i="2"/>
  <c r="EL153" i="2"/>
  <c r="DU153" i="2"/>
  <c r="EV41" i="2"/>
  <c r="EL81" i="2"/>
  <c r="EP84" i="2"/>
  <c r="EE119" i="2"/>
  <c r="DW18" i="2"/>
  <c r="EF195" i="2"/>
  <c r="EI117" i="2"/>
  <c r="EG55" i="2"/>
  <c r="DX195" i="2"/>
  <c r="DY195" i="2" s="1"/>
  <c r="EF83" i="2"/>
  <c r="EL117" i="2"/>
  <c r="EV154" i="2"/>
  <c r="ED55" i="2"/>
  <c r="EL156" i="2"/>
  <c r="EP101" i="2"/>
  <c r="EC98" i="2"/>
  <c r="EM83" i="2"/>
  <c r="EP171" i="2"/>
  <c r="EJ154" i="2"/>
  <c r="EN156" i="2"/>
  <c r="DU101" i="2"/>
  <c r="EG98" i="2"/>
  <c r="DV171" i="2"/>
  <c r="EE179" i="2"/>
  <c r="EG170" i="2"/>
  <c r="ES101" i="2"/>
  <c r="EU101" i="2" s="1"/>
  <c r="EO29" i="2"/>
  <c r="DU171" i="2"/>
  <c r="EG148" i="2"/>
  <c r="EG179" i="2"/>
  <c r="EO170" i="2"/>
  <c r="EK101" i="2"/>
  <c r="DV29" i="2"/>
  <c r="EQ148" i="2"/>
  <c r="EE156" i="2"/>
  <c r="EQ156" i="2"/>
  <c r="EV156" i="2"/>
  <c r="EK170" i="2"/>
  <c r="EA170" i="2"/>
  <c r="ET170" i="2" s="1"/>
  <c r="EP170" i="2"/>
  <c r="DZ195" i="2"/>
  <c r="EV195" i="2"/>
  <c r="EM195" i="2"/>
  <c r="EO101" i="2"/>
  <c r="EH101" i="2"/>
  <c r="EE101" i="2"/>
  <c r="EE98" i="2"/>
  <c r="EL98" i="2"/>
  <c r="EB98" i="2"/>
  <c r="EN29" i="2"/>
  <c r="DW29" i="2"/>
  <c r="EJ29" i="2"/>
  <c r="EH83" i="2"/>
  <c r="EB83" i="2"/>
  <c r="EQ83" i="2"/>
  <c r="EG117" i="2"/>
  <c r="DW117" i="2"/>
  <c r="EO117" i="2"/>
  <c r="EM171" i="2"/>
  <c r="EI171" i="2"/>
  <c r="ER171" i="2"/>
  <c r="EI154" i="2"/>
  <c r="EC154" i="2"/>
  <c r="EN154" i="2"/>
  <c r="EN148" i="2"/>
  <c r="EE148" i="2"/>
  <c r="EI148" i="2"/>
  <c r="EK179" i="2"/>
  <c r="DW179" i="2"/>
  <c r="EL55" i="2"/>
  <c r="DW55" i="2"/>
  <c r="EV73" i="2"/>
  <c r="EA30" i="2"/>
  <c r="ET30" i="2" s="1"/>
  <c r="ES156" i="2"/>
  <c r="EU156" i="2" s="1"/>
  <c r="EC156" i="2"/>
  <c r="EG156" i="2"/>
  <c r="ER170" i="2"/>
  <c r="DW170" i="2"/>
  <c r="EB170" i="2"/>
  <c r="EI195" i="2"/>
  <c r="EN195" i="2"/>
  <c r="ER195" i="2"/>
  <c r="EV101" i="2"/>
  <c r="DV101" i="2"/>
  <c r="EJ101" i="2"/>
  <c r="ED98" i="2"/>
  <c r="EN98" i="2"/>
  <c r="EP98" i="2"/>
  <c r="ES29" i="2"/>
  <c r="EU29" i="2" s="1"/>
  <c r="EK29" i="2"/>
  <c r="EG29" i="2"/>
  <c r="ED83" i="2"/>
  <c r="DU83" i="2"/>
  <c r="EO83" i="2"/>
  <c r="EA117" i="2"/>
  <c r="ET117" i="2" s="1"/>
  <c r="EK117" i="2"/>
  <c r="EN117" i="2"/>
  <c r="DW171" i="2"/>
  <c r="DX171" i="2"/>
  <c r="DY171" i="2" s="1"/>
  <c r="EQ171" i="2"/>
  <c r="EM154" i="2"/>
  <c r="EQ154" i="2"/>
  <c r="EE154" i="2"/>
  <c r="EP148" i="2"/>
  <c r="DX148" i="2"/>
  <c r="DY148" i="2" s="1"/>
  <c r="ES148" i="2"/>
  <c r="EU148" i="2" s="1"/>
  <c r="EA148" i="2"/>
  <c r="ET148" i="2" s="1"/>
  <c r="ED179" i="2"/>
  <c r="EP179" i="2"/>
  <c r="EH55" i="2"/>
  <c r="ER55" i="2"/>
  <c r="DU73" i="2"/>
  <c r="EV197" i="2"/>
  <c r="DZ30" i="2"/>
  <c r="EC165" i="2"/>
  <c r="EM156" i="2"/>
  <c r="DW156" i="2"/>
  <c r="ER156" i="2"/>
  <c r="DV170" i="2"/>
  <c r="EJ170" i="2"/>
  <c r="EH170" i="2"/>
  <c r="EP195" i="2"/>
  <c r="EG195" i="2"/>
  <c r="EC195" i="2"/>
  <c r="EG101" i="2"/>
  <c r="EB101" i="2"/>
  <c r="EF101" i="2"/>
  <c r="EA98" i="2"/>
  <c r="ET98" i="2" s="1"/>
  <c r="DV98" i="2"/>
  <c r="EV98" i="2"/>
  <c r="DZ98" i="2"/>
  <c r="EF29" i="2"/>
  <c r="EQ29" i="2"/>
  <c r="DU29" i="2"/>
  <c r="DW83" i="2"/>
  <c r="EA83" i="2"/>
  <c r="ET83" i="2" s="1"/>
  <c r="ER83" i="2"/>
  <c r="EP117" i="2"/>
  <c r="EE117" i="2"/>
  <c r="EH117" i="2"/>
  <c r="EC117" i="2"/>
  <c r="EJ171" i="2"/>
  <c r="EG171" i="2"/>
  <c r="EA171" i="2"/>
  <c r="ET171" i="2" s="1"/>
  <c r="EG154" i="2"/>
  <c r="ED154" i="2"/>
  <c r="DW154" i="2"/>
  <c r="DZ148" i="2"/>
  <c r="EL148" i="2"/>
  <c r="DV148" i="2"/>
  <c r="EJ179" i="2"/>
  <c r="EC55" i="2"/>
  <c r="EE55" i="2"/>
  <c r="EN197" i="2"/>
  <c r="EK30" i="2"/>
  <c r="EI156" i="2"/>
  <c r="ED156" i="2"/>
  <c r="DV156" i="2"/>
  <c r="ED170" i="2"/>
  <c r="EV170" i="2"/>
  <c r="DX170" i="2"/>
  <c r="DY170" i="2" s="1"/>
  <c r="EK195" i="2"/>
  <c r="DU195" i="2"/>
  <c r="ED195" i="2"/>
  <c r="DZ101" i="2"/>
  <c r="EQ101" i="2"/>
  <c r="EI101" i="2"/>
  <c r="DW98" i="2"/>
  <c r="ES98" i="2"/>
  <c r="EU98" i="2" s="1"/>
  <c r="DU98" i="2"/>
  <c r="EE29" i="2"/>
  <c r="ED29" i="2"/>
  <c r="DX29" i="2"/>
  <c r="DY29" i="2" s="1"/>
  <c r="EC83" i="2"/>
  <c r="DV83" i="2"/>
  <c r="ES83" i="2"/>
  <c r="EU83" i="2" s="1"/>
  <c r="ES117" i="2"/>
  <c r="EU117" i="2" s="1"/>
  <c r="EJ117" i="2"/>
  <c r="EB117" i="2"/>
  <c r="EB171" i="2"/>
  <c r="EV171" i="2"/>
  <c r="EH171" i="2"/>
  <c r="EP154" i="2"/>
  <c r="ER154" i="2"/>
  <c r="EB154" i="2"/>
  <c r="DZ154" i="2"/>
  <c r="DU148" i="2"/>
  <c r="EK148" i="2"/>
  <c r="EM148" i="2"/>
  <c r="EB179" i="2"/>
  <c r="EH179" i="2"/>
  <c r="EQ55" i="2"/>
  <c r="EB55" i="2"/>
  <c r="EM73" i="2"/>
  <c r="EG30" i="2"/>
  <c r="EP156" i="2"/>
  <c r="EB156" i="2"/>
  <c r="EJ156" i="2"/>
  <c r="EK156" i="2"/>
  <c r="ES170" i="2"/>
  <c r="EU170" i="2" s="1"/>
  <c r="DU170" i="2"/>
  <c r="EI170" i="2"/>
  <c r="DV195" i="2"/>
  <c r="EE195" i="2"/>
  <c r="EO195" i="2"/>
  <c r="ER101" i="2"/>
  <c r="EN101" i="2"/>
  <c r="DX101" i="2"/>
  <c r="DY101" i="2" s="1"/>
  <c r="EH98" i="2"/>
  <c r="EI98" i="2"/>
  <c r="DX98" i="2"/>
  <c r="DY98" i="2" s="1"/>
  <c r="EP29" i="2"/>
  <c r="EB29" i="2"/>
  <c r="EA29" i="2"/>
  <c r="ET29" i="2" s="1"/>
  <c r="ER29" i="2"/>
  <c r="EK83" i="2"/>
  <c r="EG83" i="2"/>
  <c r="EN83" i="2"/>
  <c r="DZ117" i="2"/>
  <c r="EV117" i="2"/>
  <c r="ER117" i="2"/>
  <c r="EC171" i="2"/>
  <c r="EN171" i="2"/>
  <c r="EK171" i="2"/>
  <c r="ED171" i="2"/>
  <c r="DV154" i="2"/>
  <c r="EH154" i="2"/>
  <c r="ES154" i="2"/>
  <c r="EU154" i="2" s="1"/>
  <c r="EO148" i="2"/>
  <c r="EB148" i="2"/>
  <c r="EC148" i="2"/>
  <c r="DZ179" i="2"/>
  <c r="DV55" i="2"/>
  <c r="EF55" i="2"/>
  <c r="ER30" i="2"/>
  <c r="EO30" i="2"/>
  <c r="DZ156" i="2"/>
  <c r="EF156" i="2"/>
  <c r="EO156" i="2"/>
  <c r="EQ170" i="2"/>
  <c r="EE170" i="2"/>
  <c r="EL170" i="2"/>
  <c r="DZ170" i="2"/>
  <c r="EL195" i="2"/>
  <c r="EJ195" i="2"/>
  <c r="EQ195" i="2"/>
  <c r="DW101" i="2"/>
  <c r="EC101" i="2"/>
  <c r="EL101" i="2"/>
  <c r="EQ98" i="2"/>
  <c r="EJ98" i="2"/>
  <c r="EM98" i="2"/>
  <c r="DZ29" i="2"/>
  <c r="EL29" i="2"/>
  <c r="EI29" i="2"/>
  <c r="EI83" i="2"/>
  <c r="EL83" i="2"/>
  <c r="EV83" i="2"/>
  <c r="EQ117" i="2"/>
  <c r="EF117" i="2"/>
  <c r="DV117" i="2"/>
  <c r="DZ171" i="2"/>
  <c r="EF171" i="2"/>
  <c r="EL171" i="2"/>
  <c r="EA154" i="2"/>
  <c r="ET154" i="2" s="1"/>
  <c r="EK154" i="2"/>
  <c r="EL154" i="2"/>
  <c r="ED148" i="2"/>
  <c r="EF148" i="2"/>
  <c r="EH148" i="2"/>
  <c r="DV179" i="2"/>
  <c r="EO55" i="2"/>
  <c r="EI55" i="2"/>
  <c r="EP73" i="2"/>
  <c r="DW30" i="2"/>
  <c r="EF30" i="2"/>
  <c r="EH156" i="2"/>
  <c r="DX156" i="2"/>
  <c r="DY156" i="2" s="1"/>
  <c r="EN170" i="2"/>
  <c r="EC170" i="2"/>
  <c r="EB195" i="2"/>
  <c r="ES195" i="2"/>
  <c r="EU195" i="2" s="1"/>
  <c r="DW195" i="2"/>
  <c r="ED101" i="2"/>
  <c r="EM101" i="2"/>
  <c r="ER98" i="2"/>
  <c r="EO98" i="2"/>
  <c r="EM29" i="2"/>
  <c r="EV29" i="2"/>
  <c r="EE83" i="2"/>
  <c r="EP83" i="2"/>
  <c r="DZ83" i="2"/>
  <c r="DU117" i="2"/>
  <c r="ED117" i="2"/>
  <c r="EE171" i="2"/>
  <c r="ES171" i="2"/>
  <c r="EU171" i="2" s="1"/>
  <c r="EO154" i="2"/>
  <c r="EF154" i="2"/>
  <c r="DW148" i="2"/>
  <c r="EV148" i="2"/>
  <c r="EM55" i="2"/>
  <c r="EH174" i="2"/>
  <c r="ED30" i="2"/>
  <c r="EV102" i="2"/>
  <c r="EM102" i="2"/>
  <c r="ER102" i="2"/>
  <c r="EK140" i="2"/>
  <c r="EA140" i="2"/>
  <c r="ET140" i="2" s="1"/>
  <c r="ES46" i="2"/>
  <c r="EU46" i="2" s="1"/>
  <c r="DZ46" i="2"/>
  <c r="DX192" i="2"/>
  <c r="DY192" i="2" s="1"/>
  <c r="EB192" i="2"/>
  <c r="EI107" i="2"/>
  <c r="EK107" i="2"/>
  <c r="EP172" i="2"/>
  <c r="EL172" i="2"/>
  <c r="DW153" i="2"/>
  <c r="DZ153" i="2"/>
  <c r="EB153" i="2"/>
  <c r="EI23" i="2"/>
  <c r="DW23" i="2"/>
  <c r="DV80" i="2"/>
  <c r="EG80" i="2"/>
  <c r="EE177" i="2"/>
  <c r="DU177" i="2"/>
  <c r="EC41" i="2"/>
  <c r="EM41" i="2"/>
  <c r="EC194" i="2"/>
  <c r="EB194" i="2"/>
  <c r="EE191" i="2"/>
  <c r="EL191" i="2"/>
  <c r="EB81" i="2"/>
  <c r="ER81" i="2"/>
  <c r="EP38" i="2"/>
  <c r="DU38" i="2"/>
  <c r="DX84" i="2"/>
  <c r="DY84" i="2" s="1"/>
  <c r="EI84" i="2"/>
  <c r="EP167" i="2"/>
  <c r="EO167" i="2"/>
  <c r="EE99" i="2"/>
  <c r="EJ99" i="2"/>
  <c r="DZ199" i="2"/>
  <c r="EM199" i="2"/>
  <c r="ES24" i="2"/>
  <c r="EU24" i="2" s="1"/>
  <c r="EV24" i="2"/>
  <c r="DW24" i="2"/>
  <c r="EO119" i="2"/>
  <c r="EM119" i="2"/>
  <c r="DZ18" i="2"/>
  <c r="EC18" i="2"/>
  <c r="EH44" i="2"/>
  <c r="EL44" i="2"/>
  <c r="EV70" i="2"/>
  <c r="DZ175" i="2"/>
  <c r="ED175" i="2"/>
  <c r="EG102" i="2"/>
  <c r="DW102" i="2"/>
  <c r="DV102" i="2"/>
  <c r="EG140" i="2"/>
  <c r="EM140" i="2"/>
  <c r="EG46" i="2"/>
  <c r="EH46" i="2"/>
  <c r="DZ192" i="2"/>
  <c r="EM192" i="2"/>
  <c r="EG107" i="2"/>
  <c r="EQ107" i="2"/>
  <c r="DZ172" i="2"/>
  <c r="ES172" i="2"/>
  <c r="EU172" i="2" s="1"/>
  <c r="DV153" i="2"/>
  <c r="ER153" i="2"/>
  <c r="EP153" i="2"/>
  <c r="ES23" i="2"/>
  <c r="EU23" i="2" s="1"/>
  <c r="EP23" i="2"/>
  <c r="EN80" i="2"/>
  <c r="EE80" i="2"/>
  <c r="ED177" i="2"/>
  <c r="EV177" i="2"/>
  <c r="EN41" i="2"/>
  <c r="ED41" i="2"/>
  <c r="DU194" i="2"/>
  <c r="EK194" i="2"/>
  <c r="EO191" i="2"/>
  <c r="EJ191" i="2"/>
  <c r="EA81" i="2"/>
  <c r="ET81" i="2" s="1"/>
  <c r="DW81" i="2"/>
  <c r="ES38" i="2"/>
  <c r="EU38" i="2" s="1"/>
  <c r="EN38" i="2"/>
  <c r="EH84" i="2"/>
  <c r="EM84" i="2"/>
  <c r="EL167" i="2"/>
  <c r="EA167" i="2"/>
  <c r="ET167" i="2" s="1"/>
  <c r="DZ99" i="2"/>
  <c r="EB99" i="2"/>
  <c r="EP199" i="2"/>
  <c r="EG199" i="2"/>
  <c r="EO24" i="2"/>
  <c r="EL24" i="2"/>
  <c r="EE24" i="2"/>
  <c r="EJ24" i="2"/>
  <c r="DW119" i="2"/>
  <c r="EA96" i="2"/>
  <c r="ET96" i="2" s="1"/>
  <c r="DV18" i="2"/>
  <c r="EJ18" i="2"/>
  <c r="ES44" i="2"/>
  <c r="EU44" i="2" s="1"/>
  <c r="EA44" i="2"/>
  <c r="ET44" i="2" s="1"/>
  <c r="EI70" i="2"/>
  <c r="DV175" i="2"/>
  <c r="EN175" i="2"/>
  <c r="EJ25" i="2"/>
  <c r="EB102" i="2"/>
  <c r="EN102" i="2"/>
  <c r="EI102" i="2"/>
  <c r="EJ140" i="2"/>
  <c r="EC140" i="2"/>
  <c r="EB46" i="2"/>
  <c r="EO46" i="2"/>
  <c r="EA192" i="2"/>
  <c r="ET192" i="2" s="1"/>
  <c r="EI192" i="2"/>
  <c r="DW107" i="2"/>
  <c r="EV107" i="2"/>
  <c r="EA172" i="2"/>
  <c r="ET172" i="2" s="1"/>
  <c r="DV172" i="2"/>
  <c r="EJ153" i="2"/>
  <c r="EF153" i="2"/>
  <c r="EO153" i="2"/>
  <c r="EF23" i="2"/>
  <c r="EK23" i="2"/>
  <c r="EB80" i="2"/>
  <c r="EH80" i="2"/>
  <c r="EI177" i="2"/>
  <c r="EM177" i="2"/>
  <c r="DU41" i="2"/>
  <c r="EG41" i="2"/>
  <c r="DW194" i="2"/>
  <c r="DZ194" i="2"/>
  <c r="ED191" i="2"/>
  <c r="ER191" i="2"/>
  <c r="DV81" i="2"/>
  <c r="EJ81" i="2"/>
  <c r="DV38" i="2"/>
  <c r="EF38" i="2"/>
  <c r="DZ84" i="2"/>
  <c r="EV84" i="2"/>
  <c r="DX167" i="2"/>
  <c r="DY167" i="2" s="1"/>
  <c r="EI167" i="2"/>
  <c r="EP99" i="2"/>
  <c r="EO99" i="2"/>
  <c r="DX199" i="2"/>
  <c r="DY199" i="2" s="1"/>
  <c r="ES199" i="2"/>
  <c r="EU199" i="2" s="1"/>
  <c r="DU24" i="2"/>
  <c r="ED24" i="2"/>
  <c r="EC24" i="2"/>
  <c r="DZ119" i="2"/>
  <c r="DX119" i="2"/>
  <c r="DY119" i="2" s="1"/>
  <c r="ED96" i="2"/>
  <c r="EO18" i="2"/>
  <c r="EV18" i="2"/>
  <c r="DV44" i="2"/>
  <c r="EF44" i="2"/>
  <c r="EB9" i="2"/>
  <c r="EJ175" i="2"/>
  <c r="ER175" i="2"/>
  <c r="EP102" i="2"/>
  <c r="EH102" i="2"/>
  <c r="EK102" i="2"/>
  <c r="EQ140" i="2"/>
  <c r="EI140" i="2"/>
  <c r="EF46" i="2"/>
  <c r="EV46" i="2"/>
  <c r="EG192" i="2"/>
  <c r="EV192" i="2"/>
  <c r="ED107" i="2"/>
  <c r="DV107" i="2"/>
  <c r="DW172" i="2"/>
  <c r="DU172" i="2"/>
  <c r="EH153" i="2"/>
  <c r="DX153" i="2"/>
  <c r="DY153" i="2" s="1"/>
  <c r="EE153" i="2"/>
  <c r="EE23" i="2"/>
  <c r="DU23" i="2"/>
  <c r="EM80" i="2"/>
  <c r="EV80" i="2"/>
  <c r="EJ177" i="2"/>
  <c r="EA177" i="2"/>
  <c r="ET177" i="2" s="1"/>
  <c r="ES41" i="2"/>
  <c r="EU41" i="2" s="1"/>
  <c r="EE41" i="2"/>
  <c r="EE194" i="2"/>
  <c r="EP194" i="2"/>
  <c r="EC191" i="2"/>
  <c r="EF191" i="2"/>
  <c r="DZ81" i="2"/>
  <c r="EQ81" i="2"/>
  <c r="EB38" i="2"/>
  <c r="ER38" i="2"/>
  <c r="EF84" i="2"/>
  <c r="EB84" i="2"/>
  <c r="EM167" i="2"/>
  <c r="EB167" i="2"/>
  <c r="ED99" i="2"/>
  <c r="EC99" i="2"/>
  <c r="EH199" i="2"/>
  <c r="EV199" i="2"/>
  <c r="EB24" i="2"/>
  <c r="EN24" i="2"/>
  <c r="DX24" i="2"/>
  <c r="DY24" i="2" s="1"/>
  <c r="EF119" i="2"/>
  <c r="EK119" i="2"/>
  <c r="EJ96" i="2"/>
  <c r="EL18" i="2"/>
  <c r="EM44" i="2"/>
  <c r="EP44" i="2"/>
  <c r="EM175" i="2"/>
  <c r="DZ102" i="2"/>
  <c r="EC102" i="2"/>
  <c r="EF102" i="2"/>
  <c r="EN140" i="2"/>
  <c r="ER140" i="2"/>
  <c r="DV46" i="2"/>
  <c r="EE46" i="2"/>
  <c r="EC192" i="2"/>
  <c r="EA107" i="2"/>
  <c r="ET107" i="2" s="1"/>
  <c r="EC107" i="2"/>
  <c r="EN172" i="2"/>
  <c r="EE172" i="2"/>
  <c r="EA153" i="2"/>
  <c r="ET153" i="2" s="1"/>
  <c r="EI153" i="2"/>
  <c r="EQ23" i="2"/>
  <c r="EI80" i="2"/>
  <c r="EO80" i="2"/>
  <c r="EO177" i="2"/>
  <c r="DW177" i="2"/>
  <c r="DZ41" i="2"/>
  <c r="EN194" i="2"/>
  <c r="EF194" i="2"/>
  <c r="DW191" i="2"/>
  <c r="EN81" i="2"/>
  <c r="EI38" i="2"/>
  <c r="EO38" i="2"/>
  <c r="ER84" i="2"/>
  <c r="EG167" i="2"/>
  <c r="DU167" i="2"/>
  <c r="EF99" i="2"/>
  <c r="ER99" i="2"/>
  <c r="EJ199" i="2"/>
  <c r="EI24" i="2"/>
  <c r="EM24" i="2"/>
  <c r="EC119" i="2"/>
  <c r="EI96" i="2"/>
  <c r="EK44" i="2"/>
  <c r="ER44" i="2"/>
  <c r="EP70" i="2"/>
  <c r="ES175" i="2"/>
  <c r="EU175" i="2" s="1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DV9" i="2"/>
  <c r="DU9" i="2"/>
  <c r="DW9" i="2"/>
  <c r="DX9" i="2" s="1"/>
  <c r="DY9" i="2" s="1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9" i="2" l="1"/>
  <c r="EP9" i="2"/>
  <c r="P2" i="9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9" i="2" l="1"/>
  <c r="BJ16" i="2"/>
  <c r="BJ15" i="2"/>
  <c r="BJ14" i="2"/>
  <c r="BJ11" i="2"/>
  <c r="BJ12" i="2"/>
  <c r="BJ13" i="2"/>
  <c r="BJ10" i="2"/>
  <c r="BJ9" i="2"/>
  <c r="BM9" i="2"/>
  <c r="CT11" i="2" s="1"/>
  <c r="CT19" i="2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A2" i="2" l="1"/>
  <c r="EJ2" i="2" s="1"/>
  <c r="EL2" i="2" s="1"/>
  <c r="EN2" i="2" s="1"/>
  <c r="EA9" i="2"/>
  <c r="EQ9" i="2"/>
  <c r="CT3" i="2"/>
  <c r="B16" i="5" s="1"/>
  <c r="EI4" i="2"/>
  <c r="BM3" i="2"/>
  <c r="BM16" i="2" s="1"/>
  <c r="B22" i="5" s="1"/>
  <c r="HY4" i="2"/>
  <c r="Y33" i="8" s="1"/>
  <c r="Q3" i="9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D2" i="2" l="1"/>
  <c r="EG2" i="2" s="1"/>
  <c r="EI2" i="2" s="1"/>
  <c r="ES2" i="2"/>
  <c r="EY34" i="2" s="1"/>
  <c r="EY35" i="2" s="1"/>
  <c r="ET2" i="2" s="1"/>
  <c r="EK2" i="2"/>
  <c r="EM2" i="2" s="1"/>
  <c r="EO2" i="2" s="1"/>
  <c r="EC2" i="2"/>
  <c r="EF2" i="2" s="1"/>
  <c r="EH2" i="2" s="1"/>
  <c r="ES9" i="2"/>
  <c r="EC9" i="2"/>
  <c r="EF9" i="2" s="1"/>
  <c r="EH9" i="2" s="1"/>
  <c r="EJ9" i="2"/>
  <c r="EL9" i="2" s="1"/>
  <c r="EN9" i="2" s="1"/>
  <c r="EK9" i="2"/>
  <c r="EM9" i="2" s="1"/>
  <c r="EO9" i="2" s="1"/>
  <c r="ED9" i="2"/>
  <c r="EG9" i="2" s="1"/>
  <c r="EI9" i="2" s="1"/>
  <c r="ER4" i="2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R3" i="9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EV3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T9" i="2" l="1"/>
  <c r="ER9" i="2" s="1"/>
  <c r="CT15" i="2"/>
  <c r="CT5" i="2"/>
  <c r="B18" i="5" s="1"/>
  <c r="BB5" i="2" s="1"/>
  <c r="CT12" i="2"/>
  <c r="CT23" i="2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CT14" i="2"/>
  <c r="CT6" i="2"/>
  <c r="B19" i="5" s="1"/>
  <c r="BB6" i="2" s="1"/>
  <c r="ER2" i="2" l="1"/>
  <c r="EY31" i="2" s="1"/>
  <c r="EY2" i="2"/>
  <c r="R14" i="9"/>
  <c r="R2" i="9"/>
  <c r="Q13" i="9"/>
  <c r="Q25" i="9"/>
  <c r="R13" i="9"/>
  <c r="R25" i="9"/>
  <c r="Q12" i="9"/>
  <c r="R11" i="9"/>
  <c r="R12" i="9"/>
  <c r="Q10" i="9"/>
  <c r="Q11" i="9"/>
  <c r="R9" i="9"/>
  <c r="R10" i="9"/>
  <c r="Q8" i="9"/>
  <c r="Q9" i="9"/>
  <c r="R8" i="9"/>
  <c r="Q5" i="9"/>
  <c r="Q6" i="9"/>
  <c r="R4" i="9"/>
  <c r="R6" i="9"/>
  <c r="Q4" i="9"/>
  <c r="A20" i="2"/>
  <c r="AL20" i="2"/>
  <c r="A24" i="1"/>
  <c r="GW14" i="2"/>
  <c r="GW12" i="2"/>
  <c r="GW13" i="2" s="1"/>
  <c r="GW10" i="2"/>
  <c r="AA36" i="8"/>
  <c r="AA37" i="8" s="1"/>
  <c r="EV9" i="2" l="1"/>
  <c r="EY9" i="2"/>
  <c r="EV2" i="2"/>
  <c r="EY3" i="2" s="1"/>
  <c r="EY5" i="2" s="1"/>
  <c r="EY12" i="2" s="1"/>
  <c r="EU9" i="2"/>
  <c r="EU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B13" i="9" l="1"/>
  <c r="EY28" i="2"/>
  <c r="EY6" i="2"/>
  <c r="EY13" i="2" s="1"/>
  <c r="EY29" i="2" s="1"/>
  <c r="EY7" i="2"/>
  <c r="EY14" i="2" s="1"/>
  <c r="EY4" i="2"/>
  <c r="EY11" i="2" s="1"/>
  <c r="B11" i="9"/>
  <c r="EY24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Q2" i="9" l="1"/>
  <c r="Q17" i="9"/>
  <c r="B14" i="9"/>
  <c r="EY27" i="2"/>
  <c r="B12" i="9"/>
  <c r="EY30" i="2"/>
  <c r="R17" i="9"/>
  <c r="B15" i="9"/>
  <c r="A27" i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32" i="1" l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4" i="2" l="1"/>
  <c r="AJ15" i="2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I19" i="9"/>
  <c r="J22" i="9"/>
  <c r="J19" i="9"/>
  <c r="J20" i="9"/>
  <c r="H23" i="9"/>
  <c r="K20" i="9"/>
  <c r="K22" i="9"/>
  <c r="J24" i="9"/>
  <c r="J18" i="9"/>
  <c r="I22" i="9"/>
  <c r="I18" i="9"/>
  <c r="K19" i="9"/>
  <c r="I24" i="9"/>
  <c r="K17" i="9"/>
  <c r="K21" i="9"/>
  <c r="I23" i="9"/>
  <c r="H24" i="9"/>
  <c r="G17" i="9"/>
  <c r="H22" i="9"/>
  <c r="H18" i="9"/>
  <c r="G21" i="9"/>
  <c r="H21" i="9"/>
  <c r="J23" i="9"/>
  <c r="G18" i="9"/>
  <c r="I20" i="9"/>
  <c r="K18" i="9"/>
  <c r="G23" i="9"/>
  <c r="J17" i="9"/>
  <c r="I17" i="9"/>
  <c r="G19" i="9"/>
  <c r="H19" i="9"/>
  <c r="I21" i="9"/>
  <c r="G24" i="9"/>
  <c r="H20" i="9"/>
  <c r="H17" i="9"/>
  <c r="J21" i="9"/>
  <c r="G22" i="9"/>
  <c r="K23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K14" i="9" l="1"/>
  <c r="G15" i="9"/>
  <c r="J15" i="9"/>
  <c r="H15" i="9"/>
  <c r="I15" i="9"/>
  <c r="H14" i="9"/>
  <c r="K15" i="9"/>
  <c r="K16" i="9"/>
  <c r="G14" i="9"/>
  <c r="I14" i="9"/>
  <c r="I16" i="9"/>
  <c r="J16" i="9"/>
  <c r="J14" i="9"/>
  <c r="H16" i="9"/>
  <c r="G16" i="9"/>
  <c r="AK17" i="2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<sst xmlns="http://schemas.openxmlformats.org/spreadsheetml/2006/main" count="879" uniqueCount="345">
  <si>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</si>
  <si>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</si>
  <si>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</si>
  <si>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</si>
  <si>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</si>
  <si>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</si>
  <si>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</si>
  <si>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</si>
  <si>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</si>
  <si>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</si>
  <si>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</si>
  <si>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</si>
  <si>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</si>
  <si>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</si>
  <si>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</si>
  <si>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</si>
  <si>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</si>
  <si>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</si>
  <si>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</si>
  <si>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</si>
  <si>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</si>
  <si>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Lubis et al.</t>
  </si>
  <si>
    <t>Latif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</si>
  <si>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</si>
  <si>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</si>
  <si>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</si>
  <si>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</si>
  <si>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</si>
  <si>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</si>
  <si>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</si>
  <si>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</si>
  <si>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</si>
  <si>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</si>
  <si>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</si>
  <si>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</si>
  <si>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</si>
  <si>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</si>
  <si>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</si>
  <si>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</si>
  <si>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</si>
  <si>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</si>
  <si>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</si>
  <si>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</si>
  <si>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</si>
  <si>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</si>
  <si>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</si>
  <si>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</si>
  <si>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</si>
  <si>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</si>
  <si>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</si>
  <si>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</si>
  <si>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</si>
  <si>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</si>
  <si>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</si>
  <si>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</si>
  <si>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</si>
  <si>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</si>
  <si>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</si>
  <si>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</si>
  <si>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</si>
  <si>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</si>
  <si>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</si>
  <si>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</si>
  <si>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</si>
  <si>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</si>
  <si>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</si>
  <si>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</si>
  <si>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</si>
  <si>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</si>
  <si>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</si>
  <si>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</si>
  <si>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</si>
  <si>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</si>
  <si>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</si>
  <si>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</si>
  <si>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</si>
  <si>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</si>
  <si>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</si>
  <si>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</si>
  <si>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</si>
  <si>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</si>
  <si>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</si>
  <si>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</si>
  <si>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</si>
  <si>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</si>
  <si>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</si>
  <si>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</si>
  <si>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</si>
  <si>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</si>
  <si>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</si>
  <si>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</si>
  <si>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</si>
  <si>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</si>
  <si>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</si>
  <si>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</si>
  <si>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</si>
  <si>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</si>
  <si>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</si>
  <si>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</si>
  <si>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</si>
  <si>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</si>
  <si>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</si>
  <si>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</si>
  <si>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</si>
  <si>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</si>
  <si>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</si>
  <si>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</si>
  <si>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</si>
  <si>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</si>
  <si>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</si>
  <si>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</si>
  <si>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</si>
  <si>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</si>
  <si>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</si>
  <si>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</si>
  <si>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</si>
  <si>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</si>
  <si>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</si>
  <si>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</si>
  <si>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</si>
  <si>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</si>
  <si>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</si>
  <si>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</si>
  <si>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</si>
  <si>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</si>
  <si>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</si>
  <si>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</si>
  <si>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</si>
  <si>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</si>
  <si>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</si>
  <si>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</si>
  <si>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</si>
  <si>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</si>
  <si>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</si>
  <si>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</si>
  <si>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</si>
  <si>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</si>
  <si>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</si>
  <si>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</si>
  <si>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</si>
  <si>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</si>
  <si>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</si>
  <si>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</si>
  <si>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</si>
  <si>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</si>
  <si>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</si>
  <si>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</si>
  <si>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</si>
  <si>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</si>
  <si>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</si>
  <si>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</si>
  <si>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</si>
  <si>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</si>
  <si>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</si>
  <si>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</si>
  <si>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</si>
  <si>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</si>
  <si>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</si>
  <si>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</si>
  <si>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</si>
  <si>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</si>
  <si>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</si>
  <si>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</si>
  <si>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</si>
  <si>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</si>
  <si>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</si>
  <si>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</si>
  <si>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</si>
  <si>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</si>
  <si>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</si>
  <si>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</si>
  <si>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</si>
  <si>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</si>
  <si>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</si>
  <si>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</si>
  <si>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</si>
  <si>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</si>
  <si>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</si>
  <si>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</si>
  <si>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</si>
  <si>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</si>
  <si>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</si>
  <si>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</si>
  <si>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</si>
  <si>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</si>
  <si>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</si>
  <si>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</si>
  <si>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</si>
  <si>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</si>
  <si>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</si>
  <si>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</si>
  <si>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</si>
  <si>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</si>
  <si>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</si>
  <si>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</si>
  <si>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</si>
  <si>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</si>
  <si>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</si>
  <si>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</si>
  <si>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</si>
  <si>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</si>
  <si>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</si>
  <si>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</si>
  <si>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</si>
  <si>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</si>
  <si>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</si>
  <si>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</si>
  <si>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</si>
  <si>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</si>
  <si>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</si>
  <si>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</si>
  <si>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</si>
  <si>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</si>
  <si>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</si>
  <si>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</si>
  <si>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</si>
  <si>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</si>
  <si>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</si>
  <si>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</si>
  <si>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</si>
  <si>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</si>
  <si>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</si>
  <si>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</si>
  <si>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</si>
  <si>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</si>
  <si>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</si>
  <si>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</si>
  <si>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</si>
  <si>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</si>
  <si>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</si>
  <si>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</si>
  <si>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</si>
  <si>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</si>
  <si>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</si>
  <si>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</si>
  <si>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</si>
  <si>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</si>
  <si>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</si>
  <si>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</si>
  <si>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</si>
  <si>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</si>
  <si>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</si>
  <si>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</si>
  <si>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</si>
  <si>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</si>
  <si>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</si>
  <si>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</si>
  <si>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</si>
  <si>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</si>
  <si>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</si>
  <si>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</si>
  <si>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</si>
  <si>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</si>
  <si>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</si>
  <si>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</si>
  <si>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</si>
  <si>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</si>
  <si>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</si>
  <si>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</si>
  <si>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</si>
  <si>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</si>
  <si>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</si>
  <si>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</si>
  <si>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</si>
  <si>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</si>
  <si>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</si>
  <si>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</si>
  <si>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</si>
  <si>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</si>
  <si>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</si>
  <si>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</si>
  <si>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</si>
  <si>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</si>
  <si>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</si>
  <si>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</si>
  <si>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</si>
  <si>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</si>
  <si>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</si>
  <si>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</si>
  <si>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</si>
  <si>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</si>
  <si>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</si>
  <si>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</si>
  <si>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</si>
  <si>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</si>
  <si>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</si>
  <si>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</si>
  <si>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</si>
  <si>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</si>
  <si>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</si>
  <si>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</si>
  <si>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</si>
  <si>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</si>
  <si>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</si>
  <si>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</si>
  <si>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</si>
  <si>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</si>
  <si>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</si>
  <si>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</si>
  <si>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</si>
  <si>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</si>
  <si>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</si>
  <si>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</si>
  <si>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</si>
  <si>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</si>
  <si>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</si>
  <si>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</si>
  <si>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</si>
  <si>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</si>
  <si>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</si>
  <si>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</si>
  <si>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</si>
  <si>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</si>
  <si>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</si>
  <si>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</si>
  <si>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</si>
  <si>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</si>
  <si>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</si>
  <si>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</si>
  <si>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</si>
  <si>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</si>
  <si>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</si>
  <si>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</si>
  <si>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</si>
  <si>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</si>
  <si>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</si>
  <si>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</si>
  <si>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</si>
  <si>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</si>
  <si>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</si>
  <si>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</si>
  <si>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</si>
  <si>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</si>
  <si>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</si>
  <si>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</si>
  <si>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</si>
  <si>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</si>
  <si>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Alhussein et al.</t>
  </si>
  <si>
    <t>Quan et al.</t>
  </si>
  <si>
    <t>Lu et al.</t>
  </si>
  <si>
    <t>Seo et al.</t>
  </si>
  <si>
    <t>Law et al.</t>
  </si>
  <si>
    <t>Hazarika et al. (A)</t>
  </si>
  <si>
    <t>Acted</t>
  </si>
  <si>
    <t>Spontaneous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</si>
</sst>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  <font>
      <b/>
      <sz val="11"/>
      <color rgb="FF444444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0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0" fontId="25" fillId="37" borderId="0" xfId="0" applyFont="1" applyFill="1"/>
    <xf numFmtId="49" fontId="15" fillId="37" borderId="0" xfId="10" applyNumberFormat="1" applyFont="1" applyFill="1">
      <protection locked="0"/>
    </xf>
    <xf numFmtId="49" fontId="15" fillId="9" borderId="0" xfId="10" applyNumberFormat="1" applyFont="1">
      <protection locked="0"/>
    </xf>
    <xf numFmtId="0" fontId="28" fillId="37" borderId="0" xfId="0" applyFont="1" applyFill="1"/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5.6120092988840853E-2</c:v>
                </c:pt>
                <c:pt idx="1">
                  <c:v>7.4152539142754423E-2</c:v>
                </c:pt>
                <c:pt idx="2">
                  <c:v>7.2725947418103912E-2</c:v>
                </c:pt>
                <c:pt idx="3">
                  <c:v>8.1423453333031595E-2</c:v>
                </c:pt>
                <c:pt idx="4">
                  <c:v>8.5141161444158606E-2</c:v>
                </c:pt>
                <c:pt idx="5">
                  <c:v>7.9291223265719246E-2</c:v>
                </c:pt>
                <c:pt idx="6">
                  <c:v>8.6132308289821366E-2</c:v>
                </c:pt>
                <c:pt idx="7">
                  <c:v>5.9978816395064166E-2</c:v>
                </c:pt>
                <c:pt idx="8">
                  <c:v>8.6953022180187259E-2</c:v>
                </c:pt>
                <c:pt idx="9">
                  <c:v>7.2720319591903254E-2</c:v>
                </c:pt>
                <c:pt idx="10">
                  <c:v>6.4487014224765909E-2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0.44771816829681543</c:v>
                  </c:pt>
                  <c:pt idx="1">
                    <c:v>0.58042941366776968</c:v>
                  </c:pt>
                  <c:pt idx="2">
                    <c:v>0.54270246639655184</c:v>
                  </c:pt>
                  <c:pt idx="3">
                    <c:v>0.47415942533835653</c:v>
                  </c:pt>
                  <c:pt idx="4">
                    <c:v>0.31750860447217333</c:v>
                  </c:pt>
                  <c:pt idx="5">
                    <c:v>0.43956569879096508</c:v>
                  </c:pt>
                  <c:pt idx="6">
                    <c:v>0.3649334881605355</c:v>
                  </c:pt>
                  <c:pt idx="7">
                    <c:v>0.41241163024788074</c:v>
                  </c:pt>
                  <c:pt idx="8">
                    <c:v>0.43937099166666482</c:v>
                  </c:pt>
                  <c:pt idx="9">
                    <c:v>0.54273680798577018</c:v>
                  </c:pt>
                  <c:pt idx="10">
                    <c:v>0.45621162292803596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0.29526143483296396</c:v>
                  </c:pt>
                  <c:pt idx="1">
                    <c:v>0.40417917363396028</c:v>
                  </c:pt>
                  <c:pt idx="2">
                    <c:v>0.37656996458611558</c:v>
                  </c:pt>
                  <c:pt idx="3">
                    <c:v>0.33568402671762565</c:v>
                  </c:pt>
                  <c:pt idx="4">
                    <c:v>0.22650384065715523</c:v>
                  </c:pt>
                  <c:pt idx="5">
                    <c:v>0.30976096715190993</c:v>
                  </c:pt>
                  <c:pt idx="6">
                    <c:v>0.26084204365626851</c:v>
                  </c:pt>
                  <c:pt idx="7">
                    <c:v>0.27573646208051894</c:v>
                  </c:pt>
                  <c:pt idx="8">
                    <c:v>0.31452661546578753</c:v>
                  </c:pt>
                  <c:pt idx="9">
                    <c:v>0.3765883592672874</c:v>
                  </c:pt>
                  <c:pt idx="10">
                    <c:v>0.30941238002681737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5.6120092988840853E-2</c:v>
                </c:pt>
                <c:pt idx="1">
                  <c:v>7.4152539142754423E-2</c:v>
                </c:pt>
                <c:pt idx="2">
                  <c:v>7.2725947418103912E-2</c:v>
                </c:pt>
                <c:pt idx="3">
                  <c:v>8.1423453333031595E-2</c:v>
                </c:pt>
                <c:pt idx="4">
                  <c:v>8.5141161444158606E-2</c:v>
                </c:pt>
                <c:pt idx="5">
                  <c:v>7.9291223265719246E-2</c:v>
                </c:pt>
                <c:pt idx="6">
                  <c:v>8.6132308289821366E-2</c:v>
                </c:pt>
                <c:pt idx="7">
                  <c:v>5.9978816395064166E-2</c:v>
                </c:pt>
                <c:pt idx="8">
                  <c:v>8.6953022180187259E-2</c:v>
                </c:pt>
                <c:pt idx="9">
                  <c:v>7.2720319591903254E-2</c:v>
                </c:pt>
                <c:pt idx="10">
                  <c:v>6.4487014224765909E-2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0.44771816829681543</c:v>
                  </c:pt>
                  <c:pt idx="1">
                    <c:v>0.58042941366776968</c:v>
                  </c:pt>
                  <c:pt idx="2">
                    <c:v>0.54270246639655184</c:v>
                  </c:pt>
                  <c:pt idx="3">
                    <c:v>0.47415942533835653</c:v>
                  </c:pt>
                  <c:pt idx="4">
                    <c:v>0.31750860447217333</c:v>
                  </c:pt>
                  <c:pt idx="5">
                    <c:v>0.43956569879096508</c:v>
                  </c:pt>
                  <c:pt idx="6">
                    <c:v>0.3649334881605355</c:v>
                  </c:pt>
                  <c:pt idx="7">
                    <c:v>0.41241163024788074</c:v>
                  </c:pt>
                  <c:pt idx="8">
                    <c:v>0.43937099166666482</c:v>
                  </c:pt>
                  <c:pt idx="9">
                    <c:v>0.54273680798577018</c:v>
                  </c:pt>
                  <c:pt idx="10">
                    <c:v>0.45621162292803596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0.29526143483296396</c:v>
                  </c:pt>
                  <c:pt idx="1">
                    <c:v>0.40417917363396028</c:v>
                  </c:pt>
                  <c:pt idx="2">
                    <c:v>0.37656996458611558</c:v>
                  </c:pt>
                  <c:pt idx="3">
                    <c:v>0.33568402671762565</c:v>
                  </c:pt>
                  <c:pt idx="4">
                    <c:v>0.22650384065715523</c:v>
                  </c:pt>
                  <c:pt idx="5">
                    <c:v>0.30976096715190993</c:v>
                  </c:pt>
                  <c:pt idx="6">
                    <c:v>0.26084204365626851</c:v>
                  </c:pt>
                  <c:pt idx="7">
                    <c:v>0.27573646208051894</c:v>
                  </c:pt>
                  <c:pt idx="8">
                    <c:v>0.31452661546578753</c:v>
                  </c:pt>
                  <c:pt idx="9">
                    <c:v>0.3765883592672874</c:v>
                  </c:pt>
                  <c:pt idx="10">
                    <c:v>0.30941238002681737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5.6120092988840853E-2</c:v>
                </c:pt>
                <c:pt idx="1">
                  <c:v>7.4152539142754423E-2</c:v>
                </c:pt>
                <c:pt idx="2">
                  <c:v>7.2725947418103912E-2</c:v>
                </c:pt>
                <c:pt idx="3">
                  <c:v>8.1423453333031595E-2</c:v>
                </c:pt>
                <c:pt idx="4">
                  <c:v>8.5141161444158606E-2</c:v>
                </c:pt>
                <c:pt idx="5">
                  <c:v>7.9291223265719246E-2</c:v>
                </c:pt>
                <c:pt idx="6">
                  <c:v>8.6132308289821366E-2</c:v>
                </c:pt>
                <c:pt idx="7">
                  <c:v>5.9978816395064166E-2</c:v>
                </c:pt>
                <c:pt idx="8">
                  <c:v>8.6953022180187259E-2</c:v>
                </c:pt>
                <c:pt idx="9">
                  <c:v>7.2720319591903254E-2</c:v>
                </c:pt>
                <c:pt idx="10">
                  <c:v>6.4487014224765909E-2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0.44771787065104252</c:v>
                  </c:pt>
                  <c:pt idx="1">
                    <c:v>0.5804294068398641</c:v>
                  </c:pt>
                  <c:pt idx="2">
                    <c:v>0.54270245426475028</c:v>
                  </c:pt>
                  <c:pt idx="3">
                    <c:v>0.47415941980380016</c:v>
                  </c:pt>
                  <c:pt idx="4">
                    <c:v>0.31750860183247398</c:v>
                  </c:pt>
                  <c:pt idx="5">
                    <c:v>0.43956569363592357</c:v>
                  </c:pt>
                  <c:pt idx="6">
                    <c:v>0.36493348385819346</c:v>
                  </c:pt>
                  <c:pt idx="7">
                    <c:v>0.41241151297755885</c:v>
                  </c:pt>
                  <c:pt idx="8">
                    <c:v>0.43937095295154172</c:v>
                  </c:pt>
                  <c:pt idx="9">
                    <c:v>0.54273679572558375</c:v>
                  </c:pt>
                  <c:pt idx="10">
                    <c:v>0.45621145087625181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0.29526130538243389</c:v>
                  </c:pt>
                  <c:pt idx="1">
                    <c:v>0.40417917032313277</c:v>
                  </c:pt>
                  <c:pt idx="2">
                    <c:v>0.37656995874503685</c:v>
                  </c:pt>
                  <c:pt idx="3">
                    <c:v>0.33568402394369634</c:v>
                  </c:pt>
                  <c:pt idx="4">
                    <c:v>0.22650383931378837</c:v>
                  </c:pt>
                  <c:pt idx="5">
                    <c:v>0.30976096459192171</c:v>
                  </c:pt>
                  <c:pt idx="6">
                    <c:v>0.2608420414582433</c:v>
                  </c:pt>
                  <c:pt idx="7">
                    <c:v>0.27573640965837876</c:v>
                  </c:pt>
                  <c:pt idx="8">
                    <c:v>0.31452659562619723</c:v>
                  </c:pt>
                  <c:pt idx="9">
                    <c:v>0.37658835336456575</c:v>
                  </c:pt>
                  <c:pt idx="10">
                    <c:v>0.30941230088574789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0.10822157861532689</c:v>
                </c:pt>
                <c:pt idx="1">
                  <c:v>0.13927574809730275</c:v>
                </c:pt>
                <c:pt idx="2">
                  <c:v>0.13687794464992548</c:v>
                </c:pt>
                <c:pt idx="3">
                  <c:v>0.15134490999694505</c:v>
                </c:pt>
                <c:pt idx="4">
                  <c:v>0.15741973128535233</c:v>
                </c:pt>
                <c:pt idx="5">
                  <c:v>0.14783161286514779</c:v>
                </c:pt>
                <c:pt idx="6">
                  <c:v>0.15902847448999977</c:v>
                </c:pt>
                <c:pt idx="7">
                  <c:v>0.12898301991245872</c:v>
                </c:pt>
                <c:pt idx="8">
                  <c:v>0.18699040870433903</c:v>
                </c:pt>
                <c:pt idx="9">
                  <c:v>0.15638331987382637</c:v>
                </c:pt>
                <c:pt idx="10">
                  <c:v>0.13867779225687557</c:v>
                </c:pt>
                <c:pt idx="11">
                  <c:v>0.19158538541891143</c:v>
                </c:pt>
                <c:pt idx="12">
                  <c:v>0.19738007383358888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0.44771787065104252</c:v>
                  </c:pt>
                  <c:pt idx="1">
                    <c:v>0.5804294068398641</c:v>
                  </c:pt>
                  <c:pt idx="2">
                    <c:v>0.54270245426475028</c:v>
                  </c:pt>
                  <c:pt idx="3">
                    <c:v>0.47415941980380016</c:v>
                  </c:pt>
                  <c:pt idx="4">
                    <c:v>0.31750860183247398</c:v>
                  </c:pt>
                  <c:pt idx="5">
                    <c:v>0.43956569363592357</c:v>
                  </c:pt>
                  <c:pt idx="6">
                    <c:v>0.36493348385819346</c:v>
                  </c:pt>
                  <c:pt idx="7">
                    <c:v>0.41241151297755885</c:v>
                  </c:pt>
                  <c:pt idx="8">
                    <c:v>0.43937095295154172</c:v>
                  </c:pt>
                  <c:pt idx="9">
                    <c:v>0.54273679572558375</c:v>
                  </c:pt>
                  <c:pt idx="10">
                    <c:v>0.45621145087625181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0.29526130538243389</c:v>
                  </c:pt>
                  <c:pt idx="1">
                    <c:v>0.40417917032313277</c:v>
                  </c:pt>
                  <c:pt idx="2">
                    <c:v>0.37656995874503685</c:v>
                  </c:pt>
                  <c:pt idx="3">
                    <c:v>0.33568402394369634</c:v>
                  </c:pt>
                  <c:pt idx="4">
                    <c:v>0.22650383931378837</c:v>
                  </c:pt>
                  <c:pt idx="5">
                    <c:v>0.30976096459192171</c:v>
                  </c:pt>
                  <c:pt idx="6">
                    <c:v>0.2608420414582433</c:v>
                  </c:pt>
                  <c:pt idx="7">
                    <c:v>0.27573640965837876</c:v>
                  </c:pt>
                  <c:pt idx="8">
                    <c:v>0.31452659562619723</c:v>
                  </c:pt>
                  <c:pt idx="9">
                    <c:v>0.37658835336456575</c:v>
                  </c:pt>
                  <c:pt idx="10">
                    <c:v>0.30941230088574789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0.10822157861532689</c:v>
                </c:pt>
                <c:pt idx="1">
                  <c:v>0.13927574809730275</c:v>
                </c:pt>
                <c:pt idx="2">
                  <c:v>0.13687794464992548</c:v>
                </c:pt>
                <c:pt idx="3">
                  <c:v>0.15134490999694505</c:v>
                </c:pt>
                <c:pt idx="4">
                  <c:v>0.15741973128535233</c:v>
                </c:pt>
                <c:pt idx="5">
                  <c:v>0.14783161286514779</c:v>
                </c:pt>
                <c:pt idx="6">
                  <c:v>0.15902847448999977</c:v>
                </c:pt>
                <c:pt idx="7">
                  <c:v>0.12898301991245872</c:v>
                </c:pt>
                <c:pt idx="8">
                  <c:v>0.18699040870433903</c:v>
                </c:pt>
                <c:pt idx="9">
                  <c:v>0.15638331987382637</c:v>
                </c:pt>
                <c:pt idx="10">
                  <c:v>0.13867779225687557</c:v>
                </c:pt>
                <c:pt idx="11">
                  <c:v>0.19158538541891143</c:v>
                </c:pt>
                <c:pt idx="12">
                  <c:v>0.19738007383358888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6.8005354752342706E-2</c:v>
                </c:pt>
                <c:pt idx="1">
                  <c:v>9.3896713615023476E-3</c:v>
                </c:pt>
                <c:pt idx="2">
                  <c:v>1.3180800795821936E-2</c:v>
                </c:pt>
                <c:pt idx="3">
                  <c:v>1.1014806789454677E-2</c:v>
                </c:pt>
                <c:pt idx="4">
                  <c:v>1.1755725190839695E-2</c:v>
                </c:pt>
                <c:pt idx="5">
                  <c:v>1.1209546194178268E-2</c:v>
                </c:pt>
                <c:pt idx="6">
                  <c:v>1.3132048017460896E-2</c:v>
                </c:pt>
                <c:pt idx="7">
                  <c:v>4.779437609841828E-2</c:v>
                </c:pt>
                <c:pt idx="8">
                  <c:v>3.3814022874191947E-2</c:v>
                </c:pt>
                <c:pt idx="9">
                  <c:v>1.325E-2</c:v>
                </c:pt>
                <c:pt idx="10">
                  <c:v>5.5837563451776651E-2</c:v>
                </c:pt>
                <c:pt idx="11">
                  <c:v>8.0203045685279181E-2</c:v>
                </c:pt>
                <c:pt idx="12">
                  <c:v>8.223350253807106E-2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5.9504685408299868E-2</c:v>
                </c:pt>
                <c:pt idx="1">
                  <c:v>1.2459371614301192E-2</c:v>
                </c:pt>
                <c:pt idx="2">
                  <c:v>1.6165133051479732E-2</c:v>
                </c:pt>
                <c:pt idx="3">
                  <c:v>1.2639942217407007E-2</c:v>
                </c:pt>
                <c:pt idx="4">
                  <c:v>9.3129770992366415E-3</c:v>
                </c:pt>
                <c:pt idx="5">
                  <c:v>1.1751943590670765E-2</c:v>
                </c:pt>
                <c:pt idx="6">
                  <c:v>1.2022553655874863E-2</c:v>
                </c:pt>
                <c:pt idx="7">
                  <c:v>4.0087873462214409E-2</c:v>
                </c:pt>
                <c:pt idx="8">
                  <c:v>3.7294878170064646E-2</c:v>
                </c:pt>
                <c:pt idx="9">
                  <c:v>1.6250000000000001E-2</c:v>
                </c:pt>
                <c:pt idx="10">
                  <c:v>5.3807106598984772E-2</c:v>
                </c:pt>
                <c:pt idx="11">
                  <c:v>7.5126903553299498E-2</c:v>
                </c:pt>
                <c:pt idx="12">
                  <c:v>7.8172588832487316E-2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22.20150953753911</c:v>
                </c:pt>
                <c:pt idx="1">
                  <c:v>29.335274004944381</c:v>
                </c:pt>
                <c:pt idx="2">
                  <c:v>28.770904131442915</c:v>
                </c:pt>
                <c:pt idx="3">
                  <c:v>32.211699579901385</c:v>
                </c:pt>
                <c:pt idx="4">
                  <c:v>33.682451456655855</c:v>
                </c:pt>
                <c:pt idx="5">
                  <c:v>31.368174139110049</c:v>
                </c:pt>
                <c:pt idx="6">
                  <c:v>34.074556226536743</c:v>
                </c:pt>
                <c:pt idx="7">
                  <c:v>23.728048072017788</c:v>
                </c:pt>
                <c:pt idx="8">
                  <c:v>34.399236502247838</c:v>
                </c:pt>
                <c:pt idx="9">
                  <c:v>28.768677723209869</c:v>
                </c:pt>
                <c:pt idx="10">
                  <c:v>25.511523326293265</c:v>
                </c:pt>
                <c:pt idx="11">
                  <c:v>35.244540236391877</c:v>
                </c:pt>
                <c:pt idx="12">
                  <c:v>36.310546020402441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8.3260803126139329E-2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8.8120712399489418E-2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-2.178812829667228</c:v>
                </c:pt>
                <c:pt idx="1">
                  <c:v>-2.0906921172677384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2.178812829667228</c:v>
                </c:pt>
                <c:pt idx="1">
                  <c:v>2.2669335420667176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4.7118477837828241</c:v>
                </c:pt>
                <c:pt idx="1">
                  <c:v>5.416204760249042</c:v>
                </c:pt>
                <c:pt idx="2">
                  <c:v>5.3638516134810175</c:v>
                </c:pt>
                <c:pt idx="3">
                  <c:v>5.6755351800426173</c:v>
                </c:pt>
                <c:pt idx="4">
                  <c:v>5.8036584545143466</c:v>
                </c:pt>
                <c:pt idx="5">
                  <c:v>5.6007297862966077</c:v>
                </c:pt>
                <c:pt idx="6">
                  <c:v>5.8373415375954094</c:v>
                </c:pt>
                <c:pt idx="7">
                  <c:v>4.8711444314470684</c:v>
                </c:pt>
                <c:pt idx="8">
                  <c:v>5.8650862314417704</c:v>
                </c:pt>
                <c:pt idx="9">
                  <c:v>5.3636440712644111</c:v>
                </c:pt>
                <c:pt idx="10">
                  <c:v>5.0508933196310197</c:v>
                </c:pt>
                <c:pt idx="11">
                  <c:v>5.9367112306724064</c:v>
                </c:pt>
                <c:pt idx="12">
                  <c:v>6.0258232649491505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-0.67196127858592847</c:v>
                </c:pt>
                <c:pt idx="1">
                  <c:v>1.5488525453564352</c:v>
                </c:pt>
                <c:pt idx="2">
                  <c:v>1.1109831096495002</c:v>
                </c:pt>
                <c:pt idx="3">
                  <c:v>0.79040888269538134</c:v>
                </c:pt>
                <c:pt idx="4">
                  <c:v>-1.3661830211255181</c:v>
                </c:pt>
                <c:pt idx="5">
                  <c:v>0.2677237425113958</c:v>
                </c:pt>
                <c:pt idx="6">
                  <c:v>-0.5218287130978283</c:v>
                </c:pt>
                <c:pt idx="7">
                  <c:v>-0.89577832112573053</c:v>
                </c:pt>
                <c:pt idx="8">
                  <c:v>0.59583170498688398</c:v>
                </c:pt>
                <c:pt idx="9">
                  <c:v>1.1110266872998611</c:v>
                </c:pt>
                <c:pt idx="10">
                  <c:v>-0.19794198485400022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-0.14261099029953303</c:v>
                </c:pt>
                <c:pt idx="1">
                  <c:v>0.28596639416660785</c:v>
                </c:pt>
                <c:pt idx="2">
                  <c:v>0.20712413200567595</c:v>
                </c:pt>
                <c:pt idx="3">
                  <c:v>0.13926596481592882</c:v>
                </c:pt>
                <c:pt idx="4">
                  <c:v>-0.23540031375603082</c:v>
                </c:pt>
                <c:pt idx="5">
                  <c:v>4.7801581709305027E-2</c:v>
                </c:pt>
                <c:pt idx="6">
                  <c:v>-8.9394925710100992E-2</c:v>
                </c:pt>
                <c:pt idx="7">
                  <c:v>-0.18389483903264639</c:v>
                </c:pt>
                <c:pt idx="8">
                  <c:v>0.10158958990112155</c:v>
                </c:pt>
                <c:pt idx="9">
                  <c:v>0.20714027115485881</c:v>
                </c:pt>
                <c:pt idx="10">
                  <c:v>-3.9189500218638623E-2</c:v>
                </c:pt>
                <c:pt idx="11">
                  <c:v>-7.0886350479830787E-2</c:v>
                </c:pt>
                <c:pt idx="12">
                  <c:v>-5.5058751027871673E-2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0.21223096455742627</c:v>
                </c:pt>
                <c:pt idx="1">
                  <c:v>0.18463112904062717</c:v>
                </c:pt>
                <c:pt idx="2">
                  <c:v>0.18643319615454887</c:v>
                </c:pt>
                <c:pt idx="3">
                  <c:v>0.17619483771616601</c:v>
                </c:pt>
                <c:pt idx="4">
                  <c:v>0.17230510855134057</c:v>
                </c:pt>
                <c:pt idx="5">
                  <c:v>0.17854816035701551</c:v>
                </c:pt>
                <c:pt idx="6">
                  <c:v>0.17131086018515415</c:v>
                </c:pt>
                <c:pt idx="7">
                  <c:v>0.20529056653385463</c:v>
                </c:pt>
                <c:pt idx="8">
                  <c:v>0.17050047698176424</c:v>
                </c:pt>
                <c:pt idx="9">
                  <c:v>0.18644041004836151</c:v>
                </c:pt>
                <c:pt idx="10">
                  <c:v>0.19798477946729875</c:v>
                </c:pt>
                <c:pt idx="11">
                  <c:v>0.16844342955969202</c:v>
                </c:pt>
                <c:pt idx="12">
                  <c:v>0.16595242774821717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-0.54027001195884761</c:v>
                </c:pt>
                <c:pt idx="1">
                  <c:v>1.4623846157597693E-2</c:v>
                </c:pt>
                <c:pt idx="2">
                  <c:v>0.56951770427404302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0.25467715746891151</c:v>
                </c:pt>
                <c:pt idx="1">
                  <c:v>0</c:v>
                </c:pt>
                <c:pt idx="2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1.4623846157597693E-2</c:v>
                </c:pt>
                <c:pt idx="1">
                  <c:v>1.4623846157597693E-2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-0.84162123357291474</c:v>
                </c:pt>
                <c:pt idx="1">
                  <c:v>1.6448536269514715</c:v>
                </c:pt>
                <c:pt idx="2">
                  <c:v>0.84162123357291341</c:v>
                </c:pt>
                <c:pt idx="3">
                  <c:v>0.59776012604247841</c:v>
                </c:pt>
                <c:pt idx="4">
                  <c:v>-1.6448536269514726</c:v>
                </c:pt>
                <c:pt idx="5">
                  <c:v>0.18911842627279243</c:v>
                </c:pt>
                <c:pt idx="6">
                  <c:v>-0.59776012604247875</c:v>
                </c:pt>
                <c:pt idx="7">
                  <c:v>-1.1503493803760083</c:v>
                </c:pt>
                <c:pt idx="8">
                  <c:v>0.38532046640756745</c:v>
                </c:pt>
                <c:pt idx="9">
                  <c:v>1.1503493803760076</c:v>
                </c:pt>
                <c:pt idx="10">
                  <c:v>0</c:v>
                </c:pt>
                <c:pt idx="11">
                  <c:v>-0.38532046640756762</c:v>
                </c:pt>
                <c:pt idx="12">
                  <c:v>-0.18911842627279254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-0.67196127858592847</c:v>
                </c:pt>
                <c:pt idx="1">
                  <c:v>1.5488525453564352</c:v>
                </c:pt>
                <c:pt idx="2">
                  <c:v>1.1109831096495002</c:v>
                </c:pt>
                <c:pt idx="3">
                  <c:v>0.79040888269538134</c:v>
                </c:pt>
                <c:pt idx="4">
                  <c:v>-1.3661830211255181</c:v>
                </c:pt>
                <c:pt idx="5">
                  <c:v>0.2677237425113958</c:v>
                </c:pt>
                <c:pt idx="6">
                  <c:v>-0.5218287130978283</c:v>
                </c:pt>
                <c:pt idx="7">
                  <c:v>-0.89577832112573053</c:v>
                </c:pt>
                <c:pt idx="8">
                  <c:v>0.59583170498688398</c:v>
                </c:pt>
                <c:pt idx="9">
                  <c:v>1.1110266872998611</c:v>
                </c:pt>
                <c:pt idx="10">
                  <c:v>-0.19794198485400022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-1.4630480968504167</c:v>
                </c:pt>
                <c:pt idx="1">
                  <c:v>1.6197445980554421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7.8348250602513228E-2</c:v>
                </c:pt>
                <c:pt idx="1">
                  <c:v>7.8348250602513228E-2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7.6923076923076927E-2</c:v>
                </c:pt>
                <c:pt idx="2">
                  <c:v>0</c:v>
                </c:pt>
                <c:pt idx="3">
                  <c:v>0.23076923076923078</c:v>
                </c:pt>
                <c:pt idx="4">
                  <c:v>0.23076923076923078</c:v>
                </c:pt>
                <c:pt idx="5">
                  <c:v>7.6923076923076927E-2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0.15384615384615385</c:v>
                </c:pt>
                <c:pt idx="9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631825</xdr:colOff>
      <xdr:row>1</xdr:row>
      <xdr:rowOff>88900</xdr:rowOff>
    </xdr:from>
    <xdr:to>
      <xdr:col>11</xdr:col>
      <xdr:colOff>5048250</xdr:colOff>
      <xdr:row>204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628650</xdr:colOff>
      <xdr:row>1</xdr:row>
      <xdr:rowOff>6350</xdr:rowOff>
    </xdr:from>
    <xdr:to>
      <xdr:col>14</xdr:col>
      <xdr:colOff>66675</xdr:colOff>
      <xdr:row>28</xdr:row>
      <xdr:rowOff>111126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abSelected="1" zoomScaleNormal="100" workbookViewId="0">
      <pane ySplit="1" topLeftCell="A2" activePane="bottomLeft" state="frozen"/>
      <selection pane="bottomLeft" activeCell="B21" sqref="B21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7">
        <f>IF(AND(Sufficient_data="Yes",Include_study?="Yes"),1,"")</f>
        <v>1</v>
      </c>
      <c r="B2" s="136" t="s">
        <v>21</v>
      </c>
      <c r="C2" s="5" t="s">
        <v>12</v>
      </c>
      <c r="D2" s="100">
        <v>44.45</v>
      </c>
      <c r="E2" s="100"/>
      <c r="F2" s="100">
        <v>50.8</v>
      </c>
      <c r="G2" s="100"/>
      <c r="H2" s="100">
        <v>747</v>
      </c>
      <c r="I2" s="100">
        <v>747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343</v>
      </c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107">
        <f>IF(AND(Sufficient_data="Yes",Include_study?="Yes"),COUNT(A$2:A2)+1,"")</f>
        <v>2</v>
      </c>
      <c r="B3" s="136" t="s">
        <v>339</v>
      </c>
      <c r="C3" s="5" t="s">
        <v>12</v>
      </c>
      <c r="D3" s="100">
        <v>69</v>
      </c>
      <c r="E3" s="100"/>
      <c r="F3" s="100">
        <v>52</v>
      </c>
      <c r="G3" s="100"/>
      <c r="H3" s="100">
        <v>5538</v>
      </c>
      <c r="I3" s="100">
        <v>5538</v>
      </c>
      <c r="J3" s="3" t="str">
        <f t="shared" si="0"/>
        <v>Yes</v>
      </c>
      <c r="K3" s="5" t="s">
        <v>343</v>
      </c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107">
        <f>IF(AND(Sufficient_data="Yes",Include_study?="Yes"),COUNT(A$2:A3)+1,"")</f>
        <v>3</v>
      </c>
      <c r="B4" s="137" t="s">
        <v>339</v>
      </c>
      <c r="C4" s="5" t="s">
        <v>12</v>
      </c>
      <c r="D4" s="100">
        <v>65</v>
      </c>
      <c r="E4" s="100"/>
      <c r="F4" s="100">
        <v>53</v>
      </c>
      <c r="G4" s="100"/>
      <c r="H4" s="100">
        <v>4021</v>
      </c>
      <c r="I4" s="100">
        <v>4021</v>
      </c>
      <c r="J4" s="3" t="str">
        <f t="shared" si="0"/>
        <v>Yes</v>
      </c>
      <c r="K4" s="5" t="s">
        <v>343</v>
      </c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107">
        <f>IF(AND(Sufficient_data="Yes",Include_study?="Yes"),COUNT(A$2:A4)+1,"")</f>
        <v>4</v>
      </c>
      <c r="B5" s="138" t="s">
        <v>340</v>
      </c>
      <c r="C5" s="5" t="s">
        <v>12</v>
      </c>
      <c r="D5" s="27">
        <v>70</v>
      </c>
      <c r="E5" s="27"/>
      <c r="F5" s="27">
        <v>61</v>
      </c>
      <c r="G5" s="27"/>
      <c r="H5" s="27">
        <v>5538</v>
      </c>
      <c r="I5" s="27">
        <v>5538</v>
      </c>
      <c r="J5" s="3" t="str">
        <f t="shared" si="0"/>
        <v>Yes</v>
      </c>
      <c r="K5" s="5" t="s">
        <v>343</v>
      </c>
      <c r="L5" s="27"/>
      <c r="S5" s="92"/>
      <c r="T5" s="92"/>
    </row>
    <row r="6" spans="1:20" x14ac:dyDescent="0.3">
      <c r="A6" s="107">
        <f>IF(AND(Sufficient_data="Yes",Include_study?="Yes"),COUNT(A$2:A5)+1,"")</f>
        <v>5</v>
      </c>
      <c r="B6" s="137" t="s">
        <v>341</v>
      </c>
      <c r="C6" s="5" t="s">
        <v>12</v>
      </c>
      <c r="D6" s="27">
        <v>61</v>
      </c>
      <c r="E6" s="27"/>
      <c r="F6" s="27">
        <v>77</v>
      </c>
      <c r="G6" s="27"/>
      <c r="H6" s="27">
        <v>6550</v>
      </c>
      <c r="I6" s="27">
        <v>6550</v>
      </c>
      <c r="J6" s="3" t="str">
        <f t="shared" si="0"/>
        <v>Yes</v>
      </c>
      <c r="K6" s="5" t="s">
        <v>343</v>
      </c>
      <c r="L6" s="27"/>
      <c r="S6" s="92"/>
      <c r="T6" s="92"/>
    </row>
    <row r="7" spans="1:20" ht="14.5" x14ac:dyDescent="0.35">
      <c r="A7" s="107">
        <f>IF(AND(Sufficient_data="Yes",Include_study?="Yes"),COUNT(A$2:A6)+1,"")</f>
        <v>6</v>
      </c>
      <c r="B7" s="139" t="s">
        <v>22</v>
      </c>
      <c r="C7" s="5" t="s">
        <v>12</v>
      </c>
      <c r="D7" s="27">
        <v>65</v>
      </c>
      <c r="E7" s="27"/>
      <c r="F7" s="27">
        <v>62</v>
      </c>
      <c r="G7" s="27"/>
      <c r="H7" s="27">
        <v>5531</v>
      </c>
      <c r="I7" s="27">
        <v>5531</v>
      </c>
      <c r="J7" s="3" t="str">
        <f t="shared" si="0"/>
        <v>Yes</v>
      </c>
      <c r="K7" s="5" t="s">
        <v>343</v>
      </c>
      <c r="L7" s="27"/>
      <c r="S7" s="92"/>
      <c r="T7" s="92"/>
    </row>
    <row r="8" spans="1:20" x14ac:dyDescent="0.3">
      <c r="A8" s="107">
        <f>IF(AND(Sufficient_data="Yes",Include_study?="Yes"),COUNT(A$2:A7)+1,"")</f>
        <v>7</v>
      </c>
      <c r="B8" s="138" t="s">
        <v>342</v>
      </c>
      <c r="C8" s="5" t="s">
        <v>12</v>
      </c>
      <c r="D8" s="27">
        <v>66.099999999999994</v>
      </c>
      <c r="E8" s="27"/>
      <c r="F8" s="27">
        <v>72.2</v>
      </c>
      <c r="G8" s="27"/>
      <c r="H8" s="27">
        <v>5498</v>
      </c>
      <c r="I8" s="27">
        <v>5498</v>
      </c>
      <c r="J8" s="3" t="str">
        <f t="shared" si="0"/>
        <v>Yes</v>
      </c>
      <c r="K8" s="5" t="s">
        <v>343</v>
      </c>
      <c r="L8" s="27"/>
      <c r="S8" s="92"/>
      <c r="T8" s="92"/>
    </row>
    <row r="9" spans="1:20" s="97" customFormat="1" x14ac:dyDescent="0.3">
      <c r="A9" s="107">
        <f>IF(AND(Sufficient_data="Yes",Include_study?="Yes"),COUNT(A$2:A8)+1,"")</f>
        <v>8</v>
      </c>
      <c r="B9" s="109" t="s">
        <v>21</v>
      </c>
      <c r="C9" s="5" t="s">
        <v>12</v>
      </c>
      <c r="D9" s="27">
        <v>45.62</v>
      </c>
      <c r="E9" s="27"/>
      <c r="F9" s="27">
        <v>54.39</v>
      </c>
      <c r="G9" s="27"/>
      <c r="H9" s="27">
        <v>1138</v>
      </c>
      <c r="I9" s="27">
        <v>1138</v>
      </c>
      <c r="J9" s="99" t="str">
        <f t="shared" si="0"/>
        <v>Yes</v>
      </c>
      <c r="K9" s="5" t="s">
        <v>344</v>
      </c>
      <c r="L9" s="27"/>
    </row>
    <row r="10" spans="1:20" s="97" customFormat="1" x14ac:dyDescent="0.3">
      <c r="A10" s="107">
        <f>IF(AND(Sufficient_data="Yes",Include_study?="Yes"),COUNT(A$2:A9)+1,"")</f>
        <v>9</v>
      </c>
      <c r="B10" s="109" t="s">
        <v>337</v>
      </c>
      <c r="C10" s="5" t="s">
        <v>12</v>
      </c>
      <c r="D10" s="27">
        <v>75</v>
      </c>
      <c r="E10" s="27"/>
      <c r="F10" s="27">
        <v>68</v>
      </c>
      <c r="G10" s="27"/>
      <c r="H10" s="27">
        <v>2011</v>
      </c>
      <c r="I10" s="93">
        <v>2011</v>
      </c>
      <c r="J10" s="99" t="s">
        <v>12</v>
      </c>
      <c r="K10" s="5" t="s">
        <v>344</v>
      </c>
      <c r="L10" s="27"/>
    </row>
    <row r="11" spans="1:20" s="97" customFormat="1" x14ac:dyDescent="0.3">
      <c r="A11" s="107">
        <f>IF(AND(Sufficient_data="Yes",Include_study?="Yes"),COUNT(A$2:A10)+1,"")</f>
        <v>10</v>
      </c>
      <c r="B11" s="94" t="s">
        <v>22</v>
      </c>
      <c r="C11" s="5" t="s">
        <v>12</v>
      </c>
      <c r="D11" s="27">
        <v>65</v>
      </c>
      <c r="E11" s="27"/>
      <c r="F11" s="27">
        <v>53</v>
      </c>
      <c r="G11" s="27"/>
      <c r="H11" s="27">
        <v>4000</v>
      </c>
      <c r="I11" s="27">
        <v>4000</v>
      </c>
      <c r="J11" s="99" t="s">
        <v>12</v>
      </c>
      <c r="K11" s="5" t="s">
        <v>344</v>
      </c>
      <c r="L11" s="27"/>
    </row>
    <row r="12" spans="1:20" s="94" customFormat="1" x14ac:dyDescent="0.3">
      <c r="A12" s="107">
        <f>IF(AND(Sufficient_data="Yes",Include_study?="Yes"),COUNT(A$2:A11)+1,"")</f>
        <v>11</v>
      </c>
      <c r="B12" s="94" t="s">
        <v>338</v>
      </c>
      <c r="C12" s="5" t="s">
        <v>12</v>
      </c>
      <c r="D12" s="27">
        <v>53</v>
      </c>
      <c r="E12" s="27"/>
      <c r="F12" s="27">
        <v>55</v>
      </c>
      <c r="G12" s="27"/>
      <c r="H12" s="27">
        <v>985</v>
      </c>
      <c r="I12" s="27">
        <v>985</v>
      </c>
      <c r="J12" s="99" t="str">
        <f t="shared" si="0"/>
        <v>Yes</v>
      </c>
      <c r="K12" s="5" t="s">
        <v>344</v>
      </c>
      <c r="L12" s="27"/>
      <c r="S12" s="106"/>
      <c r="T12" s="106"/>
    </row>
    <row r="13" spans="1:20" x14ac:dyDescent="0.3">
      <c r="A13" s="107">
        <f>IF(AND(Sufficient_data="Yes",Include_study?="Yes"),COUNT(A$2:A12)+1,"")</f>
        <v>12</v>
      </c>
      <c r="B13" s="109" t="s">
        <v>338</v>
      </c>
      <c r="C13" s="5" t="s">
        <v>12</v>
      </c>
      <c r="D13" s="27">
        <v>74</v>
      </c>
      <c r="E13" s="27"/>
      <c r="F13" s="27">
        <v>79</v>
      </c>
      <c r="G13" s="27"/>
      <c r="H13" s="27">
        <v>985</v>
      </c>
      <c r="I13" s="27">
        <v>985</v>
      </c>
      <c r="J13" s="3" t="str">
        <f t="shared" si="0"/>
        <v>Yes</v>
      </c>
      <c r="K13" s="5" t="s">
        <v>344</v>
      </c>
      <c r="L13" s="27"/>
      <c r="S13" s="92"/>
      <c r="T13" s="92"/>
    </row>
    <row r="14" spans="1:20" x14ac:dyDescent="0.3">
      <c r="A14" s="107">
        <f>IF(AND(Sufficient_data="Yes",Include_study?="Yes"),COUNT(A$2:A13)+1,"")</f>
        <v>13</v>
      </c>
      <c r="B14" s="12" t="s">
        <v>338</v>
      </c>
      <c r="C14" s="5" t="s">
        <v>12</v>
      </c>
      <c r="D14" s="27">
        <v>77</v>
      </c>
      <c r="E14" s="27"/>
      <c r="F14" s="27">
        <v>81</v>
      </c>
      <c r="G14" s="27"/>
      <c r="H14" s="27">
        <v>985</v>
      </c>
      <c r="I14" s="27">
        <v>985</v>
      </c>
      <c r="J14" s="3" t="str">
        <f t="shared" si="0"/>
        <v>Yes</v>
      </c>
      <c r="K14" s="5" t="s">
        <v>344</v>
      </c>
      <c r="L14" s="27"/>
      <c r="S14" s="92"/>
      <c r="T14" s="92"/>
    </row>
    <row r="15" spans="1:20" ht="14.5" x14ac:dyDescent="0.35">
      <c r="A15" s="107" t="str">
        <f>IF(AND(Sufficient_data="Yes",Include_study?="Yes"),COUNT(A$2:A14)+1,"")</f>
        <v/>
      </c>
      <c r="B15" s="108"/>
      <c r="C15" s="98" t="s">
        <v>20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7" t="str">
        <f>IF(AND(Sufficient_data="Yes",Include_study?="Yes"),COUNT(A$2:A15)+1,"")</f>
        <v/>
      </c>
      <c r="B16" s="12"/>
      <c r="C16" s="98" t="s">
        <v>20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7" t="str">
        <f>IF(AND(Sufficient_data="Yes",Include_study?="Yes"),COUNT(A$2:A16)+1,"")</f>
        <v/>
      </c>
      <c r="B17" s="12"/>
      <c r="C17" s="98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7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7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13" activePane="bottomLeft" state="frozen"/>
      <selection pane="bottomLeft" activeCell="E2" sqref="E2:I7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4" t="s">
        <v>23</v>
      </c>
      <c r="B1" s="114"/>
      <c r="D1" s="1" t="s">
        <v>24</v>
      </c>
      <c r="E1" s="1" t="s">
        <v>1</v>
      </c>
      <c r="F1" s="1" t="str">
        <f>IF(Present_Effect_size_measure&lt;&gt;"",Present_Effect_size_measure,"")</f>
        <v>Odds Ratio</v>
      </c>
      <c r="G1" s="1" t="s">
        <v>25</v>
      </c>
      <c r="H1" s="1" t="s">
        <v>26</v>
      </c>
      <c r="I1" s="1" t="s">
        <v>27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28</v>
      </c>
      <c r="B2" s="5" t="s">
        <v>29</v>
      </c>
      <c r="D2" s="47">
        <v>1</v>
      </c>
      <c r="E2" s="16" t="str">
        <f>IF(Number&lt;=COUNT(Entry_number),INDEX(Lookup_table,MATCH(Number,Calculations!AK:AK,0),3),"")</f>
        <v>Lubis et al.</v>
      </c>
      <c r="F2" s="4">
        <f>IF(Ranked_number&lt;=COUNT(Entry_number),INDEX(Lookup_table,MATCH(Number,Calculations!AK:AK,0),5),"")</f>
        <v>0.86709131022703034</v>
      </c>
      <c r="G2" s="4">
        <f>IF(Ranked_number&lt;=COUNT(Entry_number),INDEX(Lookup_table,MATCH(Number,Calculations!AK:AK,0),9),"")</f>
        <v>0.57182987539406638</v>
      </c>
      <c r="H2" s="4">
        <f>IF(Ranked_number&lt;=COUNT(Entry_number),INDEX(Lookup_table,MATCH(Number,Calculations!AK:AK,0),10),"")</f>
        <v>1.3148094785238458</v>
      </c>
      <c r="I2" s="8">
        <f>IF(D2&lt;=COUNT(Entry_number),INDEX(Lookup_table,MATCH(Number,Calculations!AK:AK,0),11),"")</f>
        <v>5.6120092988840853E-2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30</v>
      </c>
      <c r="M2" s="115" t="s">
        <v>31</v>
      </c>
      <c r="O2" s="116" t="s">
        <v>32</v>
      </c>
    </row>
    <row r="3" spans="1:15" x14ac:dyDescent="0.3">
      <c r="A3" s="3" t="s">
        <v>33</v>
      </c>
      <c r="B3" s="29">
        <v>0.95</v>
      </c>
      <c r="D3" s="48">
        <v>2</v>
      </c>
      <c r="E3" s="16" t="str">
        <f>IF(Number&lt;=COUNT(Entry_number),INDEX(Lookup_table,MATCH(Number,Calculations!AK:AK,0),3),"")</f>
        <v>Lu et al.</v>
      </c>
      <c r="F3" s="4">
        <f>IF(Ranked_number&lt;=COUNT(Entry_number),INDEX(Lookup_table,MATCH(Number,Calculations!AK:AK,0),5),"")</f>
        <v>1.3310477235326386</v>
      </c>
      <c r="G3" s="4">
        <f>IF(Ranked_number&lt;=COUNT(Entry_number),INDEX(Lookup_table,MATCH(Number,Calculations!AK:AK,0),9),"")</f>
        <v>0.92686854989867828</v>
      </c>
      <c r="H3" s="4">
        <f>IF(Ranked_number&lt;=COUNT(Entry_number),INDEX(Lookup_table,MATCH(Number,Calculations!AK:AK,0),10),"")</f>
        <v>1.9114771372004082</v>
      </c>
      <c r="I3" s="8">
        <f>IF(D3&lt;=COUNT(Entry_number),INDEX(Lookup_table,MATCH(Number,Calculations!AK:AK,0),11),"")</f>
        <v>7.4152539142754423E-2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5"/>
      <c r="O3" s="116"/>
    </row>
    <row r="4" spans="1:15" x14ac:dyDescent="0.3">
      <c r="D4" s="48">
        <v>3</v>
      </c>
      <c r="E4" s="16" t="str">
        <f>IF(Number&lt;=COUNT(Entry_number),INDEX(Lookup_table,MATCH(Number,Calculations!AK:AK,0),3),"")</f>
        <v>Lu et al.</v>
      </c>
      <c r="F4" s="4">
        <f>IF(Ranked_number&lt;=COUNT(Entry_number),INDEX(Lookup_table,MATCH(Number,Calculations!AK:AK,0),5),"")</f>
        <v>1.2301352614609764</v>
      </c>
      <c r="G4" s="4">
        <f>IF(Ranked_number&lt;=COUNT(Entry_number),INDEX(Lookup_table,MATCH(Number,Calculations!AK:AK,0),9),"")</f>
        <v>0.85356529687486082</v>
      </c>
      <c r="H4" s="4">
        <f>IF(Ranked_number&lt;=COUNT(Entry_number),INDEX(Lookup_table,MATCH(Number,Calculations!AK:AK,0),10),"")</f>
        <v>1.7728377278575282</v>
      </c>
      <c r="I4" s="8">
        <f>IF(D4&lt;=COUNT(Entry_number),INDEX(Lookup_table,MATCH(Number,Calculations!AK:AK,0),11),"")</f>
        <v>7.2725947418103912E-2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34</v>
      </c>
      <c r="M4" s="115"/>
      <c r="O4" s="116"/>
    </row>
    <row r="5" spans="1:15" x14ac:dyDescent="0.3">
      <c r="A5" s="114" t="s">
        <v>35</v>
      </c>
      <c r="B5" s="114"/>
      <c r="D5" s="48">
        <v>4</v>
      </c>
      <c r="E5" s="16" t="str">
        <f>IF(Number&lt;=COUNT(Entry_number),INDEX(Lookup_table,MATCH(Number,Calculations!AK:AK,0),3),"")</f>
        <v>Seo et al.</v>
      </c>
      <c r="F5" s="4">
        <f>IF(Ranked_number&lt;=COUNT(Entry_number),INDEX(Lookup_table,MATCH(Number,Calculations!AK:AK,0),5),"")</f>
        <v>1.1494297672299039</v>
      </c>
      <c r="G5" s="4">
        <f>IF(Ranked_number&lt;=COUNT(Entry_number),INDEX(Lookup_table,MATCH(Number,Calculations!AK:AK,0),9),"")</f>
        <v>0.81374574051227822</v>
      </c>
      <c r="H5" s="4">
        <f>IF(Ranked_number&lt;=COUNT(Entry_number),INDEX(Lookup_table,MATCH(Number,Calculations!AK:AK,0),10),"")</f>
        <v>1.6235891925682604</v>
      </c>
      <c r="I5" s="8">
        <f>IF(D5&lt;=COUNT(Entry_number),INDEX(Lookup_table,MATCH(Number,Calculations!AK:AK,0),11),"")</f>
        <v>8.1423453333031595E-2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5"/>
      <c r="O5" s="116"/>
    </row>
    <row r="6" spans="1:15" x14ac:dyDescent="0.3">
      <c r="A6" s="3" t="s">
        <v>36</v>
      </c>
      <c r="B6" s="5" t="s">
        <v>37</v>
      </c>
      <c r="D6" s="48">
        <v>5</v>
      </c>
      <c r="E6" s="16" t="str">
        <f>IF(Number&lt;=COUNT(Entry_number),INDEX(Lookup_table,MATCH(Number,Calculations!AK:AK,0),3),"")</f>
        <v>Law et al.</v>
      </c>
      <c r="F6" s="4">
        <f>IF(Ranked_number&lt;=COUNT(Entry_number),INDEX(Lookup_table,MATCH(Number,Calculations!AK:AK,0),5),"")</f>
        <v>0.79025443657898586</v>
      </c>
      <c r="G6" s="4">
        <f>IF(Ranked_number&lt;=COUNT(Entry_number),INDEX(Lookup_table,MATCH(Number,Calculations!AK:AK,0),9),"")</f>
        <v>0.56375059592183063</v>
      </c>
      <c r="H6" s="4">
        <f>IF(Ranked_number&lt;=COUNT(Entry_number),INDEX(Lookup_table,MATCH(Number,Calculations!AK:AK,0),10),"")</f>
        <v>1.1077630410511592</v>
      </c>
      <c r="I6" s="8">
        <f>IF(D6&lt;=COUNT(Entry_number),INDEX(Lookup_table,MATCH(Number,Calculations!AK:AK,0),11),"")</f>
        <v>8.5141161444158606E-2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38</v>
      </c>
      <c r="M6" s="115"/>
      <c r="O6" s="116"/>
    </row>
    <row r="7" spans="1:15" x14ac:dyDescent="0.3">
      <c r="A7" s="3" t="s">
        <v>39</v>
      </c>
      <c r="B7" s="5" t="s">
        <v>40</v>
      </c>
      <c r="D7" s="48">
        <v>6</v>
      </c>
      <c r="E7" s="16" t="str">
        <f>IF(Number&lt;=COUNT(Entry_number),INDEX(Lookup_table,MATCH(Number,Calculations!AK:AK,0),3),"")</f>
        <v>Latif et al.</v>
      </c>
      <c r="F7" s="4">
        <f>IF(Ranked_number&lt;=COUNT(Entry_number),INDEX(Lookup_table,MATCH(Number,Calculations!AK:AK,0),5),"")</f>
        <v>1.0489625013278567</v>
      </c>
      <c r="G7" s="4">
        <f>IF(Ranked_number&lt;=COUNT(Entry_number),INDEX(Lookup_table,MATCH(Number,Calculations!AK:AK,0),9),"")</f>
        <v>0.73920153417594681</v>
      </c>
      <c r="H7" s="4">
        <f>IF(Ranked_number&lt;=COUNT(Entry_number),INDEX(Lookup_table,MATCH(Number,Calculations!AK:AK,0),10),"")</f>
        <v>1.4885282001188218</v>
      </c>
      <c r="I7" s="8">
        <f>IF(D7&lt;=COUNT(Entry_number),INDEX(Lookup_table,MATCH(Number,Calculations!AK:AK,0),11),"")</f>
        <v>7.9291223265719246E-2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41</v>
      </c>
      <c r="M7" s="115"/>
      <c r="O7" s="116"/>
    </row>
    <row r="8" spans="1:15" x14ac:dyDescent="0.3">
      <c r="A8" s="3" t="s">
        <v>42</v>
      </c>
      <c r="B8" s="5" t="s">
        <v>40</v>
      </c>
      <c r="D8" s="48">
        <v>7</v>
      </c>
      <c r="E8" s="16" t="str">
        <f>IF(Number&lt;=COUNT(Entry_number),INDEX(Lookup_table,MATCH(Number,Calculations!AK:AK,0),3),"")</f>
        <v>Hazarika et al. (A)</v>
      </c>
      <c r="F8" s="4">
        <f>IF(Ranked_number&lt;=COUNT(Entry_number),INDEX(Lookup_table,MATCH(Number,Calculations!AK:AK,0),5),"")</f>
        <v>0.91448434886983176</v>
      </c>
      <c r="G8" s="4">
        <f>IF(Ranked_number&lt;=COUNT(Entry_number),INDEX(Lookup_table,MATCH(Number,Calculations!AK:AK,0),9),"")</f>
        <v>0.65364230521356326</v>
      </c>
      <c r="H8" s="4">
        <f>IF(Ranked_number&lt;=COUNT(Entry_number),INDEX(Lookup_table,MATCH(Number,Calculations!AK:AK,0),10),"")</f>
        <v>1.2794178370303673</v>
      </c>
      <c r="I8" s="8">
        <f>IF(D8&lt;=COUNT(Entry_number),INDEX(Lookup_table,MATCH(Number,Calculations!AK:AK,0),11),"")</f>
        <v>8.6132308289821366E-2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5"/>
      <c r="O8" s="116"/>
    </row>
    <row r="9" spans="1:15" x14ac:dyDescent="0.3">
      <c r="A9" s="3" t="s">
        <v>43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Lubis et al.</v>
      </c>
      <c r="F9" s="4">
        <f>IF(Ranked_number&lt;=COUNT(Entry_number),INDEX(Lookup_table,MATCH(Number,Calculations!AK:AK,0),5),"")</f>
        <v>0.83202329560085742</v>
      </c>
      <c r="G9" s="4">
        <f>IF(Ranked_number&lt;=COUNT(Entry_number),INDEX(Lookup_table,MATCH(Number,Calculations!AK:AK,0),9),"")</f>
        <v>0.55628683352033848</v>
      </c>
      <c r="H9" s="4">
        <f>IF(Ranked_number&lt;=COUNT(Entry_number),INDEX(Lookup_table,MATCH(Number,Calculations!AK:AK,0),10),"")</f>
        <v>1.2444349258487382</v>
      </c>
      <c r="I9" s="8">
        <f>IF(D9&lt;=COUNT(Entry_number),INDEX(Lookup_table,MATCH(Number,Calculations!AK:AK,0),11),"")</f>
        <v>5.9978816395064166E-2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5"/>
      <c r="O9" s="116"/>
    </row>
    <row r="10" spans="1:15" x14ac:dyDescent="0.3">
      <c r="D10" s="48">
        <v>9</v>
      </c>
      <c r="E10" s="16" t="str">
        <f>IF(Number&lt;=COUNT(Entry_number),INDEX(Lookup_table,MATCH(Number,Calculations!AK:AK,0),3),"")</f>
        <v>Alhussein et al.</v>
      </c>
      <c r="F10" s="4">
        <f>IF(Ranked_number&lt;=COUNT(Entry_number),INDEX(Lookup_table,MATCH(Number,Calculations!AK:AK,0),5),"")</f>
        <v>1.1069290836169179</v>
      </c>
      <c r="G10" s="4">
        <f>IF(Ranked_number&lt;=COUNT(Entry_number),INDEX(Lookup_table,MATCH(Number,Calculations!AK:AK,0),9),"")</f>
        <v>0.79240246815113036</v>
      </c>
      <c r="H10" s="4">
        <f>IF(Ranked_number&lt;=COUNT(Entry_number),INDEX(Lookup_table,MATCH(Number,Calculations!AK:AK,0),10),"")</f>
        <v>1.5463000752835827</v>
      </c>
      <c r="I10" s="8">
        <f>IF(D10&lt;=COUNT(Entry_number),INDEX(Lookup_table,MATCH(Number,Calculations!AK:AK,0),11),"")</f>
        <v>8.6953022180187259E-2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5"/>
      <c r="O10" s="116"/>
    </row>
    <row r="11" spans="1:15" x14ac:dyDescent="0.3">
      <c r="A11" s="114" t="s">
        <v>44</v>
      </c>
      <c r="B11" s="114"/>
      <c r="D11" s="48">
        <v>10</v>
      </c>
      <c r="E11" s="16" t="str">
        <f>IF(Number&lt;=COUNT(Entry_number),INDEX(Lookup_table,MATCH(Number,Calculations!AK:AK,0),3),"")</f>
        <v>Latif et al.</v>
      </c>
      <c r="F11" s="4">
        <f>IF(Ranked_number&lt;=COUNT(Entry_number),INDEX(Lookup_table,MATCH(Number,Calculations!AK:AK,0),5),"")</f>
        <v>1.230155114957685</v>
      </c>
      <c r="G11" s="4">
        <f>IF(Ranked_number&lt;=COUNT(Entry_number),INDEX(Lookup_table,MATCH(Number,Calculations!AK:AK,0),9),"")</f>
        <v>0.85356675569039764</v>
      </c>
      <c r="H11" s="4">
        <f>IF(Ranked_number&lt;=COUNT(Entry_number),INDEX(Lookup_table,MATCH(Number,Calculations!AK:AK,0),10),"")</f>
        <v>1.7728919229434552</v>
      </c>
      <c r="I11" s="8">
        <f>IF(D11&lt;=COUNT(Entry_number),INDEX(Lookup_table,MATCH(Number,Calculations!AK:AK,0),11),"")</f>
        <v>7.2720319591903254E-2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5"/>
      <c r="O11" s="116"/>
    </row>
    <row r="12" spans="1:15" x14ac:dyDescent="0.3">
      <c r="A12" s="3" t="s">
        <v>45</v>
      </c>
      <c r="B12" s="5" t="s">
        <v>30</v>
      </c>
      <c r="D12" s="48">
        <v>11</v>
      </c>
      <c r="E12" s="16" t="str">
        <f>IF(Number&lt;=COUNT(Entry_number),INDEX(Lookup_table,MATCH(Number,Calculations!AK:AK,0),3),"")</f>
        <v>Quan et al.</v>
      </c>
      <c r="F12" s="4">
        <f>IF(Ranked_number&lt;=COUNT(Entry_number),INDEX(Lookup_table,MATCH(Number,Calculations!AK:AK,0),5),"")</f>
        <v>0.96156847444401095</v>
      </c>
      <c r="G12" s="4">
        <f>IF(Ranked_number&lt;=COUNT(Entry_number),INDEX(Lookup_table,MATCH(Number,Calculations!AK:AK,0),9),"")</f>
        <v>0.65215609441719358</v>
      </c>
      <c r="H12" s="4">
        <f>IF(Ranked_number&lt;=COUNT(Entry_number),INDEX(Lookup_table,MATCH(Number,Calculations!AK:AK,0),10),"")</f>
        <v>1.4177800973720469</v>
      </c>
      <c r="I12" s="8">
        <f>IF(D12&lt;=COUNT(Entry_number),INDEX(Lookup_table,MATCH(Number,Calculations!AK:AK,0),11),"")</f>
        <v>6.4487014224765909E-2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5"/>
      <c r="O12" s="116"/>
    </row>
    <row r="13" spans="1:15" x14ac:dyDescent="0.3">
      <c r="A13" s="3" t="s">
        <v>46</v>
      </c>
      <c r="B13" s="5" t="s">
        <v>47</v>
      </c>
      <c r="D13" s="48">
        <v>12</v>
      </c>
      <c r="E13" s="16" t="str">
        <f>IF(Number&lt;=COUNT(Entry_number),INDEX(Lookup_table,MATCH(Number,Calculations!AK:AK,0),3),"")</f>
        <v>Quan et al.</v>
      </c>
      <c r="F13" s="4">
        <f>IF(Ranked_number&lt;=COUNT(Entry_number),INDEX(Lookup_table,MATCH(Number,Calculations!AK:AK,0),5),"")</f>
        <v>0.93156775834039651</v>
      </c>
      <c r="G13" s="4">
        <f>IF(Ranked_number&lt;=COUNT(Entry_number),INDEX(Lookup_table,MATCH(Number,Calculations!AK:AK,0),9),"")</f>
        <v>0.6694943358611587</v>
      </c>
      <c r="H13" s="4">
        <f>IF(Ranked_number&lt;=COUNT(Entry_number),INDEX(Lookup_table,MATCH(Number,Calculations!AK:AK,0),10),"")</f>
        <v>1.2962297690884748</v>
      </c>
      <c r="I13" s="8">
        <f>IF(D13&lt;=COUNT(Entry_number),INDEX(Lookup_table,MATCH(Number,Calculations!AK:AK,0),11),"")</f>
        <v>8.9089747346724563E-2</v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5"/>
      <c r="O13" s="116"/>
    </row>
    <row r="14" spans="1:15" x14ac:dyDescent="0.3">
      <c r="D14" s="48">
        <v>13</v>
      </c>
      <c r="E14" s="16" t="str">
        <f>IF(Number&lt;=COUNT(Entry_number),INDEX(Lookup_table,MATCH(Number,Calculations!AK:AK,0),3),"")</f>
        <v>Quan et al.</v>
      </c>
      <c r="F14" s="4">
        <f>IF(Ranked_number&lt;=COUNT(Entry_number),INDEX(Lookup_table,MATCH(Number,Calculations!AK:AK,0),5),"")</f>
        <v>0.94642954261162782</v>
      </c>
      <c r="G14" s="4">
        <f>IF(Ranked_number&lt;=COUNT(Entry_number),INDEX(Lookup_table,MATCH(Number,Calculations!AK:AK,0),9),"")</f>
        <v>0.68350610128492861</v>
      </c>
      <c r="H14" s="4">
        <f>IF(Ranked_number&lt;=COUNT(Entry_number),INDEX(Lookup_table,MATCH(Number,Calculations!AK:AK,0),10),"")</f>
        <v>1.310491416893232</v>
      </c>
      <c r="I14" s="8">
        <f>IF(D14&lt;=COUNT(Entry_number),INDEX(Lookup_table,MATCH(Number,Calculations!AK:AK,0),11),"")</f>
        <v>9.1784354378924876E-2</v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5"/>
      <c r="O14" s="116"/>
    </row>
    <row r="15" spans="1:15" x14ac:dyDescent="0.3">
      <c r="A15" s="114" t="s">
        <v>48</v>
      </c>
      <c r="B15" s="114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5"/>
      <c r="O15" s="116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1.0147312977420306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5"/>
      <c r="O16" s="116"/>
    </row>
    <row r="17" spans="1:15" x14ac:dyDescent="0.3">
      <c r="A17" s="3" t="s">
        <v>25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0.92024293352802067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5"/>
      <c r="O17" s="116"/>
    </row>
    <row r="18" spans="1:15" x14ac:dyDescent="0.3">
      <c r="A18" s="3" t="s">
        <v>26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1.1189215033356978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5"/>
      <c r="O18" s="116"/>
    </row>
    <row r="19" spans="1:15" x14ac:dyDescent="0.3">
      <c r="A19" s="3" t="s">
        <v>49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0.92024293352802067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5"/>
      <c r="O19" s="116"/>
    </row>
    <row r="20" spans="1:15" x14ac:dyDescent="0.3">
      <c r="A20" s="3" t="s">
        <v>50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1.1189215033356978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5"/>
      <c r="O20" s="116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5"/>
      <c r="O21" s="116"/>
    </row>
    <row r="22" spans="1:15" x14ac:dyDescent="0.3">
      <c r="A22" s="3" t="s">
        <v>51</v>
      </c>
      <c r="B22" s="4">
        <f>IF(B16&lt;&gt;"",IF(Weighting_method="Inverse variance",Z_value,IF(Weighting_method="Mantel-Haenszel",Z_value_MH,IF(Weighting_method="Peto",Z_value_Peto,""))),"")</f>
        <v>0.32598891841308147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5"/>
      <c r="O22" s="116"/>
    </row>
    <row r="23" spans="1:15" x14ac:dyDescent="0.3">
      <c r="A23" s="3" t="s">
        <v>52</v>
      </c>
      <c r="B23" s="26">
        <f>IF(Valid_options="Yes",IF(B22&lt;&gt;"",1-NORMSDIST(ABS(B22)),""),"")</f>
        <v>0.37221636969947003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5"/>
      <c r="O23" s="116"/>
    </row>
    <row r="24" spans="1:15" x14ac:dyDescent="0.3">
      <c r="A24" s="3" t="s">
        <v>53</v>
      </c>
      <c r="B24" s="26">
        <f>IF(Valid_options="Yes",IF(B22&lt;&gt;"",2*(1-NORMSDIST(ABS(B22))),""),"")</f>
        <v>0.74443273939894006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5"/>
      <c r="O24" s="116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5"/>
      <c r="O25" s="116"/>
    </row>
    <row r="26" spans="1:15" ht="12" customHeight="1" x14ac:dyDescent="0.3">
      <c r="A26" s="3" t="s">
        <v>54</v>
      </c>
      <c r="B26" s="7">
        <f>SUMIF(Sufficient_data,"Yes",Number_of_subjects)</f>
        <v>87054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5"/>
      <c r="O26" s="116"/>
    </row>
    <row r="27" spans="1:15" x14ac:dyDescent="0.3">
      <c r="A27" s="3" t="s">
        <v>55</v>
      </c>
      <c r="B27" s="7">
        <f>COUNT(Weightf)</f>
        <v>13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5"/>
      <c r="O27" s="116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5"/>
      <c r="O28" s="116"/>
    </row>
    <row r="29" spans="1:15" x14ac:dyDescent="0.3">
      <c r="A29" s="114" t="s">
        <v>56</v>
      </c>
      <c r="B29" s="114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5"/>
      <c r="O29" s="116"/>
    </row>
    <row r="30" spans="1:15" x14ac:dyDescent="0.3">
      <c r="A30" s="3" t="s">
        <v>57</v>
      </c>
      <c r="B30" s="4">
        <f>IF(Valid_options="Yes",IF(Weighting_method="Inverse variance",Q_,IF(Weighting_method="Mantel-Haenszel",Q_MH,IF(Weighting_method="Peto",Q_Peto,""))),NA())</f>
        <v>9.5535089233882786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5"/>
      <c r="O30" s="116"/>
    </row>
    <row r="31" spans="1:15" ht="13" x14ac:dyDescent="0.35">
      <c r="A31" s="3" t="s">
        <v>58</v>
      </c>
      <c r="B31" s="26">
        <f>IF(Valid_options="Yes",IF(B30&lt;&gt;"",CHIDIST(B30,k_-1),""),"")</f>
        <v>0.65506649515070225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5"/>
      <c r="O31" s="116"/>
    </row>
    <row r="32" spans="1:15" ht="13.5" x14ac:dyDescent="0.3">
      <c r="A32" s="3" t="s">
        <v>59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5"/>
      <c r="O32" s="116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5"/>
      <c r="O33" s="116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5"/>
      <c r="O34" s="116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5"/>
      <c r="O35" s="116"/>
    </row>
    <row r="36" spans="1:15" x14ac:dyDescent="0.3">
      <c r="A36" s="114" t="s">
        <v>60</v>
      </c>
      <c r="B36" s="118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5"/>
      <c r="O36" s="116"/>
    </row>
    <row r="37" spans="1:15" x14ac:dyDescent="0.3">
      <c r="A37" s="119" t="s">
        <v>37</v>
      </c>
      <c r="B37" s="11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5"/>
      <c r="O37" s="116"/>
    </row>
    <row r="38" spans="1:15" x14ac:dyDescent="0.3">
      <c r="A38" s="113" t="s">
        <v>61</v>
      </c>
      <c r="B38" s="113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5"/>
      <c r="O38" s="116"/>
    </row>
    <row r="39" spans="1:15" x14ac:dyDescent="0.3">
      <c r="A39" s="113" t="s">
        <v>62</v>
      </c>
      <c r="B39" s="113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5"/>
      <c r="O39" s="116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5"/>
      <c r="O40" s="116"/>
    </row>
    <row r="41" spans="1:15" x14ac:dyDescent="0.3">
      <c r="A41" s="114" t="s">
        <v>63</v>
      </c>
      <c r="B41" s="118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5"/>
      <c r="O41" s="116"/>
    </row>
    <row r="42" spans="1:15" x14ac:dyDescent="0.3">
      <c r="A42" s="119" t="str">
        <f>IF(Weighting_method="Peto","Peto Odds Ratio","Odds Ratio")</f>
        <v>Odds Ratio</v>
      </c>
      <c r="B42" s="11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5"/>
      <c r="O42" s="116"/>
    </row>
    <row r="43" spans="1:15" x14ac:dyDescent="0.3">
      <c r="A43" s="113" t="str">
        <f>IF(Weighting_method="Inverse variance","Risk Ratio","")</f>
        <v>Risk Ratio</v>
      </c>
      <c r="B43" s="113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5"/>
      <c r="O43" s="116"/>
    </row>
    <row r="44" spans="1:15" x14ac:dyDescent="0.3">
      <c r="A44" s="113" t="str">
        <f>IF(Weighting_method="Inverse variance","Risk Difference","")</f>
        <v>Risk Difference</v>
      </c>
      <c r="B44" s="113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5"/>
      <c r="O44" s="116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5"/>
      <c r="O45" s="116"/>
    </row>
    <row r="46" spans="1:15" x14ac:dyDescent="0.3">
      <c r="A46" s="114" t="s">
        <v>64</v>
      </c>
      <c r="B46" s="118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5"/>
      <c r="O46" s="116"/>
    </row>
    <row r="47" spans="1:15" x14ac:dyDescent="0.3">
      <c r="A47" s="119" t="str">
        <f>IF(Model_effect_size_measure&lt;&gt;"",Model_effect_size_measure,"")</f>
        <v>Odds Ratio</v>
      </c>
      <c r="B47" s="11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5"/>
      <c r="O47" s="116"/>
    </row>
    <row r="48" spans="1:15" x14ac:dyDescent="0.3">
      <c r="A48" s="113" t="str">
        <f>IF(OR(Model_effect_size_measure="Odds Ratio",Model_effect_size_measure="Peto Odds Ratio"),"Risk Ratio",IF(Model_effect_size_measure="Risk Ratio","Risk Difference",""))</f>
        <v>Risk Ratio</v>
      </c>
      <c r="B48" s="113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5"/>
      <c r="O48" s="116"/>
    </row>
    <row r="49" spans="1:15" x14ac:dyDescent="0.3">
      <c r="A49" s="113" t="str">
        <f>IF(OR(Model_effect_size_measure="Odds Ratio",Model_effect_size_measure="Peto Odds Ratio"),"Risk Difference","")</f>
        <v>Risk Difference</v>
      </c>
      <c r="B49" s="113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5"/>
      <c r="O49" s="116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5"/>
      <c r="O50" s="116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5"/>
      <c r="O51" s="116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5"/>
      <c r="O52" s="116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5"/>
      <c r="O53" s="116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5"/>
      <c r="O54" s="116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5"/>
      <c r="O55" s="116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5"/>
      <c r="O56" s="116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5"/>
      <c r="O57" s="116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5"/>
      <c r="O58" s="116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5"/>
      <c r="O59" s="116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5"/>
      <c r="O60" s="116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5"/>
      <c r="O61" s="116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5"/>
      <c r="O62" s="116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5"/>
      <c r="O63" s="116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5"/>
      <c r="O64" s="116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5"/>
      <c r="O65" s="116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5"/>
      <c r="O66" s="116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5"/>
      <c r="O67" s="116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5"/>
      <c r="O68" s="116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5"/>
      <c r="O69" s="116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5"/>
      <c r="O70" s="116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5"/>
      <c r="O71" s="116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5"/>
      <c r="O72" s="116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5"/>
      <c r="O73" s="116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5"/>
      <c r="O74" s="116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5"/>
      <c r="O75" s="116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5"/>
      <c r="O76" s="116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5"/>
      <c r="O77" s="116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5"/>
      <c r="O78" s="116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5"/>
      <c r="O79" s="116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5"/>
      <c r="O80" s="116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5"/>
      <c r="O81" s="116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5"/>
      <c r="O82" s="116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5"/>
      <c r="O83" s="116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5"/>
      <c r="O84" s="116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5"/>
      <c r="O85" s="116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5"/>
      <c r="O86" s="116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5"/>
      <c r="O87" s="116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5"/>
      <c r="O88" s="116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5"/>
      <c r="O89" s="116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5"/>
      <c r="O90" s="116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5"/>
      <c r="O91" s="116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5"/>
      <c r="O92" s="116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5"/>
      <c r="O93" s="116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5"/>
      <c r="O94" s="116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5"/>
      <c r="O95" s="116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5"/>
      <c r="O96" s="116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5"/>
      <c r="O97" s="116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5"/>
      <c r="O98" s="116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5"/>
      <c r="O99" s="116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5"/>
      <c r="O100" s="116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5"/>
      <c r="O101" s="116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5"/>
      <c r="O102" s="116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5"/>
      <c r="O103" s="116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5"/>
      <c r="O104" s="116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5"/>
      <c r="O105" s="116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5"/>
      <c r="O106" s="116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5"/>
      <c r="O107" s="116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5"/>
      <c r="O108" s="116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5"/>
      <c r="O109" s="116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5"/>
      <c r="O110" s="116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5"/>
      <c r="O111" s="116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5"/>
      <c r="O112" s="116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5"/>
      <c r="O113" s="116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5"/>
      <c r="O114" s="116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5"/>
      <c r="O115" s="116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5"/>
      <c r="O116" s="116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5"/>
      <c r="O117" s="116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5"/>
      <c r="O118" s="116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5"/>
      <c r="O119" s="116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5"/>
      <c r="O120" s="116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5"/>
      <c r="O121" s="116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5"/>
      <c r="O122" s="116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5"/>
      <c r="O123" s="116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5"/>
      <c r="O124" s="116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5"/>
      <c r="O125" s="116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5"/>
      <c r="O126" s="116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5"/>
      <c r="O127" s="116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5"/>
      <c r="O128" s="116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5"/>
      <c r="O129" s="116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5"/>
      <c r="O130" s="116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5"/>
      <c r="O131" s="116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5"/>
      <c r="O132" s="116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5"/>
      <c r="O133" s="116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5"/>
      <c r="O134" s="116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5"/>
      <c r="O135" s="116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5"/>
      <c r="O136" s="116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5"/>
      <c r="O137" s="116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5"/>
      <c r="O138" s="116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5"/>
      <c r="O139" s="116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5"/>
      <c r="O140" s="116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5"/>
      <c r="O141" s="116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5"/>
      <c r="O142" s="116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5"/>
      <c r="O143" s="116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5"/>
      <c r="O144" s="116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5"/>
      <c r="O145" s="116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5"/>
      <c r="O146" s="116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5"/>
      <c r="O147" s="116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5"/>
      <c r="O148" s="116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5"/>
      <c r="O149" s="116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5"/>
      <c r="O150" s="116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5"/>
      <c r="O151" s="116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5"/>
      <c r="O152" s="116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5"/>
      <c r="O153" s="116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5"/>
      <c r="O154" s="116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5"/>
      <c r="O155" s="116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5"/>
      <c r="O156" s="116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5"/>
      <c r="O157" s="116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5"/>
      <c r="O158" s="116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5"/>
      <c r="O159" s="116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5"/>
      <c r="O160" s="116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5"/>
      <c r="O161" s="116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5"/>
      <c r="O162" s="116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5"/>
      <c r="O163" s="116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5"/>
      <c r="O164" s="116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5"/>
      <c r="O165" s="116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5"/>
      <c r="O166" s="116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5"/>
      <c r="O167" s="116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5"/>
      <c r="O168" s="116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5"/>
      <c r="O169" s="116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5"/>
      <c r="O170" s="116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5"/>
      <c r="O171" s="116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5"/>
      <c r="O172" s="116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5"/>
      <c r="O173" s="116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5"/>
      <c r="O174" s="116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5"/>
      <c r="O175" s="116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5"/>
      <c r="O176" s="116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5"/>
      <c r="O177" s="116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5"/>
      <c r="O178" s="116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5"/>
      <c r="O179" s="116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5"/>
      <c r="O180" s="116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5"/>
      <c r="O181" s="116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5"/>
      <c r="O182" s="116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5"/>
      <c r="O183" s="116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5"/>
      <c r="O184" s="116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5"/>
      <c r="O185" s="116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5"/>
      <c r="O186" s="116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5"/>
      <c r="O187" s="116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5"/>
      <c r="O188" s="116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5"/>
      <c r="O189" s="116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5"/>
      <c r="O190" s="116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5"/>
      <c r="O191" s="116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5"/>
      <c r="O192" s="116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5"/>
      <c r="O193" s="116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5"/>
      <c r="O194" s="116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5"/>
      <c r="O195" s="116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5"/>
      <c r="O196" s="116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5"/>
      <c r="O197" s="116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5"/>
      <c r="O198" s="116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5"/>
      <c r="O199" s="116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5"/>
      <c r="O200" s="116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5"/>
      <c r="O201" s="117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workbookViewId="0">
      <pane ySplit="1" topLeftCell="A2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4" t="s">
        <v>23</v>
      </c>
      <c r="B1" s="114"/>
      <c r="C1" s="114"/>
      <c r="D1" s="114"/>
      <c r="F1" s="1" t="s">
        <v>24</v>
      </c>
      <c r="G1" s="1" t="s">
        <v>65</v>
      </c>
      <c r="H1" s="1" t="str">
        <f>Subgroup_effect_size_measure</f>
        <v>Odds Ratio</v>
      </c>
      <c r="I1" s="1" t="s">
        <v>25</v>
      </c>
      <c r="J1" s="1" t="s">
        <v>26</v>
      </c>
      <c r="K1" s="1" t="s">
        <v>27</v>
      </c>
      <c r="L1" s="1" t="s">
        <v>57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49</v>
      </c>
      <c r="R1" s="1" t="s">
        <v>50</v>
      </c>
      <c r="S1" s="86"/>
      <c r="U1" s="85"/>
      <c r="W1" s="85"/>
      <c r="Y1" s="85"/>
      <c r="AA1" s="85"/>
    </row>
    <row r="2" spans="1:27" x14ac:dyDescent="0.3">
      <c r="A2" s="3" t="s">
        <v>70</v>
      </c>
      <c r="B2" s="122" t="s">
        <v>71</v>
      </c>
      <c r="C2" s="122"/>
      <c r="D2" s="122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0.86709131022703034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0.57183000484459645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1.3148091808780729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0.10822157861532689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0" t="s">
        <v>72</v>
      </c>
      <c r="U2" s="116" t="s">
        <v>73</v>
      </c>
      <c r="W2" s="116" t="s">
        <v>74</v>
      </c>
      <c r="Y2" s="116" t="s">
        <v>75</v>
      </c>
      <c r="AA2" s="116" t="s">
        <v>76</v>
      </c>
    </row>
    <row r="3" spans="1:27" x14ac:dyDescent="0.3">
      <c r="A3" s="3" t="s">
        <v>77</v>
      </c>
      <c r="B3" s="123" t="s">
        <v>40</v>
      </c>
      <c r="C3" s="123"/>
      <c r="D3" s="123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1.3310477235326386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0.92686855320950579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1.9114771303725027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0.13927574809730275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0"/>
      <c r="U3" s="116"/>
      <c r="W3" s="116"/>
      <c r="Y3" s="116"/>
      <c r="AA3" s="116"/>
    </row>
    <row r="4" spans="1:27" ht="11.25" customHeight="1" x14ac:dyDescent="0.3">
      <c r="A4" s="3" t="s">
        <v>43</v>
      </c>
      <c r="B4" s="124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4"/>
      <c r="D4" s="124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1.2301352614609764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0.85356530271593956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1.7728377157257267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0.13687794464992548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0"/>
      <c r="U4" s="116"/>
      <c r="W4" s="116"/>
      <c r="Y4" s="116"/>
      <c r="AA4" s="116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Seo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1.1494297672299039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0.81374574328620752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1.623589187033704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0.15134490999694505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0"/>
      <c r="U5" s="116"/>
      <c r="W5" s="116"/>
      <c r="Y5" s="116"/>
      <c r="AA5" s="116"/>
    </row>
    <row r="6" spans="1:27" x14ac:dyDescent="0.3">
      <c r="A6" s="3" t="s">
        <v>78</v>
      </c>
      <c r="B6" s="123" t="s">
        <v>79</v>
      </c>
      <c r="C6" s="123"/>
      <c r="D6" s="123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Law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0.79025443657898586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0.5637505972651975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1.1077630384114598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0.15741973128535233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0"/>
      <c r="U6" s="116"/>
      <c r="W6" s="116"/>
      <c r="Y6" s="116"/>
      <c r="AA6" s="116"/>
    </row>
    <row r="7" spans="1:27" x14ac:dyDescent="0.3">
      <c r="A7" s="3" t="s">
        <v>80</v>
      </c>
      <c r="B7" s="123" t="s">
        <v>81</v>
      </c>
      <c r="C7" s="123"/>
      <c r="D7" s="123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1.0489625013278567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0.73920153673593503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1.4885281949637803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0.14783161286514779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0"/>
      <c r="U7" s="116"/>
      <c r="W7" s="116"/>
      <c r="Y7" s="116"/>
      <c r="AA7" s="116"/>
    </row>
    <row r="8" spans="1:27" x14ac:dyDescent="0.3">
      <c r="A8" s="3" t="s">
        <v>33</v>
      </c>
      <c r="B8" s="125">
        <v>0.95</v>
      </c>
      <c r="C8" s="125"/>
      <c r="D8" s="125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0.91448434886983176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0.65364230741158846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1.2794178327280252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0.15902847448999977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0"/>
      <c r="U8" s="116"/>
      <c r="W8" s="116"/>
      <c r="Y8" s="116"/>
      <c r="AA8" s="116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Acted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1.0300590281572417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0.86185414050436049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1.2310918421385402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0.35751878461976239</v>
      </c>
      <c r="L9" s="4">
        <f>IF(COUNTIF(Calculations!DP:DP,Subgroup_number)=1,INDEX(Calculations!DP:EU,MATCH(Subgroup_number,Calculations!DP:DP,0),5),IF(Subgroup_number=Calculations!EY$25,Calculations!EY$17,""))</f>
        <v>6.7387650880213741</v>
      </c>
      <c r="M9" s="26">
        <f>IF(COUNTIF(Calculations!DP:DP,Subgroup_number)=1,INDEX(Calculations!DP:EU,MATCH(Subgroup_number,Calculations!DP:DP,0),6),IF(Subgroup_number=Calculations!EY$25,Calculations!EY$18,""))</f>
        <v>0.3456831432015483</v>
      </c>
      <c r="N9" s="8">
        <f>IF(COUNTIF(Calculations!DP:DP,Subgroup_number)=1,INDEX(Calculations!DP:EU,MATCH(Subgroup_number,Calculations!DP:DP,0),7),IF(Subgroup_number=Calculations!EY$25,Calculations!EY$19,""))</f>
        <v>0.10962914990679534</v>
      </c>
      <c r="O9" s="4">
        <f>IF(COUNTIF(Calculations!DP:DP,Subgroup_number)=1,INDEX(Calculations!DP:EU,MATCH(Subgroup_number,Calculations!DP:DP,0),9),IF(Subgroup_number=Calculations!EY$25,Calculations!EY$20,""))</f>
        <v>4.082919340311221E-3</v>
      </c>
      <c r="P9" s="4">
        <f>IF(COUNTIF(Calculations!DP:DP,Subgroup_number)=1,INDEX(Calculations!DP:EU,MATCH(Subgroup_number,Calculations!DP:DP,0),10),IF(Subgroup_number=Calculations!EY$25,Calculations!EY$21,""))</f>
        <v>6.3897725627061419E-2</v>
      </c>
      <c r="Q9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0.8126002299680507</v>
      </c>
      <c r="R9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1.3057116677532297</v>
      </c>
      <c r="S9" s="120"/>
      <c r="U9" s="116"/>
      <c r="W9" s="116"/>
      <c r="Y9" s="116"/>
      <c r="AA9" s="116"/>
    </row>
    <row r="10" spans="1:27" x14ac:dyDescent="0.3">
      <c r="A10" s="114" t="s">
        <v>48</v>
      </c>
      <c r="B10" s="114"/>
      <c r="C10" s="114"/>
      <c r="D10" s="114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0.83202329560085742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0.55628688594247866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1.2444348085784163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0.12898301991245872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0"/>
      <c r="U10" s="116"/>
      <c r="W10" s="116"/>
      <c r="Y10" s="116"/>
      <c r="AA10" s="116"/>
    </row>
    <row r="11" spans="1:27" x14ac:dyDescent="0.3">
      <c r="A11" s="3" t="str">
        <f>Subgroup_effect_size_measure</f>
        <v>Odds Ratio</v>
      </c>
      <c r="B11" s="126">
        <f>Calculations!EY9</f>
        <v>1.0092088064373523</v>
      </c>
      <c r="C11" s="126"/>
      <c r="D11" s="126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Alhussein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1.1069290836169179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0.79240248799072066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1.5463000365684596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0.18699040870433903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0"/>
      <c r="U11" s="116"/>
      <c r="W11" s="116"/>
      <c r="Y11" s="116"/>
      <c r="AA11" s="116"/>
    </row>
    <row r="12" spans="1:27" x14ac:dyDescent="0.3">
      <c r="A12" s="3" t="s">
        <v>25</v>
      </c>
      <c r="B12" s="127">
        <f>Calculations!EY11</f>
        <v>0.97621712918844117</v>
      </c>
      <c r="C12" s="127"/>
      <c r="D12" s="127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1.230155114957685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0.85356676159311928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1.7728919106832688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0.15638331987382637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0"/>
      <c r="U12" s="116"/>
      <c r="W12" s="116"/>
      <c r="Y12" s="116"/>
      <c r="AA12" s="116"/>
    </row>
    <row r="13" spans="1:27" x14ac:dyDescent="0.3">
      <c r="A13" s="3" t="s">
        <v>26</v>
      </c>
      <c r="B13" s="127">
        <f>Calculations!EY12</f>
        <v>1.0433154515916117</v>
      </c>
      <c r="C13" s="127"/>
      <c r="D13" s="127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0.96156847444401095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0.65215617355826305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1.4177799253202628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0.13867779225687557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0"/>
      <c r="U13" s="116"/>
      <c r="W13" s="116"/>
      <c r="Y13" s="116"/>
      <c r="AA13" s="116"/>
    </row>
    <row r="14" spans="1:27" x14ac:dyDescent="0.3">
      <c r="A14" s="3" t="s">
        <v>49</v>
      </c>
      <c r="B14" s="127">
        <f>Calculations!EY13</f>
        <v>0.97621712918844117</v>
      </c>
      <c r="C14" s="127"/>
      <c r="D14" s="127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1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0.19158538541891143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0"/>
      <c r="U14" s="116"/>
      <c r="W14" s="116"/>
      <c r="Y14" s="116"/>
      <c r="AA14" s="116"/>
    </row>
    <row r="15" spans="1:27" x14ac:dyDescent="0.3">
      <c r="A15" s="3" t="s">
        <v>50</v>
      </c>
      <c r="B15" s="127">
        <f>Calculations!EY14</f>
        <v>1.0433154515916117</v>
      </c>
      <c r="C15" s="127"/>
      <c r="D15" s="127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0.94642954261162782</v>
      </c>
      <c r="I1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0.68350617081049814</v>
      </c>
      <c r="J1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1.3104912835913454</v>
      </c>
      <c r="K1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0.19738007383358888</v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0"/>
      <c r="U15" s="116"/>
      <c r="W15" s="116"/>
      <c r="Y15" s="116"/>
      <c r="AA15" s="116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Spontaneous</v>
      </c>
      <c r="H1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0.99778969437398035</v>
      </c>
      <c r="I1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0.86768256640262853</v>
      </c>
      <c r="J1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1.1474061053532134</v>
      </c>
      <c r="K1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0.64248121538023761</v>
      </c>
      <c r="L16" s="4">
        <f>IF(COUNTIF(Calculations!DP:DP,Subgroup_number)=1,INDEX(Calculations!DP:EU,MATCH(Subgroup_number,Calculations!DP:DP,0),5),IF(Subgroup_number=Calculations!EY$25,Calculations!EY$17,""))</f>
        <v>2.7172684059288117</v>
      </c>
      <c r="M16" s="26">
        <f>IF(COUNTIF(Calculations!DP:DP,Subgroup_number)=1,INDEX(Calculations!DP:EU,MATCH(Subgroup_number,Calculations!DP:DP,0),6),IF(Subgroup_number=Calculations!EY$25,Calculations!EY$18,""))</f>
        <v>0.74347607090048906</v>
      </c>
      <c r="N16" s="8">
        <f>IF(COUNTIF(Calculations!DP:DP,Subgroup_number)=1,INDEX(Calculations!DP:EU,MATCH(Subgroup_number,Calculations!DP:DP,0),7),IF(Subgroup_number=Calculations!EY$25,Calculations!EY$19,""))</f>
        <v>0</v>
      </c>
      <c r="O16" s="4">
        <f>IF(COUNTIF(Calculations!DP:DP,Subgroup_number)=1,INDEX(Calculations!DP:EU,MATCH(Subgroup_number,Calculations!DP:DP,0),9),IF(Subgroup_number=Calculations!EY$25,Calculations!EY$20,""))</f>
        <v>0</v>
      </c>
      <c r="P16" s="4">
        <f>IF(COUNTIF(Calculations!DP:DP,Subgroup_number)=1,INDEX(Calculations!DP:EU,MATCH(Subgroup_number,Calculations!DP:DP,0),10),IF(Subgroup_number=Calculations!EY$25,Calculations!EY$21,""))</f>
        <v>0</v>
      </c>
      <c r="Q16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0.86768256640262853</v>
      </c>
      <c r="R16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1.1474061053532134</v>
      </c>
      <c r="S16" s="120"/>
      <c r="U16" s="116"/>
      <c r="W16" s="116"/>
      <c r="Y16" s="116"/>
      <c r="AA16" s="116"/>
    </row>
    <row r="17" spans="1:27" x14ac:dyDescent="0.3">
      <c r="A17" s="3" t="s">
        <v>54</v>
      </c>
      <c r="B17" s="128">
        <f>SUMIF(Sufficient_data,"Yes",Number_of_subjects)</f>
        <v>87054</v>
      </c>
      <c r="C17" s="128"/>
      <c r="D17" s="128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1.0092088064373523</v>
      </c>
      <c r="I1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0.97621712918844117</v>
      </c>
      <c r="J1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1.0433154515916117</v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>
        <f>IF(COUNTIF(Calculations!DP:DP,Subgroup_number)=1,INDEX(Calculations!DP:EU,MATCH(Subgroup_number,Calculations!DP:DP,0),5),IF(Subgroup_number=Calculations!EY$25,Calculations!EY$17,""))</f>
        <v>9.5535089233882786</v>
      </c>
      <c r="M17" s="26">
        <f>IF(COUNTIF(Calculations!DP:DP,Subgroup_number)=1,INDEX(Calculations!DP:EU,MATCH(Subgroup_number,Calculations!DP:DP,0),6),IF(Subgroup_number=Calculations!EY$25,Calculations!EY$18,""))</f>
        <v>0.65506649515070225</v>
      </c>
      <c r="N17" s="8">
        <f>IF(COUNTIF(Calculations!DP:DP,Subgroup_number)=1,INDEX(Calculations!DP:EU,MATCH(Subgroup_number,Calculations!DP:DP,0),7),IF(Subgroup_number=Calculations!EY$25,Calculations!EY$19,""))</f>
        <v>0</v>
      </c>
      <c r="O17" s="4">
        <f>IF(COUNTIF(Calculations!DP:DP,Subgroup_number)=1,INDEX(Calculations!DP:EU,MATCH(Subgroup_number,Calculations!DP:DP,0),9),IF(Subgroup_number=Calculations!EY$25,Calculations!EY$20,""))</f>
        <v>0</v>
      </c>
      <c r="P17" s="4">
        <f>IF(COUNTIF(Calculations!DP:DP,Subgroup_number)=1,INDEX(Calculations!DP:EU,MATCH(Subgroup_number,Calculations!DP:DP,0),10),IF(Subgroup_number=Calculations!EY$25,Calculations!EY$21,""))</f>
        <v>0</v>
      </c>
      <c r="Q17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0.97621712918844117</v>
      </c>
      <c r="R17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1.0433154515916117</v>
      </c>
      <c r="S17" s="120"/>
      <c r="U17" s="116"/>
      <c r="W17" s="116"/>
      <c r="Y17" s="116"/>
      <c r="AA17" s="116"/>
    </row>
    <row r="18" spans="1:27" x14ac:dyDescent="0.3">
      <c r="A18" s="3" t="s">
        <v>55</v>
      </c>
      <c r="B18" s="128">
        <f>COUNT(Subgroup_weightf)</f>
        <v>13</v>
      </c>
      <c r="C18" s="128"/>
      <c r="D18" s="128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0"/>
      <c r="U18" s="116"/>
      <c r="W18" s="116"/>
      <c r="Y18" s="116"/>
      <c r="AA18" s="116"/>
    </row>
    <row r="19" spans="1:27" x14ac:dyDescent="0.3">
      <c r="A19" s="3" t="s">
        <v>82</v>
      </c>
      <c r="B19" s="128">
        <f>COUNT(Calculations!DZ:DZ)</f>
        <v>2</v>
      </c>
      <c r="C19" s="128"/>
      <c r="D19" s="128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0"/>
      <c r="U19" s="116"/>
      <c r="W19" s="116"/>
      <c r="Y19" s="116"/>
      <c r="AA19" s="116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0"/>
      <c r="U20" s="116"/>
      <c r="W20" s="116"/>
      <c r="Y20" s="116"/>
      <c r="AA20" s="116"/>
    </row>
    <row r="21" spans="1:27" x14ac:dyDescent="0.3">
      <c r="A21" s="1" t="s">
        <v>83</v>
      </c>
      <c r="B21" s="1" t="str">
        <f>IF(Within_subgroup_weighting=Calculations!EX42,"Sum of squares (Q)","Sum of squares (Q*)")</f>
        <v>Sum of squares (Q*)</v>
      </c>
      <c r="C21" s="1" t="s">
        <v>84</v>
      </c>
      <c r="D21" s="1" t="s">
        <v>85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0"/>
      <c r="U21" s="116"/>
      <c r="W21" s="116"/>
      <c r="Y21" s="116"/>
      <c r="AA21" s="116"/>
    </row>
    <row r="22" spans="1:27" x14ac:dyDescent="0.3">
      <c r="A22" s="3" t="s">
        <v>86</v>
      </c>
      <c r="B22" s="4">
        <f>B24-B23</f>
        <v>9.4219834895138632E-2</v>
      </c>
      <c r="C22" s="7">
        <f>Number_of_subgroups-1</f>
        <v>1</v>
      </c>
      <c r="D22" s="26">
        <f>CHIDIST(B22,C22)</f>
        <v>0.75887953036123568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0"/>
      <c r="U22" s="116"/>
      <c r="W22" s="116"/>
      <c r="Y22" s="116"/>
      <c r="AA22" s="116"/>
    </row>
    <row r="23" spans="1:27" x14ac:dyDescent="0.3">
      <c r="A23" s="3" t="s">
        <v>87</v>
      </c>
      <c r="B23" s="4">
        <f>SUM(Calculations!EP:EP)</f>
        <v>8.708696109916259</v>
      </c>
      <c r="C23" s="7">
        <f>Subgroup_k-Number_of_subgroups</f>
        <v>11</v>
      </c>
      <c r="D23" s="26">
        <f>CHIDIST(B23,C23)</f>
        <v>0.64876086158311042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0"/>
      <c r="U23" s="116"/>
      <c r="W23" s="116"/>
      <c r="Y23" s="116"/>
      <c r="AA23" s="116"/>
    </row>
    <row r="24" spans="1:27" x14ac:dyDescent="0.3">
      <c r="A24" s="3" t="s">
        <v>15</v>
      </c>
      <c r="B24" s="4">
        <f>SUMPRODUCT(Calculations!DE:DE,Subgroup_effect_size,Subgroup_effect_size)-SUMPRODUCT(Calculations!DE:DE,Subgroup_effect_size)^2/SUM(Calculations!DE:DE)</f>
        <v>8.8029159448113976</v>
      </c>
      <c r="C24" s="7">
        <f>Subgroup_k-1</f>
        <v>12</v>
      </c>
      <c r="D24" s="26">
        <f t="shared" ref="D24" si="0">CHIDIST(B24,C24)</f>
        <v>0.719665495228484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0"/>
      <c r="U24" s="116"/>
      <c r="W24" s="116"/>
      <c r="Y24" s="116"/>
      <c r="AA24" s="116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0"/>
      <c r="U25" s="116"/>
      <c r="W25" s="116"/>
      <c r="Y25" s="116"/>
      <c r="AA25" s="116"/>
    </row>
    <row r="26" spans="1:27" ht="13.5" x14ac:dyDescent="0.3">
      <c r="A26" s="3" t="s">
        <v>88</v>
      </c>
      <c r="B26" s="8">
        <f>B22/B24</f>
        <v>1.0703252818252065E-2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0"/>
      <c r="U26" s="116"/>
      <c r="W26" s="116"/>
      <c r="Y26" s="116"/>
      <c r="AA26" s="116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0"/>
      <c r="U27" s="116"/>
      <c r="W27" s="116"/>
      <c r="Y27" s="116"/>
      <c r="AA27" s="116"/>
    </row>
    <row r="28" spans="1:27" x14ac:dyDescent="0.3">
      <c r="A28" s="114" t="s">
        <v>60</v>
      </c>
      <c r="B28" s="114"/>
      <c r="C28" s="114"/>
      <c r="D28" s="114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0"/>
      <c r="U28" s="116"/>
      <c r="W28" s="116"/>
      <c r="Y28" s="116"/>
      <c r="AA28" s="116"/>
    </row>
    <row r="29" spans="1:27" x14ac:dyDescent="0.3">
      <c r="A29" s="119" t="s">
        <v>71</v>
      </c>
      <c r="B29" s="119"/>
      <c r="C29" s="119"/>
      <c r="D29" s="11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0"/>
      <c r="U29" s="116"/>
      <c r="W29" s="116"/>
      <c r="Y29" s="116"/>
      <c r="AA29" s="116"/>
    </row>
    <row r="30" spans="1:27" x14ac:dyDescent="0.3">
      <c r="A30" s="113" t="s">
        <v>61</v>
      </c>
      <c r="B30" s="113"/>
      <c r="C30" s="113"/>
      <c r="D30" s="113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0"/>
      <c r="U30" s="116"/>
      <c r="W30" s="116"/>
      <c r="Y30" s="116"/>
      <c r="AA30" s="116"/>
    </row>
    <row r="31" spans="1:27" x14ac:dyDescent="0.3">
      <c r="A31" s="113" t="s">
        <v>62</v>
      </c>
      <c r="B31" s="113"/>
      <c r="C31" s="113"/>
      <c r="D31" s="113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0"/>
      <c r="U31" s="116"/>
      <c r="W31" s="116"/>
      <c r="Y31" s="116"/>
      <c r="AA31" s="116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0"/>
      <c r="U32" s="116"/>
      <c r="W32" s="116"/>
      <c r="Y32" s="116"/>
      <c r="AA32" s="116"/>
    </row>
    <row r="33" spans="1:27" x14ac:dyDescent="0.3">
      <c r="A33" s="114" t="s">
        <v>89</v>
      </c>
      <c r="B33" s="114"/>
      <c r="C33" s="114"/>
      <c r="D33" s="114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0"/>
      <c r="U33" s="116"/>
      <c r="W33" s="116"/>
      <c r="Y33" s="116"/>
      <c r="AA33" s="116"/>
    </row>
    <row r="34" spans="1:27" x14ac:dyDescent="0.3">
      <c r="A34" s="119" t="str">
        <f>IF(Subgroup_weighting_method="Peto","Peto Odds Ratio","Odds Ratio")</f>
        <v>Odds Ratio</v>
      </c>
      <c r="B34" s="119"/>
      <c r="C34" s="119"/>
      <c r="D34" s="11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0"/>
      <c r="U34" s="116"/>
      <c r="W34" s="116"/>
      <c r="Y34" s="116"/>
      <c r="AA34" s="116"/>
    </row>
    <row r="35" spans="1:27" x14ac:dyDescent="0.3">
      <c r="A35" s="113" t="str">
        <f>IF(Subgroup_weighting_method="Inverse variance","Risk Ratio","")</f>
        <v>Risk Ratio</v>
      </c>
      <c r="B35" s="113"/>
      <c r="C35" s="113"/>
      <c r="D35" s="113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0"/>
      <c r="U35" s="116"/>
      <c r="W35" s="116"/>
      <c r="Y35" s="116"/>
      <c r="AA35" s="116"/>
    </row>
    <row r="36" spans="1:27" x14ac:dyDescent="0.3">
      <c r="A36" s="113" t="str">
        <f>IF(Subgroup_weighting_method="Inverse Variance","Risk Difference","")</f>
        <v>Risk Difference</v>
      </c>
      <c r="B36" s="113"/>
      <c r="C36" s="113"/>
      <c r="D36" s="113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0"/>
      <c r="U36" s="116"/>
      <c r="W36" s="116"/>
      <c r="Y36" s="116"/>
      <c r="AA36" s="116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0"/>
      <c r="U37" s="116"/>
      <c r="W37" s="116"/>
      <c r="Y37" s="116"/>
      <c r="AA37" s="116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0"/>
      <c r="U38" s="116"/>
      <c r="W38" s="116"/>
      <c r="Y38" s="116"/>
      <c r="AA38" s="116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0"/>
      <c r="U39" s="116"/>
      <c r="W39" s="116"/>
      <c r="Y39" s="116"/>
      <c r="AA39" s="116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0"/>
      <c r="U40" s="116"/>
      <c r="W40" s="116"/>
      <c r="Y40" s="116"/>
      <c r="AA40" s="116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0"/>
      <c r="U41" s="116"/>
      <c r="W41" s="116"/>
      <c r="Y41" s="116"/>
      <c r="AA41" s="116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0"/>
      <c r="U42" s="116"/>
      <c r="W42" s="116"/>
      <c r="Y42" s="116"/>
      <c r="AA42" s="116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0"/>
      <c r="U43" s="116"/>
      <c r="W43" s="116"/>
      <c r="Y43" s="116"/>
      <c r="AA43" s="116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0"/>
      <c r="U44" s="116"/>
      <c r="W44" s="116"/>
      <c r="Y44" s="116"/>
      <c r="AA44" s="116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0"/>
      <c r="U45" s="116"/>
      <c r="W45" s="116"/>
      <c r="Y45" s="116"/>
      <c r="AA45" s="116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0"/>
      <c r="U46" s="116"/>
      <c r="W46" s="116"/>
      <c r="Y46" s="116"/>
      <c r="AA46" s="116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0"/>
      <c r="U47" s="116"/>
      <c r="W47" s="116"/>
      <c r="Y47" s="116"/>
      <c r="AA47" s="116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0"/>
      <c r="U48" s="116"/>
      <c r="W48" s="116"/>
      <c r="Y48" s="116"/>
      <c r="AA48" s="116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0"/>
      <c r="U49" s="116"/>
      <c r="W49" s="116"/>
      <c r="Y49" s="116"/>
      <c r="AA49" s="116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0"/>
      <c r="U50" s="116"/>
      <c r="W50" s="116"/>
      <c r="Y50" s="116"/>
      <c r="AA50" s="116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0"/>
      <c r="U51" s="116"/>
      <c r="W51" s="116"/>
      <c r="Y51" s="116"/>
      <c r="AA51" s="116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0"/>
      <c r="U52" s="116"/>
      <c r="W52" s="116"/>
      <c r="Y52" s="116"/>
      <c r="AA52" s="116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0"/>
      <c r="U53" s="116"/>
      <c r="W53" s="116"/>
      <c r="Y53" s="116"/>
      <c r="AA53" s="116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0"/>
      <c r="U54" s="116"/>
      <c r="W54" s="116"/>
      <c r="Y54" s="116"/>
      <c r="AA54" s="116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0"/>
      <c r="U55" s="116"/>
      <c r="W55" s="116"/>
      <c r="Y55" s="116"/>
      <c r="AA55" s="116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0"/>
      <c r="U56" s="116"/>
      <c r="W56" s="116"/>
      <c r="Y56" s="116"/>
      <c r="AA56" s="116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0"/>
      <c r="U57" s="116"/>
      <c r="W57" s="116"/>
      <c r="Y57" s="116"/>
      <c r="AA57" s="116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0"/>
      <c r="U58" s="116"/>
      <c r="W58" s="116"/>
      <c r="Y58" s="116"/>
      <c r="AA58" s="116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0"/>
      <c r="U59" s="116"/>
      <c r="W59" s="116"/>
      <c r="Y59" s="116"/>
      <c r="AA59" s="116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0"/>
      <c r="U60" s="116"/>
      <c r="W60" s="116"/>
      <c r="Y60" s="116"/>
      <c r="AA60" s="116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0"/>
      <c r="U61" s="116"/>
      <c r="W61" s="116"/>
      <c r="Y61" s="116"/>
      <c r="AA61" s="116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0"/>
      <c r="U62" s="116"/>
      <c r="W62" s="116"/>
      <c r="Y62" s="116"/>
      <c r="AA62" s="116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0"/>
      <c r="U63" s="116"/>
      <c r="W63" s="116"/>
      <c r="Y63" s="116"/>
      <c r="AA63" s="116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0"/>
      <c r="U64" s="116"/>
      <c r="W64" s="116"/>
      <c r="Y64" s="116"/>
      <c r="AA64" s="116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0"/>
      <c r="U65" s="116"/>
      <c r="W65" s="116"/>
      <c r="Y65" s="116"/>
      <c r="AA65" s="116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0"/>
      <c r="U66" s="116"/>
      <c r="W66" s="116"/>
      <c r="Y66" s="116"/>
      <c r="AA66" s="116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0"/>
      <c r="U67" s="116"/>
      <c r="W67" s="116"/>
      <c r="Y67" s="116"/>
      <c r="AA67" s="116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0"/>
      <c r="U68" s="116"/>
      <c r="W68" s="116"/>
      <c r="Y68" s="116"/>
      <c r="AA68" s="116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0"/>
      <c r="U69" s="116"/>
      <c r="W69" s="116"/>
      <c r="Y69" s="116"/>
      <c r="AA69" s="116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0"/>
      <c r="U70" s="116"/>
      <c r="W70" s="116"/>
      <c r="Y70" s="116"/>
      <c r="AA70" s="116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0"/>
      <c r="U71" s="116"/>
      <c r="W71" s="116"/>
      <c r="Y71" s="116"/>
      <c r="AA71" s="116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0"/>
      <c r="U72" s="116"/>
      <c r="W72" s="116"/>
      <c r="Y72" s="116"/>
      <c r="AA72" s="116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0"/>
      <c r="U73" s="116"/>
      <c r="W73" s="116"/>
      <c r="Y73" s="116"/>
      <c r="AA73" s="116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0"/>
      <c r="U74" s="116"/>
      <c r="W74" s="116"/>
      <c r="Y74" s="116"/>
      <c r="AA74" s="116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0"/>
      <c r="U75" s="116"/>
      <c r="W75" s="116"/>
      <c r="Y75" s="116"/>
      <c r="AA75" s="116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0"/>
      <c r="U76" s="116"/>
      <c r="W76" s="116"/>
      <c r="Y76" s="116"/>
      <c r="AA76" s="116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0"/>
      <c r="U77" s="116"/>
      <c r="W77" s="116"/>
      <c r="Y77" s="116"/>
      <c r="AA77" s="116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0"/>
      <c r="U78" s="116"/>
      <c r="W78" s="116"/>
      <c r="Y78" s="116"/>
      <c r="AA78" s="116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0"/>
      <c r="U79" s="116"/>
      <c r="W79" s="116"/>
      <c r="Y79" s="116"/>
      <c r="AA79" s="116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0"/>
      <c r="U80" s="116"/>
      <c r="W80" s="116"/>
      <c r="Y80" s="116"/>
      <c r="AA80" s="116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0"/>
      <c r="U81" s="116"/>
      <c r="W81" s="116"/>
      <c r="Y81" s="116"/>
      <c r="AA81" s="116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0"/>
      <c r="U82" s="116"/>
      <c r="W82" s="116"/>
      <c r="Y82" s="116"/>
      <c r="AA82" s="116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0"/>
      <c r="U83" s="116"/>
      <c r="W83" s="116"/>
      <c r="Y83" s="116"/>
      <c r="AA83" s="116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0"/>
      <c r="U84" s="116"/>
      <c r="W84" s="116"/>
      <c r="Y84" s="116"/>
      <c r="AA84" s="116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0"/>
      <c r="U85" s="116"/>
      <c r="W85" s="116"/>
      <c r="Y85" s="116"/>
      <c r="AA85" s="116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0"/>
      <c r="U86" s="116"/>
      <c r="W86" s="116"/>
      <c r="Y86" s="116"/>
      <c r="AA86" s="116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0"/>
      <c r="U87" s="116"/>
      <c r="W87" s="116"/>
      <c r="Y87" s="116"/>
      <c r="AA87" s="116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0"/>
      <c r="U88" s="116"/>
      <c r="W88" s="116"/>
      <c r="Y88" s="116"/>
      <c r="AA88" s="116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0"/>
      <c r="U89" s="116"/>
      <c r="W89" s="116"/>
      <c r="Y89" s="116"/>
      <c r="AA89" s="116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0"/>
      <c r="U90" s="116"/>
      <c r="W90" s="116"/>
      <c r="Y90" s="116"/>
      <c r="AA90" s="116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0"/>
      <c r="U91" s="116"/>
      <c r="W91" s="116"/>
      <c r="Y91" s="116"/>
      <c r="AA91" s="116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0"/>
      <c r="U92" s="116"/>
      <c r="W92" s="116"/>
      <c r="Y92" s="116"/>
      <c r="AA92" s="116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0"/>
      <c r="U93" s="116"/>
      <c r="W93" s="116"/>
      <c r="Y93" s="116"/>
      <c r="AA93" s="116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0"/>
      <c r="U94" s="116"/>
      <c r="W94" s="116"/>
      <c r="Y94" s="116"/>
      <c r="AA94" s="116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0"/>
      <c r="U95" s="116"/>
      <c r="W95" s="116"/>
      <c r="Y95" s="116"/>
      <c r="AA95" s="116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0"/>
      <c r="U96" s="116"/>
      <c r="W96" s="116"/>
      <c r="Y96" s="116"/>
      <c r="AA96" s="116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0"/>
      <c r="U97" s="116"/>
      <c r="W97" s="116"/>
      <c r="Y97" s="116"/>
      <c r="AA97" s="116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0"/>
      <c r="U98" s="116"/>
      <c r="W98" s="116"/>
      <c r="Y98" s="116"/>
      <c r="AA98" s="116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0"/>
      <c r="U99" s="116"/>
      <c r="W99" s="116"/>
      <c r="Y99" s="116"/>
      <c r="AA99" s="116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0"/>
      <c r="U100" s="116"/>
      <c r="W100" s="116"/>
      <c r="Y100" s="116"/>
      <c r="AA100" s="116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0"/>
      <c r="U101" s="116"/>
      <c r="W101" s="116"/>
      <c r="Y101" s="116"/>
      <c r="AA101" s="116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0"/>
      <c r="U102" s="116"/>
      <c r="W102" s="116"/>
      <c r="Y102" s="116"/>
      <c r="AA102" s="116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0"/>
      <c r="U103" s="116"/>
      <c r="W103" s="116"/>
      <c r="Y103" s="116"/>
      <c r="AA103" s="116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0"/>
      <c r="U104" s="116"/>
      <c r="W104" s="116"/>
      <c r="Y104" s="116"/>
      <c r="AA104" s="116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0"/>
      <c r="U105" s="116"/>
      <c r="W105" s="116"/>
      <c r="Y105" s="116"/>
      <c r="AA105" s="116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0"/>
      <c r="U106" s="116"/>
      <c r="W106" s="116"/>
      <c r="Y106" s="116"/>
      <c r="AA106" s="116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0"/>
      <c r="U107" s="116"/>
      <c r="W107" s="116"/>
      <c r="Y107" s="116"/>
      <c r="AA107" s="116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0"/>
      <c r="U108" s="116"/>
      <c r="W108" s="116"/>
      <c r="Y108" s="116"/>
      <c r="AA108" s="116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0"/>
      <c r="U109" s="116"/>
      <c r="W109" s="116"/>
      <c r="Y109" s="116"/>
      <c r="AA109" s="116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0"/>
      <c r="U110" s="116"/>
      <c r="W110" s="116"/>
      <c r="Y110" s="116"/>
      <c r="AA110" s="116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0"/>
      <c r="U111" s="116"/>
      <c r="W111" s="116"/>
      <c r="Y111" s="116"/>
      <c r="AA111" s="116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0"/>
      <c r="U112" s="116"/>
      <c r="W112" s="116"/>
      <c r="Y112" s="116"/>
      <c r="AA112" s="116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0"/>
      <c r="U113" s="116"/>
      <c r="W113" s="116"/>
      <c r="Y113" s="116"/>
      <c r="AA113" s="116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0"/>
      <c r="U114" s="116"/>
      <c r="W114" s="116"/>
      <c r="Y114" s="116"/>
      <c r="AA114" s="116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0"/>
      <c r="U115" s="116"/>
      <c r="W115" s="116"/>
      <c r="Y115" s="116"/>
      <c r="AA115" s="116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0"/>
      <c r="U116" s="116"/>
      <c r="W116" s="116"/>
      <c r="Y116" s="116"/>
      <c r="AA116" s="116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0"/>
      <c r="U117" s="116"/>
      <c r="W117" s="116"/>
      <c r="Y117" s="116"/>
      <c r="AA117" s="116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0"/>
      <c r="U118" s="116"/>
      <c r="W118" s="116"/>
      <c r="Y118" s="116"/>
      <c r="AA118" s="116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0"/>
      <c r="U119" s="116"/>
      <c r="W119" s="116"/>
      <c r="Y119" s="116"/>
      <c r="AA119" s="116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0"/>
      <c r="U120" s="116"/>
      <c r="W120" s="116"/>
      <c r="Y120" s="116"/>
      <c r="AA120" s="116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0"/>
      <c r="U121" s="116"/>
      <c r="W121" s="116"/>
      <c r="Y121" s="116"/>
      <c r="AA121" s="116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0"/>
      <c r="U122" s="116"/>
      <c r="W122" s="116"/>
      <c r="Y122" s="116"/>
      <c r="AA122" s="116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0"/>
      <c r="U123" s="116"/>
      <c r="W123" s="116"/>
      <c r="Y123" s="116"/>
      <c r="AA123" s="116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0"/>
      <c r="U124" s="116"/>
      <c r="W124" s="116"/>
      <c r="Y124" s="116"/>
      <c r="AA124" s="116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0"/>
      <c r="U125" s="116"/>
      <c r="W125" s="116"/>
      <c r="Y125" s="116"/>
      <c r="AA125" s="116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0"/>
      <c r="U126" s="116"/>
      <c r="W126" s="116"/>
      <c r="Y126" s="116"/>
      <c r="AA126" s="116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0"/>
      <c r="U127" s="116"/>
      <c r="W127" s="116"/>
      <c r="Y127" s="116"/>
      <c r="AA127" s="116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0"/>
      <c r="U128" s="116"/>
      <c r="W128" s="116"/>
      <c r="Y128" s="116"/>
      <c r="AA128" s="116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0"/>
      <c r="U129" s="116"/>
      <c r="W129" s="116"/>
      <c r="Y129" s="116"/>
      <c r="AA129" s="116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0"/>
      <c r="U130" s="116"/>
      <c r="W130" s="116"/>
      <c r="Y130" s="116"/>
      <c r="AA130" s="116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0"/>
      <c r="U131" s="116"/>
      <c r="W131" s="116"/>
      <c r="Y131" s="116"/>
      <c r="AA131" s="116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0"/>
      <c r="U132" s="116"/>
      <c r="W132" s="116"/>
      <c r="Y132" s="116"/>
      <c r="AA132" s="116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0"/>
      <c r="U133" s="116"/>
      <c r="W133" s="116"/>
      <c r="Y133" s="116"/>
      <c r="AA133" s="116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0"/>
      <c r="U134" s="116"/>
      <c r="W134" s="116"/>
      <c r="Y134" s="116"/>
      <c r="AA134" s="116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0"/>
      <c r="U135" s="116"/>
      <c r="W135" s="116"/>
      <c r="Y135" s="116"/>
      <c r="AA135" s="116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0"/>
      <c r="U136" s="116"/>
      <c r="W136" s="116"/>
      <c r="Y136" s="116"/>
      <c r="AA136" s="116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0"/>
      <c r="U137" s="116"/>
      <c r="W137" s="116"/>
      <c r="Y137" s="116"/>
      <c r="AA137" s="116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0"/>
      <c r="U138" s="116"/>
      <c r="W138" s="116"/>
      <c r="Y138" s="116"/>
      <c r="AA138" s="116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0"/>
      <c r="U139" s="116"/>
      <c r="W139" s="116"/>
      <c r="Y139" s="116"/>
      <c r="AA139" s="116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0"/>
      <c r="U140" s="116"/>
      <c r="W140" s="116"/>
      <c r="Y140" s="116"/>
      <c r="AA140" s="116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0"/>
      <c r="U141" s="116"/>
      <c r="W141" s="116"/>
      <c r="Y141" s="116"/>
      <c r="AA141" s="116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0"/>
      <c r="U142" s="116"/>
      <c r="W142" s="116"/>
      <c r="Y142" s="116"/>
      <c r="AA142" s="116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0"/>
      <c r="U143" s="116"/>
      <c r="W143" s="116"/>
      <c r="Y143" s="116"/>
      <c r="AA143" s="116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0"/>
      <c r="U144" s="116"/>
      <c r="W144" s="116"/>
      <c r="Y144" s="116"/>
      <c r="AA144" s="116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0"/>
      <c r="U145" s="116"/>
      <c r="W145" s="116"/>
      <c r="Y145" s="116"/>
      <c r="AA145" s="116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0"/>
      <c r="U146" s="116"/>
      <c r="W146" s="116"/>
      <c r="Y146" s="116"/>
      <c r="AA146" s="116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0"/>
      <c r="U147" s="116"/>
      <c r="W147" s="116"/>
      <c r="Y147" s="116"/>
      <c r="AA147" s="116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0"/>
      <c r="U148" s="116"/>
      <c r="W148" s="116"/>
      <c r="Y148" s="116"/>
      <c r="AA148" s="116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0"/>
      <c r="U149" s="116"/>
      <c r="W149" s="116"/>
      <c r="Y149" s="116"/>
      <c r="AA149" s="116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0"/>
      <c r="U150" s="116"/>
      <c r="W150" s="116"/>
      <c r="Y150" s="116"/>
      <c r="AA150" s="116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0"/>
      <c r="U151" s="116"/>
      <c r="W151" s="116"/>
      <c r="Y151" s="116"/>
      <c r="AA151" s="116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0"/>
      <c r="U152" s="116"/>
      <c r="W152" s="116"/>
      <c r="Y152" s="116"/>
      <c r="AA152" s="116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0"/>
      <c r="U153" s="116"/>
      <c r="W153" s="116"/>
      <c r="Y153" s="116"/>
      <c r="AA153" s="116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0"/>
      <c r="U154" s="116"/>
      <c r="W154" s="116"/>
      <c r="Y154" s="116"/>
      <c r="AA154" s="116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0"/>
      <c r="U155" s="116"/>
      <c r="W155" s="116"/>
      <c r="Y155" s="116"/>
      <c r="AA155" s="116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0"/>
      <c r="U156" s="116"/>
      <c r="W156" s="116"/>
      <c r="Y156" s="116"/>
      <c r="AA156" s="116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0"/>
      <c r="U157" s="116"/>
      <c r="W157" s="116"/>
      <c r="Y157" s="116"/>
      <c r="AA157" s="116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0"/>
      <c r="U158" s="116"/>
      <c r="W158" s="116"/>
      <c r="Y158" s="116"/>
      <c r="AA158" s="116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0"/>
      <c r="U159" s="116"/>
      <c r="W159" s="116"/>
      <c r="Y159" s="116"/>
      <c r="AA159" s="116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0"/>
      <c r="U160" s="116"/>
      <c r="W160" s="116"/>
      <c r="Y160" s="116"/>
      <c r="AA160" s="116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0"/>
      <c r="U161" s="116"/>
      <c r="W161" s="116"/>
      <c r="Y161" s="116"/>
      <c r="AA161" s="116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0"/>
      <c r="U162" s="116"/>
      <c r="W162" s="116"/>
      <c r="Y162" s="116"/>
      <c r="AA162" s="116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0"/>
      <c r="U163" s="116"/>
      <c r="W163" s="116"/>
      <c r="Y163" s="116"/>
      <c r="AA163" s="116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0"/>
      <c r="U164" s="116"/>
      <c r="W164" s="116"/>
      <c r="Y164" s="116"/>
      <c r="AA164" s="116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0"/>
      <c r="U165" s="116"/>
      <c r="W165" s="116"/>
      <c r="Y165" s="116"/>
      <c r="AA165" s="116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0"/>
      <c r="U166" s="116"/>
      <c r="W166" s="116"/>
      <c r="Y166" s="116"/>
      <c r="AA166" s="116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0"/>
      <c r="U167" s="116"/>
      <c r="W167" s="116"/>
      <c r="Y167" s="116"/>
      <c r="AA167" s="116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0"/>
      <c r="U168" s="116"/>
      <c r="W168" s="116"/>
      <c r="Y168" s="116"/>
      <c r="AA168" s="116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0"/>
      <c r="U169" s="116"/>
      <c r="W169" s="116"/>
      <c r="Y169" s="116"/>
      <c r="AA169" s="116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0"/>
      <c r="U170" s="116"/>
      <c r="W170" s="116"/>
      <c r="Y170" s="116"/>
      <c r="AA170" s="116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0"/>
      <c r="U171" s="116"/>
      <c r="W171" s="116"/>
      <c r="Y171" s="116"/>
      <c r="AA171" s="116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0"/>
      <c r="U172" s="116"/>
      <c r="W172" s="116"/>
      <c r="Y172" s="116"/>
      <c r="AA172" s="116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0"/>
      <c r="U173" s="116"/>
      <c r="W173" s="116"/>
      <c r="Y173" s="116"/>
      <c r="AA173" s="116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0"/>
      <c r="U174" s="116"/>
      <c r="W174" s="116"/>
      <c r="Y174" s="116"/>
      <c r="AA174" s="116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0"/>
      <c r="U175" s="116"/>
      <c r="W175" s="116"/>
      <c r="Y175" s="116"/>
      <c r="AA175" s="116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0"/>
      <c r="U176" s="116"/>
      <c r="W176" s="116"/>
      <c r="Y176" s="116"/>
      <c r="AA176" s="116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0"/>
      <c r="U177" s="116"/>
      <c r="W177" s="116"/>
      <c r="Y177" s="116"/>
      <c r="AA177" s="116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0"/>
      <c r="U178" s="116"/>
      <c r="W178" s="116"/>
      <c r="Y178" s="116"/>
      <c r="AA178" s="116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0"/>
      <c r="U179" s="116"/>
      <c r="W179" s="116"/>
      <c r="Y179" s="116"/>
      <c r="AA179" s="116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0"/>
      <c r="U180" s="116"/>
      <c r="W180" s="116"/>
      <c r="Y180" s="116"/>
      <c r="AA180" s="116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0"/>
      <c r="U181" s="116"/>
      <c r="W181" s="116"/>
      <c r="Y181" s="116"/>
      <c r="AA181" s="116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0"/>
      <c r="U182" s="116"/>
      <c r="W182" s="116"/>
      <c r="Y182" s="116"/>
      <c r="AA182" s="116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0"/>
      <c r="U183" s="116"/>
      <c r="W183" s="116"/>
      <c r="Y183" s="116"/>
      <c r="AA183" s="116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0"/>
      <c r="U184" s="116"/>
      <c r="W184" s="116"/>
      <c r="Y184" s="116"/>
      <c r="AA184" s="116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0"/>
      <c r="U185" s="116"/>
      <c r="W185" s="116"/>
      <c r="Y185" s="116"/>
      <c r="AA185" s="116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0"/>
      <c r="U186" s="116"/>
      <c r="W186" s="116"/>
      <c r="Y186" s="116"/>
      <c r="AA186" s="116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0"/>
      <c r="U187" s="116"/>
      <c r="W187" s="116"/>
      <c r="Y187" s="116"/>
      <c r="AA187" s="116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0"/>
      <c r="U188" s="116"/>
      <c r="W188" s="116"/>
      <c r="Y188" s="116"/>
      <c r="AA188" s="116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0"/>
      <c r="U189" s="116"/>
      <c r="W189" s="116"/>
      <c r="Y189" s="116"/>
      <c r="AA189" s="116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0"/>
      <c r="U190" s="116"/>
      <c r="W190" s="116"/>
      <c r="Y190" s="116"/>
      <c r="AA190" s="116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0"/>
      <c r="U191" s="116"/>
      <c r="W191" s="116"/>
      <c r="Y191" s="116"/>
      <c r="AA191" s="116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0"/>
      <c r="U192" s="116"/>
      <c r="W192" s="116"/>
      <c r="Y192" s="116"/>
      <c r="AA192" s="116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0"/>
      <c r="U193" s="116"/>
      <c r="W193" s="116"/>
      <c r="Y193" s="116"/>
      <c r="AA193" s="116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0"/>
      <c r="U194" s="116"/>
      <c r="W194" s="116"/>
      <c r="Y194" s="116"/>
      <c r="AA194" s="116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0"/>
      <c r="U195" s="116"/>
      <c r="W195" s="116"/>
      <c r="Y195" s="116"/>
      <c r="AA195" s="116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0"/>
      <c r="U196" s="116"/>
      <c r="W196" s="116"/>
      <c r="Y196" s="116"/>
      <c r="AA196" s="116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0"/>
      <c r="U197" s="116"/>
      <c r="W197" s="116"/>
      <c r="Y197" s="116"/>
      <c r="AA197" s="116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0"/>
      <c r="U198" s="116"/>
      <c r="W198" s="116"/>
      <c r="Y198" s="116"/>
      <c r="AA198" s="116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0"/>
      <c r="U199" s="116"/>
      <c r="W199" s="116"/>
      <c r="Y199" s="116"/>
      <c r="AA199" s="116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0"/>
      <c r="U200" s="116"/>
      <c r="W200" s="116"/>
      <c r="Y200" s="116"/>
      <c r="AA200" s="116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1"/>
      <c r="U201" s="117"/>
      <c r="W201" s="117"/>
      <c r="Y201" s="117"/>
      <c r="AA201" s="117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4" t="s">
        <v>23</v>
      </c>
      <c r="B1" s="114"/>
      <c r="D1" s="1" t="s">
        <v>1</v>
      </c>
      <c r="E1" s="1" t="s">
        <v>11</v>
      </c>
      <c r="F1" s="1" t="str">
        <f>Moderator_effect_size_measure</f>
        <v>Log Odds Ratio</v>
      </c>
      <c r="G1" s="1" t="s">
        <v>27</v>
      </c>
    </row>
    <row r="2" spans="1:7" x14ac:dyDescent="0.3">
      <c r="A2" s="3" t="s">
        <v>36</v>
      </c>
      <c r="B2" s="5" t="s">
        <v>71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77</v>
      </c>
      <c r="B3" s="5" t="s">
        <v>90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28</v>
      </c>
      <c r="B6" s="5" t="s">
        <v>91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4" t="s">
        <v>60</v>
      </c>
      <c r="B9" s="114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9" t="s">
        <v>71</v>
      </c>
      <c r="B10" s="11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3" t="s">
        <v>61</v>
      </c>
      <c r="B11" s="113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3" t="s">
        <v>62</v>
      </c>
      <c r="B12" s="113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4" t="s">
        <v>89</v>
      </c>
      <c r="B14" s="114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9" t="str">
        <f>IF(Moderator_weighting_method="Peto","Log Peto Odds Ratio","Log Odds Ratio")</f>
        <v>Log Odds Ratio</v>
      </c>
      <c r="B15" s="11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3" t="str">
        <f>IF(Moderator_weighting_method="Inverse variance","Log Risk Ratio","")</f>
        <v>Log Risk Ratio</v>
      </c>
      <c r="B16" s="113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3" t="str">
        <f>IF(Moderator_weighting_method="Inverse Variance","Risk Difference","")</f>
        <v>Risk Difference</v>
      </c>
      <c r="B17" s="113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92</v>
      </c>
      <c r="K28" s="1" t="s">
        <v>93</v>
      </c>
      <c r="L28" s="1" t="s">
        <v>94</v>
      </c>
      <c r="M28" s="1" t="s">
        <v>95</v>
      </c>
      <c r="N28" s="25" t="s">
        <v>96</v>
      </c>
      <c r="O28" s="1" t="s">
        <v>51</v>
      </c>
      <c r="P28" s="1" t="s">
        <v>97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83</v>
      </c>
      <c r="J32" s="1" t="str">
        <f>IF(Moderator_model="Fixed effect","Sum of squares (Q)","Sum of squares (Q*)")</f>
        <v>Sum of squares (Q)</v>
      </c>
      <c r="K32" s="1" t="s">
        <v>84</v>
      </c>
      <c r="L32" s="1" t="s">
        <v>85</v>
      </c>
      <c r="N32" s="1" t="s">
        <v>99</v>
      </c>
      <c r="O32" s="1" t="s">
        <v>100</v>
      </c>
      <c r="P32" s="1" t="s">
        <v>97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103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104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3" sqref="D3:F8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23</v>
      </c>
      <c r="B1" s="1"/>
      <c r="D1" s="1" t="s">
        <v>1</v>
      </c>
      <c r="E1" s="1" t="str">
        <f>Additional_effect_size_measure</f>
        <v>Log Odds Ratio</v>
      </c>
      <c r="F1" s="1" t="s">
        <v>105</v>
      </c>
      <c r="M1" s="85"/>
      <c r="O1" s="114" t="s">
        <v>106</v>
      </c>
      <c r="P1" s="114"/>
      <c r="Q1" s="114"/>
      <c r="R1" s="114"/>
      <c r="S1" s="28"/>
      <c r="T1" s="85"/>
      <c r="V1" s="1" t="s">
        <v>1</v>
      </c>
      <c r="W1" s="1" t="s">
        <v>107</v>
      </c>
      <c r="AE1" s="85"/>
      <c r="AG1" s="1" t="s">
        <v>1</v>
      </c>
      <c r="AH1" s="1" t="s">
        <v>108</v>
      </c>
      <c r="AI1" s="1" t="s">
        <v>109</v>
      </c>
      <c r="AR1" s="85"/>
      <c r="AT1" s="1" t="s">
        <v>1</v>
      </c>
      <c r="AU1" s="1" t="s">
        <v>110</v>
      </c>
      <c r="AV1" s="1" t="s">
        <v>111</v>
      </c>
      <c r="BC1" s="85"/>
      <c r="BE1" s="1" t="s">
        <v>1</v>
      </c>
      <c r="BF1" s="75" t="s">
        <v>112</v>
      </c>
      <c r="BG1" s="1" t="s">
        <v>113</v>
      </c>
      <c r="BP1" s="85"/>
      <c r="BR1" s="1" t="s">
        <v>114</v>
      </c>
      <c r="BS1" s="1"/>
      <c r="BT1" s="85"/>
    </row>
    <row r="2" spans="1:72" x14ac:dyDescent="0.3">
      <c r="A2" s="3" t="s">
        <v>36</v>
      </c>
      <c r="B2" s="5" t="s">
        <v>71</v>
      </c>
      <c r="D2" s="43" t="str">
        <f t="shared" ref="D2:D33" si="0">IF(AND(Include_study?="Yes",Sufficient_data="Yes"),Study_name,"")</f>
        <v>Lubis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-0.14261099029953303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0.21223096455742627</v>
      </c>
      <c r="M2" s="116" t="s">
        <v>115</v>
      </c>
      <c r="O2" s="3"/>
      <c r="P2" s="3" t="s">
        <v>116</v>
      </c>
      <c r="Q2" s="3" t="s">
        <v>93</v>
      </c>
      <c r="R2" s="3" t="s">
        <v>94</v>
      </c>
      <c r="S2" s="3" t="s">
        <v>95</v>
      </c>
      <c r="T2" s="116" t="s">
        <v>117</v>
      </c>
      <c r="V2" s="77" t="str">
        <f t="shared" ref="V2:V33" si="3">IF(AND(Include_study?="Yes",Sufficient_data="Yes"),Study_name,"")</f>
        <v>Lubis et al.</v>
      </c>
      <c r="W2" s="34">
        <f>IF(AND(Include_study?="Yes",Sufficient_data="Yes"),((E:E-I$29)*SQRT(Calculations!FU:FU))/SQRT(1-Calculations!FU:FU/SUM(Calculations!FU:FU)),"")</f>
        <v>-0.7625734047108661</v>
      </c>
      <c r="AE2" s="116" t="s">
        <v>118</v>
      </c>
      <c r="AG2" s="77" t="str">
        <f t="shared" ref="AG2:AG33" si="4">IF(AND(Include_study?="Yes",Sufficient_data="Yes"),Study_name,"")</f>
        <v>Lubis et al.</v>
      </c>
      <c r="AH2" s="74">
        <f t="shared" ref="AH2:AH65" si="5">IF(AND(Sufficient_data="Yes",Include_study?="Yes"),c_/(c_+d_),"")</f>
        <v>6.8005354752342706E-2</v>
      </c>
      <c r="AI2" s="34">
        <f t="shared" ref="AI2:AI65" si="6">IF(AND(Sufficient_data="Yes",Include_study?="Yes"),a_/(a_+b_),"")</f>
        <v>5.9504685408299868E-2</v>
      </c>
      <c r="AR2" s="116" t="s">
        <v>119</v>
      </c>
      <c r="AT2" s="77" t="str">
        <f t="shared" ref="AT2:AT33" si="7">IF(AND(Include_study?="Yes",Sufficient_data="Yes"),Study_name,"")</f>
        <v>Lubis et al.</v>
      </c>
      <c r="AU2" s="74">
        <f t="shared" ref="AU2:AU33" si="8">IF(AND(Include_study?="Yes",Sufficient_data="Yes"),IF(AND(Additional_valid_options="No",Additional_model="Random effects"),NA(),Inverse_standard_error),"")</f>
        <v>4.7118477837828241</v>
      </c>
      <c r="AV2" s="34">
        <f t="shared" ref="AV2:AV33" si="9">IF(AND(Include_study?="Yes",Sufficient_data="Yes"),IF(AND(Additional_valid_options="No",Additional_model="Random effects"),NA(),Z_score),"")</f>
        <v>-0.67196127858592847</v>
      </c>
      <c r="BC2" s="116" t="s">
        <v>120</v>
      </c>
      <c r="BE2" s="74" t="str">
        <f t="shared" ref="BE2:BE33" si="10">IF(AND(Include_study?="Yes",Sufficient_data="Yes"),Study_name,"")</f>
        <v>Lubis et al.</v>
      </c>
      <c r="BF2" s="74">
        <f>IF(AND(Include_study?="Yes",Sufficient_data="Yes"),NORMSINV(Calculations!IW2),"")</f>
        <v>-0.84162123357291474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-0.67196127858592847</v>
      </c>
      <c r="BP2" s="116" t="s">
        <v>121</v>
      </c>
      <c r="BR2" s="130" t="s">
        <v>122</v>
      </c>
      <c r="BS2" s="130"/>
      <c r="BT2" s="116" t="s">
        <v>123</v>
      </c>
    </row>
    <row r="3" spans="1:72" x14ac:dyDescent="0.3">
      <c r="A3" s="3" t="s">
        <v>77</v>
      </c>
      <c r="B3" s="5" t="s">
        <v>90</v>
      </c>
      <c r="D3" s="44" t="str">
        <f t="shared" si="0"/>
        <v>Lu et al.</v>
      </c>
      <c r="E3" s="3">
        <f t="shared" si="1"/>
        <v>0.28596639416660785</v>
      </c>
      <c r="F3" s="3">
        <f t="shared" si="2"/>
        <v>0.18463112904062717</v>
      </c>
      <c r="M3" s="116"/>
      <c r="O3" s="3" t="s">
        <v>98</v>
      </c>
      <c r="P3" s="4">
        <f>IF(Additional_valid_options="Yes",INTERCEPT(Z_score,Inverse_standard_error),NA())</f>
        <v>-0.3952824110855494</v>
      </c>
      <c r="Q3" s="4">
        <f>IF(Additional_valid_options="Yes",Q4*SQRT(1/k_*SUMPRODUCT(Inverse_standard_error,Inverse_standard_error)),NA())</f>
        <v>3.5372582529474217</v>
      </c>
      <c r="R3" s="4">
        <f>P3-ABS(TINV((1-Additional_confidence_level),k_-1))*Q3</f>
        <v>-8.1023060744536757</v>
      </c>
      <c r="S3" s="4">
        <f>P3+ABS(TINV((1-Additional_confidence_level),k_-1))*Q3</f>
        <v>7.3117412522825775</v>
      </c>
      <c r="T3" s="116"/>
      <c r="V3" s="76" t="str">
        <f t="shared" si="3"/>
        <v>Lu et al.</v>
      </c>
      <c r="W3" s="35">
        <f>IF(AND(Include_study?="Yes",Sufficient_data="Yes"),((E:E-I$29)*SQRT(Calculations!FU:FU))/SQRT(1-Calculations!FU:FU/SUM(Calculations!FU:FU)),"")</f>
        <v>1.5273664738857093</v>
      </c>
      <c r="AE3" s="116"/>
      <c r="AG3" s="76" t="str">
        <f t="shared" si="4"/>
        <v>Lu et al.</v>
      </c>
      <c r="AH3" s="3">
        <f t="shared" si="5"/>
        <v>9.3896713615023476E-3</v>
      </c>
      <c r="AI3" s="35">
        <f t="shared" si="6"/>
        <v>1.2459371614301192E-2</v>
      </c>
      <c r="AR3" s="116"/>
      <c r="AT3" s="76" t="str">
        <f t="shared" si="7"/>
        <v>Lu et al.</v>
      </c>
      <c r="AU3" s="3">
        <f t="shared" si="8"/>
        <v>5.416204760249042</v>
      </c>
      <c r="AV3" s="35">
        <f t="shared" si="9"/>
        <v>1.5488525453564352</v>
      </c>
      <c r="BC3" s="116"/>
      <c r="BE3" s="76" t="str">
        <f t="shared" si="10"/>
        <v>Lu et al.</v>
      </c>
      <c r="BF3" s="3">
        <f>IF(AND(Include_study?="Yes",Sufficient_data="Yes"),NORMSINV(Calculations!IW3),"")</f>
        <v>1.6448536269514715</v>
      </c>
      <c r="BG3" s="35">
        <f t="shared" si="11"/>
        <v>1.5488525453564352</v>
      </c>
      <c r="BP3" s="116"/>
      <c r="BR3" s="3" t="s">
        <v>124</v>
      </c>
      <c r="BS3" s="4">
        <f>SUM(Calculations!JH:JH)/SQRT(k_)</f>
        <v>0.28248863489026282</v>
      </c>
      <c r="BT3" s="116"/>
    </row>
    <row r="4" spans="1:72" x14ac:dyDescent="0.3">
      <c r="A4" s="3" t="s">
        <v>43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Lu et al.</v>
      </c>
      <c r="E4" s="3">
        <f t="shared" si="1"/>
        <v>0.20712413200567595</v>
      </c>
      <c r="F4" s="3">
        <f t="shared" si="2"/>
        <v>0.18643319615454887</v>
      </c>
      <c r="M4" s="116"/>
      <c r="O4" s="3" t="s">
        <v>125</v>
      </c>
      <c r="P4" s="4">
        <f>IF(Additional_valid_options="Yes",SLOPE(Z_score,Inverse_standard_error),NA())</f>
        <v>8.6087609370555679E-2</v>
      </c>
      <c r="Q4" s="4">
        <f>IF(Additional_valid_options="Yes",SQRT(((1/(k_-2))*SUMPRODUCT(Calculations!HM:HM,Calculations!HM:HM))/SUMPRODUCT(Calculations!HL:HL,Calculations!HL:HL)),NA())</f>
        <v>0.64121900157242839</v>
      </c>
      <c r="R4" s="4">
        <f>P4-ABS(TINV((1-Additional_confidence_level),k_-1))*Q4</f>
        <v>-1.3110085778818619</v>
      </c>
      <c r="S4" s="4">
        <f>P4+ABS(TINV((1-Additional_confidence_level),k_-1))*Q4</f>
        <v>1.4831837966229731</v>
      </c>
      <c r="T4" s="116"/>
      <c r="V4" s="76" t="str">
        <f t="shared" si="3"/>
        <v>Lu et al.</v>
      </c>
      <c r="W4" s="35">
        <f>IF(AND(Include_study?="Yes",Sufficient_data="Yes"),((E:E-I$29)*SQRT(Calculations!FU:FU))/SQRT(1-Calculations!FU:FU/SUM(Calculations!FU:FU)),"")</f>
        <v>1.0722698137664803</v>
      </c>
      <c r="AE4" s="116"/>
      <c r="AG4" s="76" t="str">
        <f t="shared" si="4"/>
        <v>Lu et al.</v>
      </c>
      <c r="AH4" s="3">
        <f t="shared" si="5"/>
        <v>1.3180800795821936E-2</v>
      </c>
      <c r="AI4" s="35">
        <f t="shared" si="6"/>
        <v>1.6165133051479732E-2</v>
      </c>
      <c r="AR4" s="116"/>
      <c r="AT4" s="76" t="str">
        <f t="shared" si="7"/>
        <v>Lu et al.</v>
      </c>
      <c r="AU4" s="3">
        <f t="shared" si="8"/>
        <v>5.3638516134810175</v>
      </c>
      <c r="AV4" s="35">
        <f t="shared" si="9"/>
        <v>1.1109831096495002</v>
      </c>
      <c r="BC4" s="116"/>
      <c r="BE4" s="76" t="str">
        <f t="shared" si="10"/>
        <v>Lu et al.</v>
      </c>
      <c r="BF4" s="3">
        <f>IF(AND(Include_study?="Yes",Sufficient_data="Yes"),NORMSINV(Calculations!IW4),"")</f>
        <v>0.84162123357291341</v>
      </c>
      <c r="BG4" s="35">
        <f t="shared" si="11"/>
        <v>1.1109831096495002</v>
      </c>
      <c r="BP4" s="116"/>
      <c r="BR4" s="3" t="s">
        <v>126</v>
      </c>
      <c r="BS4" s="7">
        <f>MAX(0,ROUNDUP(k_*(BS3/NORMSINV((1-Additional_confidence_level)))^2-k_,0))</f>
        <v>0</v>
      </c>
      <c r="BT4" s="116"/>
    </row>
    <row r="5" spans="1:72" x14ac:dyDescent="0.3">
      <c r="D5" s="44" t="str">
        <f t="shared" si="0"/>
        <v>Seo et al.</v>
      </c>
      <c r="E5" s="3">
        <f t="shared" si="1"/>
        <v>0.13926596481592882</v>
      </c>
      <c r="F5" s="3">
        <f t="shared" si="2"/>
        <v>0.17619483771616601</v>
      </c>
      <c r="M5" s="116"/>
      <c r="T5" s="116"/>
      <c r="V5" s="76" t="str">
        <f t="shared" si="3"/>
        <v>Seo et al.</v>
      </c>
      <c r="W5" s="35">
        <f>IF(AND(Include_study?="Yes",Sufficient_data="Yes"),((E:E-I$29)*SQRT(Calculations!FU:FU))/SQRT(1-Calculations!FU:FU/SUM(Calculations!FU:FU)),"")</f>
        <v>0.73809789398885695</v>
      </c>
      <c r="AE5" s="116"/>
      <c r="AG5" s="76" t="str">
        <f t="shared" si="4"/>
        <v>Seo et al.</v>
      </c>
      <c r="AH5" s="3">
        <f t="shared" si="5"/>
        <v>1.1014806789454677E-2</v>
      </c>
      <c r="AI5" s="35">
        <f t="shared" si="6"/>
        <v>1.2639942217407007E-2</v>
      </c>
      <c r="AR5" s="116"/>
      <c r="AT5" s="76" t="str">
        <f t="shared" si="7"/>
        <v>Seo et al.</v>
      </c>
      <c r="AU5" s="3">
        <f t="shared" si="8"/>
        <v>5.6755351800426173</v>
      </c>
      <c r="AV5" s="35">
        <f t="shared" si="9"/>
        <v>0.79040888269538134</v>
      </c>
      <c r="BC5" s="116"/>
      <c r="BE5" s="76" t="str">
        <f t="shared" si="10"/>
        <v>Seo et al.</v>
      </c>
      <c r="BF5" s="3">
        <f>IF(AND(Include_study?="Yes",Sufficient_data="Yes"),NORMSINV(Calculations!IW5),"")</f>
        <v>0.59776012604247841</v>
      </c>
      <c r="BG5" s="35">
        <f t="shared" si="11"/>
        <v>0.79040888269538134</v>
      </c>
      <c r="BP5" s="116"/>
      <c r="BR5" s="3" t="s">
        <v>127</v>
      </c>
      <c r="BS5" s="4" t="b">
        <f>BS4&lt;5*k_+10</f>
        <v>1</v>
      </c>
      <c r="BT5" s="116"/>
    </row>
    <row r="6" spans="1:72" x14ac:dyDescent="0.3">
      <c r="A6" s="3" t="s">
        <v>28</v>
      </c>
      <c r="B6" s="5" t="s">
        <v>91</v>
      </c>
      <c r="D6" s="44" t="str">
        <f t="shared" si="0"/>
        <v>Law et al.</v>
      </c>
      <c r="E6" s="3">
        <f t="shared" si="1"/>
        <v>-0.23540031375603082</v>
      </c>
      <c r="F6" s="3">
        <f t="shared" si="2"/>
        <v>0.17230510855134057</v>
      </c>
      <c r="M6" s="116"/>
      <c r="O6" s="3" t="s">
        <v>128</v>
      </c>
      <c r="P6" s="4">
        <f>P3/Q3</f>
        <v>-0.11174824760283765</v>
      </c>
      <c r="T6" s="116"/>
      <c r="V6" s="76" t="str">
        <f t="shared" si="3"/>
        <v>Law et al.</v>
      </c>
      <c r="W6" s="35">
        <f>IF(AND(Include_study?="Yes",Sufficient_data="Yes"),((E:E-I$29)*SQRT(Calculations!FU:FU))/SQRT(1-Calculations!FU:FU/SUM(Calculations!FU:FU)),"")</f>
        <v>-1.5170740472229889</v>
      </c>
      <c r="AE6" s="116"/>
      <c r="AG6" s="76" t="str">
        <f t="shared" si="4"/>
        <v>Law et al.</v>
      </c>
      <c r="AH6" s="3">
        <f t="shared" si="5"/>
        <v>1.1755725190839695E-2</v>
      </c>
      <c r="AI6" s="35">
        <f t="shared" si="6"/>
        <v>9.3129770992366415E-3</v>
      </c>
      <c r="AR6" s="116"/>
      <c r="AT6" s="76" t="str">
        <f t="shared" si="7"/>
        <v>Law et al.</v>
      </c>
      <c r="AU6" s="3">
        <f t="shared" si="8"/>
        <v>5.8036584545143466</v>
      </c>
      <c r="AV6" s="35">
        <f t="shared" si="9"/>
        <v>-1.3661830211255181</v>
      </c>
      <c r="BC6" s="116"/>
      <c r="BE6" s="76" t="str">
        <f t="shared" si="10"/>
        <v>Law et al.</v>
      </c>
      <c r="BF6" s="3">
        <f>IF(AND(Include_study?="Yes",Sufficient_data="Yes"),NORMSINV(Calculations!IW6),"")</f>
        <v>-1.6448536269514726</v>
      </c>
      <c r="BG6" s="35">
        <f t="shared" si="11"/>
        <v>-1.3661830211255181</v>
      </c>
      <c r="BP6" s="116"/>
      <c r="BT6" s="116"/>
    </row>
    <row r="7" spans="1:72" x14ac:dyDescent="0.3">
      <c r="A7" s="3" t="s">
        <v>33</v>
      </c>
      <c r="B7" s="29">
        <v>0.95</v>
      </c>
      <c r="D7" s="44" t="str">
        <f t="shared" si="0"/>
        <v>Latif et al.</v>
      </c>
      <c r="E7" s="3">
        <f t="shared" si="1"/>
        <v>4.7801581709305027E-2</v>
      </c>
      <c r="F7" s="3">
        <f t="shared" si="2"/>
        <v>0.17854816035701551</v>
      </c>
      <c r="M7" s="116"/>
      <c r="O7" s="3" t="s">
        <v>97</v>
      </c>
      <c r="P7" s="26">
        <f>TDIST(ABS(P6),k_-2,2)</f>
        <v>0.91303608393451818</v>
      </c>
      <c r="T7" s="116"/>
      <c r="V7" s="76" t="str">
        <f t="shared" si="3"/>
        <v>Latif et al.</v>
      </c>
      <c r="W7" s="35">
        <f>IF(AND(Include_study?="Yes",Sufficient_data="Yes"),((E:E-I$29)*SQRT(Calculations!FU:FU))/SQRT(1-Calculations!FU:FU/SUM(Calculations!FU:FU)),"")</f>
        <v>0.19365567119045726</v>
      </c>
      <c r="AE7" s="116"/>
      <c r="AG7" s="76" t="str">
        <f t="shared" si="4"/>
        <v>Latif et al.</v>
      </c>
      <c r="AH7" s="3">
        <f t="shared" si="5"/>
        <v>1.1209546194178268E-2</v>
      </c>
      <c r="AI7" s="35">
        <f t="shared" si="6"/>
        <v>1.1751943590670765E-2</v>
      </c>
      <c r="AR7" s="116"/>
      <c r="AT7" s="76" t="str">
        <f t="shared" si="7"/>
        <v>Latif et al.</v>
      </c>
      <c r="AU7" s="3">
        <f t="shared" si="8"/>
        <v>5.6007297862966077</v>
      </c>
      <c r="AV7" s="35">
        <f t="shared" si="9"/>
        <v>0.2677237425113958</v>
      </c>
      <c r="BC7" s="116"/>
      <c r="BE7" s="76" t="str">
        <f t="shared" si="10"/>
        <v>Latif et al.</v>
      </c>
      <c r="BF7" s="3">
        <f>IF(AND(Include_study?="Yes",Sufficient_data="Yes"),NORMSINV(Calculations!IW7),"")</f>
        <v>0.18911842627279243</v>
      </c>
      <c r="BG7" s="35">
        <f t="shared" si="11"/>
        <v>0.2677237425113958</v>
      </c>
      <c r="BP7" s="116"/>
      <c r="BR7" s="114" t="s">
        <v>129</v>
      </c>
      <c r="BS7" s="114"/>
      <c r="BT7" s="116"/>
    </row>
    <row r="8" spans="1:72" x14ac:dyDescent="0.3">
      <c r="D8" s="44" t="str">
        <f t="shared" si="0"/>
        <v>Hazarika et al. (A)</v>
      </c>
      <c r="E8" s="3">
        <f t="shared" si="1"/>
        <v>-8.9394925710100992E-2</v>
      </c>
      <c r="F8" s="3">
        <f t="shared" si="2"/>
        <v>0.17131086018515415</v>
      </c>
      <c r="M8" s="116"/>
      <c r="T8" s="116"/>
      <c r="V8" s="76" t="str">
        <f t="shared" si="3"/>
        <v>Hazarika et al. (A)</v>
      </c>
      <c r="W8" s="35">
        <f>IF(AND(Include_study?="Yes",Sufficient_data="Yes"),((E:E-I$29)*SQRT(Calculations!FU:FU))/SQRT(1-Calculations!FU:FU/SUM(Calculations!FU:FU)),"")</f>
        <v>-0.63516296028032171</v>
      </c>
      <c r="AE8" s="116"/>
      <c r="AG8" s="76" t="str">
        <f t="shared" si="4"/>
        <v>Hazarika et al. (A)</v>
      </c>
      <c r="AH8" s="3">
        <f t="shared" si="5"/>
        <v>1.3132048017460896E-2</v>
      </c>
      <c r="AI8" s="35">
        <f t="shared" si="6"/>
        <v>1.2022553655874863E-2</v>
      </c>
      <c r="AR8" s="116"/>
      <c r="AT8" s="76" t="str">
        <f t="shared" si="7"/>
        <v>Hazarika et al. (A)</v>
      </c>
      <c r="AU8" s="3">
        <f t="shared" si="8"/>
        <v>5.8373415375954094</v>
      </c>
      <c r="AV8" s="35">
        <f t="shared" si="9"/>
        <v>-0.5218287130978283</v>
      </c>
      <c r="BC8" s="116"/>
      <c r="BE8" s="76" t="str">
        <f t="shared" si="10"/>
        <v>Hazarika et al. (A)</v>
      </c>
      <c r="BF8" s="3">
        <f>IF(AND(Include_study?="Yes",Sufficient_data="Yes"),NORMSINV(Calculations!IW8),"")</f>
        <v>-0.59776012604247875</v>
      </c>
      <c r="BG8" s="35">
        <f t="shared" si="11"/>
        <v>-0.5218287130978283</v>
      </c>
      <c r="BP8" s="116"/>
      <c r="BR8" s="3" t="s">
        <v>130</v>
      </c>
      <c r="BS8" s="7">
        <f>MAX(0,ROUNDUP((k_*(1-MAX(Calculations!JI:JI))-1)/MAX(Calculations!JI:JI),0))</f>
        <v>16</v>
      </c>
      <c r="BT8" s="116"/>
    </row>
    <row r="9" spans="1:72" x14ac:dyDescent="0.3">
      <c r="A9" s="114" t="s">
        <v>60</v>
      </c>
      <c r="B9" s="114"/>
      <c r="D9" s="44" t="str">
        <f t="shared" si="0"/>
        <v>Lubis et al.</v>
      </c>
      <c r="E9" s="3">
        <f t="shared" si="1"/>
        <v>-0.18389483903264639</v>
      </c>
      <c r="F9" s="3">
        <f t="shared" si="2"/>
        <v>0.20529056653385463</v>
      </c>
      <c r="M9" s="116"/>
      <c r="O9" s="114" t="s">
        <v>131</v>
      </c>
      <c r="P9" s="114"/>
      <c r="T9" s="116"/>
      <c r="V9" s="76" t="str">
        <f t="shared" si="3"/>
        <v>Lubis et al.</v>
      </c>
      <c r="W9" s="35">
        <f>IF(AND(Include_study?="Yes",Sufficient_data="Yes"),((E:E-I$29)*SQRT(Calculations!FU:FU))/SQRT(1-Calculations!FU:FU/SUM(Calculations!FU:FU)),"")</f>
        <v>-0.99738670904982696</v>
      </c>
      <c r="AE9" s="116"/>
      <c r="AG9" s="76" t="str">
        <f t="shared" si="4"/>
        <v>Lubis et al.</v>
      </c>
      <c r="AH9" s="3">
        <f t="shared" si="5"/>
        <v>4.779437609841828E-2</v>
      </c>
      <c r="AI9" s="35">
        <f t="shared" si="6"/>
        <v>4.0087873462214409E-2</v>
      </c>
      <c r="AR9" s="116"/>
      <c r="AT9" s="76" t="str">
        <f t="shared" si="7"/>
        <v>Lubis et al.</v>
      </c>
      <c r="AU9" s="3">
        <f t="shared" si="8"/>
        <v>4.8711444314470684</v>
      </c>
      <c r="AV9" s="35">
        <f t="shared" si="9"/>
        <v>-0.89577832112573053</v>
      </c>
      <c r="BC9" s="116"/>
      <c r="BE9" s="76" t="str">
        <f t="shared" si="10"/>
        <v>Lubis et al.</v>
      </c>
      <c r="BF9" s="3">
        <f>IF(AND(Include_study?="Yes",Sufficient_data="Yes"),NORMSINV(Calculations!IW9),"")</f>
        <v>-1.1503493803760083</v>
      </c>
      <c r="BG9" s="35">
        <f t="shared" si="11"/>
        <v>-0.89577832112573053</v>
      </c>
      <c r="BP9" s="116"/>
      <c r="BT9" s="116"/>
    </row>
    <row r="10" spans="1:72" ht="13" x14ac:dyDescent="0.35">
      <c r="A10" s="119" t="s">
        <v>71</v>
      </c>
      <c r="B10" s="119"/>
      <c r="D10" s="44" t="str">
        <f t="shared" si="0"/>
        <v>Alhussein et al.</v>
      </c>
      <c r="E10" s="3">
        <f t="shared" si="1"/>
        <v>0.10158958990112155</v>
      </c>
      <c r="F10" s="3">
        <f t="shared" si="2"/>
        <v>0.17050047698176424</v>
      </c>
      <c r="M10" s="116"/>
      <c r="O10" s="3" t="s">
        <v>132</v>
      </c>
      <c r="P10" s="4">
        <f>IF(Additional_valid_options="Yes",SUM(Calculations!HT:HT)/2-SUM(Calculations!HU:HU)/2,NA())</f>
        <v>2</v>
      </c>
      <c r="T10" s="116"/>
      <c r="V10" s="76" t="str">
        <f t="shared" si="3"/>
        <v>Alhussein et al.</v>
      </c>
      <c r="W10" s="35">
        <f>IF(AND(Include_study?="Yes",Sufficient_data="Yes"),((E:E-I$29)*SQRT(Calculations!FU:FU))/SQRT(1-Calculations!FU:FU/SUM(Calculations!FU:FU)),"")</f>
        <v>0.5337969100898573</v>
      </c>
      <c r="AE10" s="116"/>
      <c r="AG10" s="76" t="str">
        <f t="shared" si="4"/>
        <v>Alhussein et al.</v>
      </c>
      <c r="AH10" s="3">
        <f t="shared" si="5"/>
        <v>3.3814022874191947E-2</v>
      </c>
      <c r="AI10" s="35">
        <f t="shared" si="6"/>
        <v>3.7294878170064646E-2</v>
      </c>
      <c r="AR10" s="116"/>
      <c r="AT10" s="76" t="str">
        <f t="shared" si="7"/>
        <v>Alhussein et al.</v>
      </c>
      <c r="AU10" s="3">
        <f t="shared" si="8"/>
        <v>5.8650862314417704</v>
      </c>
      <c r="AV10" s="35">
        <f t="shared" si="9"/>
        <v>0.59583170498688398</v>
      </c>
      <c r="BC10" s="116"/>
      <c r="BE10" s="76" t="str">
        <f t="shared" si="10"/>
        <v>Alhussein et al.</v>
      </c>
      <c r="BF10" s="3">
        <f>IF(AND(Include_study?="Yes",Sufficient_data="Yes"),NORMSINV(Calculations!IW10),"")</f>
        <v>0.38532046640756745</v>
      </c>
      <c r="BG10" s="35">
        <f t="shared" si="11"/>
        <v>0.59583170498688398</v>
      </c>
      <c r="BP10" s="116"/>
      <c r="BR10" s="114" t="s">
        <v>133</v>
      </c>
      <c r="BS10" s="114"/>
      <c r="BT10" s="116"/>
    </row>
    <row r="11" spans="1:72" x14ac:dyDescent="0.3">
      <c r="A11" s="113" t="s">
        <v>61</v>
      </c>
      <c r="B11" s="113"/>
      <c r="D11" s="44" t="str">
        <f t="shared" si="0"/>
        <v>Latif et al.</v>
      </c>
      <c r="E11" s="3">
        <f t="shared" si="1"/>
        <v>0.20714027115485881</v>
      </c>
      <c r="F11" s="3">
        <f t="shared" si="2"/>
        <v>0.18644041004836151</v>
      </c>
      <c r="M11" s="116"/>
      <c r="O11" s="3" t="s">
        <v>134</v>
      </c>
      <c r="P11" s="4">
        <f>IF(Additional_valid_options="Yes",(SUM(Calculations!HT:HT)/2-SUM(Calculations!HU:HU)/2)/(1/2*k_*(k_-1)),NA())</f>
        <v>2.564102564102564E-2</v>
      </c>
      <c r="T11" s="116"/>
      <c r="V11" s="76" t="str">
        <f t="shared" si="3"/>
        <v>Latif et al.</v>
      </c>
      <c r="W11" s="35">
        <f>IF(AND(Include_study?="Yes",Sufficient_data="Yes"),((E:E-I$29)*SQRT(Calculations!FU:FU))/SQRT(1-Calculations!FU:FU/SUM(Calculations!FU:FU)),"")</f>
        <v>1.0723149658449782</v>
      </c>
      <c r="AE11" s="116"/>
      <c r="AG11" s="76" t="str">
        <f t="shared" si="4"/>
        <v>Latif et al.</v>
      </c>
      <c r="AH11" s="3">
        <f t="shared" si="5"/>
        <v>1.325E-2</v>
      </c>
      <c r="AI11" s="35">
        <f t="shared" si="6"/>
        <v>1.6250000000000001E-2</v>
      </c>
      <c r="AR11" s="116"/>
      <c r="AT11" s="76" t="str">
        <f t="shared" si="7"/>
        <v>Latif et al.</v>
      </c>
      <c r="AU11" s="3">
        <f t="shared" si="8"/>
        <v>5.3636440712644111</v>
      </c>
      <c r="AV11" s="35">
        <f t="shared" si="9"/>
        <v>1.1110266872998611</v>
      </c>
      <c r="BC11" s="116"/>
      <c r="BE11" s="76" t="str">
        <f t="shared" si="10"/>
        <v>Latif et al.</v>
      </c>
      <c r="BF11" s="3">
        <f>IF(AND(Include_study?="Yes",Sufficient_data="Yes"),NORMSINV(Calculations!IW11),"")</f>
        <v>1.1503493803760076</v>
      </c>
      <c r="BG11" s="35">
        <f t="shared" si="11"/>
        <v>1.1110266872998611</v>
      </c>
      <c r="BP11" s="116"/>
      <c r="BR11" s="3" t="s">
        <v>102</v>
      </c>
      <c r="BS11" s="4">
        <f>I29</f>
        <v>1.4623846157597693E-2</v>
      </c>
      <c r="BT11" s="116"/>
    </row>
    <row r="12" spans="1:72" ht="13" x14ac:dyDescent="0.35">
      <c r="A12" s="113" t="s">
        <v>62</v>
      </c>
      <c r="B12" s="113"/>
      <c r="D12" s="44" t="str">
        <f t="shared" si="0"/>
        <v>Quan et al.</v>
      </c>
      <c r="E12" s="3">
        <f t="shared" si="1"/>
        <v>-3.9189500218638623E-2</v>
      </c>
      <c r="F12" s="3">
        <f t="shared" si="2"/>
        <v>0.19798477946729875</v>
      </c>
      <c r="M12" s="116"/>
      <c r="O12" s="3" t="s">
        <v>135</v>
      </c>
      <c r="P12" s="4">
        <f>P10/SQRT((k_*(k_-1)*(2*k_+5)/18))</f>
        <v>0.12201777521731261</v>
      </c>
      <c r="T12" s="116"/>
      <c r="V12" s="76" t="str">
        <f t="shared" si="3"/>
        <v>Quan et al.</v>
      </c>
      <c r="W12" s="35">
        <f>IF(AND(Include_study?="Yes",Sufficient_data="Yes"),((E:E-I$29)*SQRT(Calculations!FU:FU))/SQRT(1-Calculations!FU:FU/SUM(Calculations!FU:FU)),"")</f>
        <v>-0.28101744775437854</v>
      </c>
      <c r="AE12" s="116"/>
      <c r="AG12" s="76" t="str">
        <f t="shared" si="4"/>
        <v>Quan et al.</v>
      </c>
      <c r="AH12" s="3">
        <f t="shared" si="5"/>
        <v>5.5837563451776651E-2</v>
      </c>
      <c r="AI12" s="35">
        <f t="shared" si="6"/>
        <v>5.3807106598984772E-2</v>
      </c>
      <c r="AR12" s="116"/>
      <c r="AT12" s="76" t="str">
        <f t="shared" si="7"/>
        <v>Quan et al.</v>
      </c>
      <c r="AU12" s="3">
        <f t="shared" si="8"/>
        <v>5.0508933196310197</v>
      </c>
      <c r="AV12" s="35">
        <f t="shared" si="9"/>
        <v>-0.19794198485400022</v>
      </c>
      <c r="BC12" s="116"/>
      <c r="BE12" s="76" t="str">
        <f t="shared" si="10"/>
        <v>Quan et al.</v>
      </c>
      <c r="BF12" s="3">
        <f>IF(AND(Include_study?="Yes",Sufficient_data="Yes"),NORMSINV(Calculations!IW12),"")</f>
        <v>0</v>
      </c>
      <c r="BG12" s="35">
        <f t="shared" si="11"/>
        <v>-0.19794198485400022</v>
      </c>
      <c r="BP12" s="116"/>
      <c r="BR12" s="3" t="s">
        <v>136</v>
      </c>
      <c r="BS12" s="5">
        <v>0</v>
      </c>
      <c r="BT12" s="116"/>
    </row>
    <row r="13" spans="1:72" ht="13" x14ac:dyDescent="0.35">
      <c r="D13" s="44" t="str">
        <f t="shared" si="0"/>
        <v>Quan et al.</v>
      </c>
      <c r="E13" s="3">
        <f t="shared" si="1"/>
        <v>-7.0886350479830787E-2</v>
      </c>
      <c r="F13" s="3">
        <f t="shared" si="2"/>
        <v>0.16844342955969202</v>
      </c>
      <c r="M13" s="116"/>
      <c r="O13" s="3" t="s">
        <v>85</v>
      </c>
      <c r="P13" s="26">
        <f>2*(1-NORMSDIST(ABS(P12)))</f>
        <v>0.90288494086970994</v>
      </c>
      <c r="T13" s="116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-0.53189515551082389</v>
      </c>
      <c r="AE13" s="116"/>
      <c r="AG13" s="76" t="str">
        <f t="shared" si="4"/>
        <v>Quan et al.</v>
      </c>
      <c r="AH13" s="3">
        <f t="shared" si="5"/>
        <v>8.0203045685279181E-2</v>
      </c>
      <c r="AI13" s="35">
        <f t="shared" si="6"/>
        <v>7.5126903553299498E-2</v>
      </c>
      <c r="AR13" s="116"/>
      <c r="AT13" s="76" t="str">
        <f t="shared" si="7"/>
        <v>Quan et al.</v>
      </c>
      <c r="AU13" s="3">
        <f t="shared" si="8"/>
        <v>5.9367112306724064</v>
      </c>
      <c r="AV13" s="35">
        <f t="shared" si="9"/>
        <v>-0.42083179299499174</v>
      </c>
      <c r="BC13" s="116"/>
      <c r="BE13" s="76" t="str">
        <f t="shared" si="10"/>
        <v>Quan et al.</v>
      </c>
      <c r="BF13" s="3">
        <f>IF(AND(Include_study?="Yes",Sufficient_data="Yes"),NORMSINV(Calculations!IW13),"")</f>
        <v>-0.38532046640756762</v>
      </c>
      <c r="BG13" s="35">
        <f t="shared" si="11"/>
        <v>-0.42083179299499174</v>
      </c>
      <c r="BP13" s="116"/>
      <c r="BR13" s="3" t="s">
        <v>137</v>
      </c>
      <c r="BS13" s="5">
        <v>-0.69</v>
      </c>
      <c r="BT13" s="116"/>
    </row>
    <row r="14" spans="1:72" x14ac:dyDescent="0.3">
      <c r="A14" s="114" t="s">
        <v>89</v>
      </c>
      <c r="B14" s="114"/>
      <c r="D14" s="44" t="str">
        <f t="shared" si="0"/>
        <v>Quan et al.</v>
      </c>
      <c r="E14" s="3">
        <f t="shared" si="1"/>
        <v>-5.5058751027871673E-2</v>
      </c>
      <c r="F14" s="3">
        <f t="shared" si="2"/>
        <v>0.16595242774821717</v>
      </c>
      <c r="M14" s="116"/>
      <c r="T14" s="116"/>
      <c r="V14" s="76" t="str">
        <f t="shared" si="3"/>
        <v>Quan et al.</v>
      </c>
      <c r="W14" s="35">
        <f>IF(AND(Include_study?="Yes",Sufficient_data="Yes"),((E:E-I$29)*SQRT(Calculations!FU:FU))/SQRT(1-Calculations!FU:FU/SUM(Calculations!FU:FU)),"")</f>
        <v>-0.44060176185274014</v>
      </c>
      <c r="AE14" s="116"/>
      <c r="AG14" s="76" t="str">
        <f t="shared" si="4"/>
        <v>Quan et al.</v>
      </c>
      <c r="AH14" s="3">
        <f t="shared" si="5"/>
        <v>8.223350253807106E-2</v>
      </c>
      <c r="AI14" s="35">
        <f t="shared" si="6"/>
        <v>7.8172588832487316E-2</v>
      </c>
      <c r="AR14" s="116"/>
      <c r="AT14" s="76" t="str">
        <f t="shared" si="7"/>
        <v>Quan et al.</v>
      </c>
      <c r="AU14" s="3">
        <f t="shared" si="8"/>
        <v>6.0258232649491505</v>
      </c>
      <c r="AV14" s="35">
        <f t="shared" si="9"/>
        <v>-0.33177430288279208</v>
      </c>
      <c r="BC14" s="116"/>
      <c r="BE14" s="76" t="str">
        <f t="shared" si="10"/>
        <v>Quan et al.</v>
      </c>
      <c r="BF14" s="3">
        <f>IF(AND(Include_study?="Yes",Sufficient_data="Yes"),NORMSINV(Calculations!IW14),"")</f>
        <v>-0.18911842627279254</v>
      </c>
      <c r="BG14" s="35">
        <f t="shared" si="11"/>
        <v>-0.33177430288279208</v>
      </c>
      <c r="BP14" s="116"/>
      <c r="BR14" s="3" t="s">
        <v>126</v>
      </c>
      <c r="BS14" s="7">
        <f>MAX(0,ROUNDUP(k_*(BS11-BS12)/(BS12-BS13),0))</f>
        <v>1</v>
      </c>
      <c r="BT14" s="116"/>
    </row>
    <row r="15" spans="1:72" x14ac:dyDescent="0.3">
      <c r="A15" s="119" t="str">
        <f>IF(Additional_weighting_method="Peto","Log Peto Odds Ratio","Log Odds Ratio")</f>
        <v>Log Odds Ratio</v>
      </c>
      <c r="B15" s="11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6"/>
      <c r="T15" s="116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6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6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6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6"/>
      <c r="BT15" s="116"/>
    </row>
    <row r="16" spans="1:72" x14ac:dyDescent="0.3">
      <c r="A16" s="113" t="str">
        <f>IF(Additional_weighting_method="Inverse variance","Log Risk Ratio","")</f>
        <v>Log Risk Ratio</v>
      </c>
      <c r="B16" s="113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6"/>
      <c r="T16" s="116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6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6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6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6"/>
      <c r="BR16" s="114" t="s">
        <v>138</v>
      </c>
      <c r="BS16" s="114"/>
      <c r="BT16" s="116"/>
    </row>
    <row r="17" spans="1:72" x14ac:dyDescent="0.3">
      <c r="A17" s="113" t="str">
        <f>IF(Additional_weighting_method="Inverse Variance","Risk Difference","")</f>
        <v>Risk Difference</v>
      </c>
      <c r="B17" s="113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6"/>
      <c r="T17" s="116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6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6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6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6"/>
      <c r="BR17" s="3" t="s">
        <v>126</v>
      </c>
      <c r="BS17" s="7">
        <f>MAX(0,ROUNDUP(-2*SUM(Calculations!JJ:JJ),0))</f>
        <v>41</v>
      </c>
      <c r="BT17" s="116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6"/>
      <c r="T18" s="116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6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6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6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6"/>
      <c r="BR18" s="3" t="s">
        <v>139</v>
      </c>
      <c r="BS18" s="26">
        <f>CHIDIST(BS17,k_*2)</f>
        <v>3.1034101687730884E-2</v>
      </c>
      <c r="BT18" s="116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6"/>
      <c r="T19" s="116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6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6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6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6"/>
      <c r="BT19" s="116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6"/>
      <c r="T20" s="116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6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6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6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6"/>
      <c r="BT20" s="116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6"/>
      <c r="T21" s="116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6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6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6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6"/>
      <c r="BT21" s="116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6"/>
      <c r="T22" s="116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6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6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6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6"/>
      <c r="BT22" s="116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6"/>
      <c r="T23" s="116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6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6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6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6"/>
      <c r="BT23" s="116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6"/>
      <c r="T24" s="116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6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6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6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6"/>
      <c r="BT24" s="116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6"/>
      <c r="T25" s="116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6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6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6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6"/>
      <c r="BT25" s="116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6"/>
      <c r="T26" s="116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6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6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6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6"/>
      <c r="BT26" s="116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6"/>
      <c r="T27" s="116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6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6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6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6"/>
      <c r="BT27" s="116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102</v>
      </c>
      <c r="I28" s="28" t="s">
        <v>140</v>
      </c>
      <c r="K28" s="114" t="s">
        <v>56</v>
      </c>
      <c r="L28" s="114"/>
      <c r="M28" s="116"/>
      <c r="T28" s="116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6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6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1" t="s">
        <v>141</v>
      </c>
      <c r="AY28" s="131"/>
      <c r="AZ28" s="131"/>
      <c r="BA28" s="131"/>
      <c r="BB28" s="132"/>
      <c r="BC28" s="116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1" t="s">
        <v>141</v>
      </c>
      <c r="BJ28" s="131"/>
      <c r="BK28" s="131"/>
      <c r="BL28" s="131"/>
      <c r="BM28" s="131"/>
      <c r="BP28" s="116"/>
      <c r="BT28" s="116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1.4623846157597693E-2</v>
      </c>
      <c r="K29" s="3" t="s">
        <v>57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9.5535089233882786</v>
      </c>
      <c r="M29" s="116"/>
      <c r="T29" s="116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142</v>
      </c>
      <c r="Z29" s="1" t="s">
        <v>143</v>
      </c>
      <c r="AA29" s="1" t="s">
        <v>144</v>
      </c>
      <c r="AE29" s="116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6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116</v>
      </c>
      <c r="AZ29" s="3" t="s">
        <v>93</v>
      </c>
      <c r="BA29" s="3" t="s">
        <v>94</v>
      </c>
      <c r="BB29" s="3" t="s">
        <v>95</v>
      </c>
      <c r="BC29" s="116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116</v>
      </c>
      <c r="BK29" s="3" t="s">
        <v>93</v>
      </c>
      <c r="BL29" s="3" t="s">
        <v>94</v>
      </c>
      <c r="BM29" s="3" t="s">
        <v>95</v>
      </c>
      <c r="BP29" s="116"/>
      <c r="BT29" s="116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5.0276835978712818E-2</v>
      </c>
      <c r="K30" s="3" t="s">
        <v>58</v>
      </c>
      <c r="L30" s="26">
        <f>IF(Additional_valid_options="Yes",CHIDIST(L29,k_-1+IF(Trim_and_fill="On",L39,0)),"")</f>
        <v>0.65506649515070225</v>
      </c>
      <c r="M30" s="116"/>
      <c r="T30" s="116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6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6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98</v>
      </c>
      <c r="AY30" s="4">
        <v>0</v>
      </c>
      <c r="AZ30" s="4"/>
      <c r="BA30" s="4"/>
      <c r="BB30" s="4"/>
      <c r="BC30" s="116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98</v>
      </c>
      <c r="BJ30" s="4">
        <f>INTERCEPT(BG:BG,BF:BF)</f>
        <v>7.8348250602513228E-2</v>
      </c>
      <c r="BK30" s="4">
        <f>BK31*SQRT(1/k_*SUMPRODUCT(BF:BF,BF:BF))</f>
        <v>4.4812429718321674E-2</v>
      </c>
      <c r="BL30" s="4">
        <f>BJ30-ABS(TINV((1-Additional_confidence_level),k_-1))*BK30</f>
        <v>-1.9289646196327004E-2</v>
      </c>
      <c r="BM30" s="4">
        <f>BJ30+ABS(TINV((1-Additional_confidence_level),k_-1))*BK30</f>
        <v>0.17598614740135346</v>
      </c>
      <c r="BP30" s="116"/>
      <c r="BT30" s="116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25</v>
      </c>
      <c r="I31" s="4">
        <f>IF(Additional_valid_options="Yes",I29-ABS(TINV((1-Additional_confidence_level),k_-1))*I30,"")</f>
        <v>-9.4919969107896671E-2</v>
      </c>
      <c r="K31" s="3" t="s">
        <v>59</v>
      </c>
      <c r="L31" s="8">
        <f>IF(Additional_valid_options="Yes",IF(L29-(k_-1+IF(Trim_and_fill="On",L39,0))&lt;=0,0,(L29-(k_-1+IF(Trim_and_fill="On",L39,0)))/L29),"")</f>
        <v>0</v>
      </c>
      <c r="M31" s="116"/>
      <c r="T31" s="116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7.6923076923076927E-2</v>
      </c>
      <c r="AA31" s="4">
        <f>NORMSDIST(Calculations!HZ2)</f>
        <v>8.0756659233771053E-2</v>
      </c>
      <c r="AE31" s="116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6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125</v>
      </c>
      <c r="AY31" s="4">
        <f>I29</f>
        <v>1.4623846157597693E-2</v>
      </c>
      <c r="AZ31" s="4">
        <f>I30</f>
        <v>5.0276835978712818E-2</v>
      </c>
      <c r="BA31" s="4">
        <f>AY31-ABS(TINV((1-Additional_confidence_level),k_-1))*AZ31</f>
        <v>-9.4919969107896671E-2</v>
      </c>
      <c r="BB31" s="4">
        <f>AY31+ABS(TINV((1-Additional_confidence_level),k_-1))*AZ31</f>
        <v>0.12416766142309206</v>
      </c>
      <c r="BC31" s="116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125</v>
      </c>
      <c r="BJ31" s="4">
        <f>SLOPE(BG:BG,BF:BF)</f>
        <v>0.9371024401178556</v>
      </c>
      <c r="BK31" s="4">
        <f>SQRT(((1/(k_-2))*SUMPRODUCT(Calculations!JA:JA,Calculations!JA:JA))/SUMPRODUCT(Calculations!IZ:IZ,Calculations!IZ:IZ))</f>
        <v>4.9726800534368364E-2</v>
      </c>
      <c r="BL31" s="4">
        <f>BJ31-ABS(TINV((1-Additional_confidence_level),k_-1))*BK31</f>
        <v>0.8287570491352706</v>
      </c>
      <c r="BM31" s="4">
        <f>BJ31+ABS(TINV((1-Additional_confidence_level),k_-1))*BK31</f>
        <v>1.0454478311004405</v>
      </c>
      <c r="BP31" s="116"/>
      <c r="BT31" s="116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26</v>
      </c>
      <c r="I32" s="4">
        <f>IF(Additional_valid_options="Yes",I29+ABS(TINV((1-Additional_confidence_level),k_-1))*I30,"")</f>
        <v>0.12416766142309206</v>
      </c>
      <c r="K32" s="3" t="s">
        <v>145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6"/>
      <c r="T32" s="116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0</v>
      </c>
      <c r="AA32" s="4">
        <f>NORMSDIST(Calculations!HZ3)-(SUM(AA$31:AA31))</f>
        <v>7.7898594697685938E-2</v>
      </c>
      <c r="AE32" s="116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1" t="s">
        <v>102</v>
      </c>
      <c r="AL32" s="131"/>
      <c r="AM32" s="131"/>
      <c r="AR32" s="116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6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6"/>
      <c r="BT32" s="116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49</v>
      </c>
      <c r="I33" s="4">
        <f>IF(Additional_valid_options="Yes",I29-ABS(TINV((1-Additional_confidence_level),k_-1))*SQRT(I30^2+Calculations!GH12),"")</f>
        <v>-9.4919969107896671E-2</v>
      </c>
      <c r="K33" s="3" t="s">
        <v>69</v>
      </c>
      <c r="L33" s="4">
        <f>IF(Additional_valid_options="Yes",SQRT(L32),"")</f>
        <v>0</v>
      </c>
      <c r="M33" s="116"/>
      <c r="T33" s="116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0.23076923076923078</v>
      </c>
      <c r="AA33" s="4">
        <f>NORMSDIST(Calculations!HZ4)-(SUM(AA$31:AA32))</f>
        <v>0.11559786381861656</v>
      </c>
      <c r="AE33" s="116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9" t="s">
        <v>146</v>
      </c>
      <c r="AL33" s="129"/>
      <c r="AM33" s="129"/>
      <c r="AR33" s="116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6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147</v>
      </c>
      <c r="BJ33" s="5" t="s">
        <v>148</v>
      </c>
      <c r="BP33" s="116"/>
      <c r="BT33" s="116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50</v>
      </c>
      <c r="I34" s="4">
        <f>IF(Additional_valid_options="Yes",I29+ABS(TINV((1-Additional_confidence_level),k_-1))*SQRT(I30^2+Calculations!GH12),"")</f>
        <v>0.12416766142309206</v>
      </c>
      <c r="M34" s="116"/>
      <c r="T34" s="116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0.23076923076923078</v>
      </c>
      <c r="AA34" s="4">
        <f>NORMSDIST(Calculations!HZ5)-(SUM(AA$31:AA33))</f>
        <v>0.14648717281082341</v>
      </c>
      <c r="AE34" s="116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149</v>
      </c>
      <c r="AL34" s="3"/>
      <c r="AM34" s="4">
        <f>EXP(SUMPRODUCT(LogRiskRatio,Calculations!IE:IE)/SUM(Calculations!IE:IE))</f>
        <v>1.0124924824598425</v>
      </c>
      <c r="AR34" s="116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6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6"/>
      <c r="BT34" s="116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6"/>
      <c r="T35" s="116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7.6923076923076927E-2</v>
      </c>
      <c r="AA35" s="4">
        <f>NORMSDIST(Calculations!HZ6)-(SUM(AA$31:AA34))</f>
        <v>0.15851941887820603</v>
      </c>
      <c r="AE35" s="116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6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6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6"/>
      <c r="BT35" s="116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102</v>
      </c>
      <c r="I36" s="90" t="s">
        <v>150</v>
      </c>
      <c r="K36" s="1" t="s">
        <v>151</v>
      </c>
      <c r="L36" s="5" t="s">
        <v>152</v>
      </c>
      <c r="M36" s="116"/>
      <c r="T36" s="116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7.6923076923076927E-2</v>
      </c>
      <c r="AA36" s="4">
        <f>NORMSDIST(Calculations!HZ7)-(SUM(AA$31:AA35))</f>
        <v>0.14648717281082346</v>
      </c>
      <c r="AE36" s="116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6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6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6"/>
      <c r="BT36" s="116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1.4623846157597693E-2</v>
      </c>
      <c r="K37" s="3" t="s">
        <v>153</v>
      </c>
      <c r="L37" s="5" t="s">
        <v>154</v>
      </c>
      <c r="M37" s="116"/>
      <c r="T37" s="116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7.6923076923076927E-2</v>
      </c>
      <c r="AA37" s="4">
        <f>NORMSDIST(Calculations!HZ8)-(SUM(AA$31:AA36))</f>
        <v>0.11559786381861659</v>
      </c>
      <c r="AE37" s="116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6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6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6"/>
      <c r="BT37" s="116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5.0276835978712818E-2</v>
      </c>
      <c r="K38" s="3" t="s">
        <v>155</v>
      </c>
      <c r="L38" s="91" t="str">
        <f>IF(Trim_and_fill="Off","",IF(I29&gt;0,"Left",IF(I29&lt;0,"Right","NA")))</f>
        <v>Left</v>
      </c>
      <c r="M38" s="116"/>
      <c r="T38" s="116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0.15384615384615385</v>
      </c>
      <c r="AA38" s="4">
        <f>NORMSDIST(Calculations!HZ9)-(SUM(AA$31:AA37))</f>
        <v>7.7898594697685897E-2</v>
      </c>
      <c r="AE38" s="116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6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6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6"/>
      <c r="BT38" s="116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25</v>
      </c>
      <c r="I39" s="4">
        <f>IF(AND(Trim_and_fill="On",Additional_valid_options="Yes",L38&lt;&gt;""),I37-ABS(TINV((1-Additional_confidence_level),k_+L39-1))*I38,"")</f>
        <v>-9.4919969107896671E-2</v>
      </c>
      <c r="K39" s="3" t="s">
        <v>156</v>
      </c>
      <c r="L39" s="7">
        <f>IF(L38&lt;&gt;"",Calculations!GW21,"")</f>
        <v>0</v>
      </c>
      <c r="M39" s="116"/>
      <c r="T39" s="116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7.6923076923076927E-2</v>
      </c>
      <c r="AA39" s="4">
        <f>1-(SUM(AA31:AA38))</f>
        <v>8.0756659233771066E-2</v>
      </c>
      <c r="AE39" s="116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6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6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6"/>
      <c r="BT39" s="116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26</v>
      </c>
      <c r="I40" s="4">
        <f>IF(AND(Trim_and_fill="On",Additional_valid_options="Yes",L38&lt;&gt;""),I37+ABS(TINV((1-Additional_confidence_level),k_+L39-1))*I38,"")</f>
        <v>0.12416766142309206</v>
      </c>
      <c r="M40" s="116"/>
      <c r="T40" s="116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6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6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6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6"/>
      <c r="BT40" s="116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49</v>
      </c>
      <c r="I41" s="4">
        <f>IF(AND(Trim_and_fill="On",Additional_valid_options="Yes",L38&lt;&gt;""),I37-ABS(TINV((1-Additional_confidence_level),k_+L39-1))*SQRT(I38^2+L32),"")</f>
        <v>-9.4919969107896671E-2</v>
      </c>
      <c r="M41" s="116"/>
      <c r="T41" s="116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157</v>
      </c>
      <c r="AE41" s="116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6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6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6"/>
      <c r="BT41" s="116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50</v>
      </c>
      <c r="I42" s="4">
        <f>IF(AND(Trim_and_fill="On",Additional_valid_options="Yes",L38&lt;&gt;""),I37+ABS(TINV((1-Additional_confidence_level),k_+L39-1))*SQRT(I38^2+L32),"")</f>
        <v>0.12416766142309206</v>
      </c>
      <c r="M42" s="116"/>
      <c r="T42" s="116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6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6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6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6"/>
      <c r="BT42" s="116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6"/>
      <c r="T43" s="116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6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6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6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6"/>
      <c r="BT43" s="116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6"/>
      <c r="T44" s="116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6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6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6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6"/>
      <c r="BT44" s="116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6"/>
      <c r="T45" s="116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6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6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6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6"/>
      <c r="BT45" s="116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6"/>
      <c r="T46" s="116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6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6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6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6"/>
      <c r="BT46" s="116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6"/>
      <c r="T47" s="116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6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6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6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6"/>
      <c r="BT47" s="116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6"/>
      <c r="T48" s="116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6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6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6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6"/>
      <c r="BT48" s="116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6"/>
      <c r="T49" s="116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6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6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6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6"/>
      <c r="BT49" s="116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6"/>
      <c r="T50" s="116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6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6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6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6"/>
      <c r="BT50" s="116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6"/>
      <c r="T51" s="116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6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6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6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6"/>
      <c r="BT51" s="116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6"/>
      <c r="T52" s="116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6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6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6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6"/>
      <c r="BT52" s="116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6"/>
      <c r="T53" s="116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6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6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6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6"/>
      <c r="BT53" s="116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6"/>
      <c r="T54" s="116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6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6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6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6"/>
      <c r="BT54" s="116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6"/>
      <c r="T55" s="116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6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6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6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6"/>
      <c r="BT55" s="116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6"/>
      <c r="T56" s="116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6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6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6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6"/>
      <c r="BT56" s="116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6"/>
      <c r="T57" s="116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6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6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6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6"/>
      <c r="BT57" s="116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6"/>
      <c r="T58" s="116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6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6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6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6"/>
      <c r="BT58" s="116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6"/>
      <c r="T59" s="116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6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6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6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6"/>
      <c r="BT59" s="116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6"/>
      <c r="T60" s="116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6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6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6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6"/>
      <c r="BT60" s="116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6"/>
      <c r="T61" s="116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6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6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6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6"/>
      <c r="BT61" s="116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6"/>
      <c r="T62" s="116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6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6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6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6"/>
      <c r="BT62" s="116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6"/>
      <c r="T63" s="116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6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6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6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6"/>
      <c r="BT63" s="116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6"/>
      <c r="T64" s="116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6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6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6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6"/>
      <c r="BT64" s="116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6"/>
      <c r="T65" s="116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6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6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6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6"/>
      <c r="BT65" s="116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6"/>
      <c r="T66" s="116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6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6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6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6"/>
      <c r="BT66" s="116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6"/>
      <c r="T67" s="116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6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6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6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6"/>
      <c r="BT67" s="116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6"/>
      <c r="T68" s="116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6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6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6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6"/>
      <c r="BT68" s="116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6"/>
      <c r="T69" s="116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6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6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6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6"/>
      <c r="BT69" s="116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6"/>
      <c r="T70" s="116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6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6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6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6"/>
      <c r="BT70" s="116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6"/>
      <c r="T71" s="116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6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6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6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6"/>
      <c r="BT71" s="116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6"/>
      <c r="T72" s="116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6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6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6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6"/>
      <c r="BT72" s="116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6"/>
      <c r="T73" s="116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6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6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6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6"/>
      <c r="BT73" s="116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6"/>
      <c r="T74" s="116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6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6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6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6"/>
      <c r="BT74" s="116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6"/>
      <c r="T75" s="116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6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6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6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6"/>
      <c r="BT75" s="116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6"/>
      <c r="T76" s="116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6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6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6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6"/>
      <c r="BT76" s="116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6"/>
      <c r="T77" s="116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6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6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6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6"/>
      <c r="BT77" s="116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6"/>
      <c r="T78" s="116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6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6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6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6"/>
      <c r="BT78" s="116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6"/>
      <c r="T79" s="116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6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6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6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6"/>
      <c r="BT79" s="116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6"/>
      <c r="T80" s="116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6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6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6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6"/>
      <c r="BT80" s="116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6"/>
      <c r="T81" s="116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6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6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6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6"/>
      <c r="BT81" s="116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6"/>
      <c r="T82" s="116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6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6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6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6"/>
      <c r="BT82" s="116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6"/>
      <c r="T83" s="116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6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6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6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6"/>
      <c r="BT83" s="116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6"/>
      <c r="T84" s="116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6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6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6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6"/>
      <c r="BT84" s="116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6"/>
      <c r="T85" s="116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6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6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6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6"/>
      <c r="BT85" s="116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6"/>
      <c r="T86" s="116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6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6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6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6"/>
      <c r="BT86" s="116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6"/>
      <c r="T87" s="116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6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6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6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6"/>
      <c r="BT87" s="116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6"/>
      <c r="T88" s="116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6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6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6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6"/>
      <c r="BT88" s="116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6"/>
      <c r="T89" s="116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6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6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6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6"/>
      <c r="BT89" s="116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6"/>
      <c r="T90" s="116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6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6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6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6"/>
      <c r="BT90" s="116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6"/>
      <c r="T91" s="116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6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6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6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6"/>
      <c r="BT91" s="116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6"/>
      <c r="T92" s="116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6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6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6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6"/>
      <c r="BT92" s="116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6"/>
      <c r="T93" s="116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6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6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6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6"/>
      <c r="BT93" s="116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6"/>
      <c r="T94" s="116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6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6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6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6"/>
      <c r="BT94" s="116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6"/>
      <c r="T95" s="116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6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6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6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6"/>
      <c r="BT95" s="116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6"/>
      <c r="T96" s="116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6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6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6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6"/>
      <c r="BT96" s="116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6"/>
      <c r="T97" s="116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6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6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6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6"/>
      <c r="BT97" s="116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6"/>
      <c r="T98" s="116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6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6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6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6"/>
      <c r="BT98" s="116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6"/>
      <c r="T99" s="116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6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6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6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6"/>
      <c r="BT99" s="116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6"/>
      <c r="T100" s="116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6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6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6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6"/>
      <c r="BT100" s="116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6"/>
      <c r="T101" s="116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6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6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6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6"/>
      <c r="BT101" s="116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6"/>
      <c r="T102" s="116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6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6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6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6"/>
      <c r="BT102" s="116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6"/>
      <c r="T103" s="116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6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6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6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6"/>
      <c r="BT103" s="116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6"/>
      <c r="T104" s="116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6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6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6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6"/>
      <c r="BT104" s="116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6"/>
      <c r="T105" s="116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6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6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6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6"/>
      <c r="BT105" s="116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6"/>
      <c r="T106" s="116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6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6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6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6"/>
      <c r="BT106" s="116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6"/>
      <c r="T107" s="116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6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6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6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6"/>
      <c r="BT107" s="116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6"/>
      <c r="T108" s="116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6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6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6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6"/>
      <c r="BT108" s="116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6"/>
      <c r="T109" s="116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6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6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6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6"/>
      <c r="BT109" s="116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6"/>
      <c r="T110" s="116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6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6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6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6"/>
      <c r="BT110" s="116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6"/>
      <c r="T111" s="116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6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6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6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6"/>
      <c r="BT111" s="116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6"/>
      <c r="T112" s="116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6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6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6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6"/>
      <c r="BT112" s="116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6"/>
      <c r="T113" s="116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6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6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6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6"/>
      <c r="BT113" s="116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6"/>
      <c r="T114" s="116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6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6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6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6"/>
      <c r="BT114" s="116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6"/>
      <c r="T115" s="116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6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6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6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6"/>
      <c r="BT115" s="116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6"/>
      <c r="T116" s="116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6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6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6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6"/>
      <c r="BT116" s="116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6"/>
      <c r="T117" s="116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6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6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6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6"/>
      <c r="BT117" s="116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6"/>
      <c r="T118" s="116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6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6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6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6"/>
      <c r="BT118" s="116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6"/>
      <c r="T119" s="116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6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6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6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6"/>
      <c r="BT119" s="116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6"/>
      <c r="T120" s="116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6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6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6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6"/>
      <c r="BT120" s="116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6"/>
      <c r="T121" s="116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6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6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6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6"/>
      <c r="BT121" s="116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6"/>
      <c r="T122" s="116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6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6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6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6"/>
      <c r="BT122" s="116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6"/>
      <c r="T123" s="116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6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6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6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6"/>
      <c r="BT123" s="116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6"/>
      <c r="T124" s="116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6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6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6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6"/>
      <c r="BT124" s="116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6"/>
      <c r="T125" s="116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6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6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6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6"/>
      <c r="BT125" s="116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6"/>
      <c r="T126" s="116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6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6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6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6"/>
      <c r="BT126" s="116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6"/>
      <c r="T127" s="116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6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6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6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6"/>
      <c r="BT127" s="116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6"/>
      <c r="T128" s="116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6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6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6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6"/>
      <c r="BT128" s="116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6"/>
      <c r="T129" s="116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6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6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6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6"/>
      <c r="BT129" s="116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6"/>
      <c r="T130" s="116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6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6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6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6"/>
      <c r="BT130" s="116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6"/>
      <c r="T131" s="116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6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6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6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6"/>
      <c r="BT131" s="116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6"/>
      <c r="T132" s="116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6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6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6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6"/>
      <c r="BT132" s="116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6"/>
      <c r="T133" s="116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6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6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6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6"/>
      <c r="BT133" s="116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6"/>
      <c r="T134" s="116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6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6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6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6"/>
      <c r="BT134" s="116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6"/>
      <c r="T135" s="116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6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6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6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6"/>
      <c r="BT135" s="116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6"/>
      <c r="T136" s="116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6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6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6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6"/>
      <c r="BT136" s="116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6"/>
      <c r="T137" s="116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6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6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6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6"/>
      <c r="BT137" s="116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6"/>
      <c r="T138" s="116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6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6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6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6"/>
      <c r="BT138" s="116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6"/>
      <c r="T139" s="116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6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6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6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6"/>
      <c r="BT139" s="116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6"/>
      <c r="T140" s="116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6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6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6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6"/>
      <c r="BT140" s="116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6"/>
      <c r="T141" s="116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6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6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6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6"/>
      <c r="BT141" s="116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6"/>
      <c r="T142" s="116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6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6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6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6"/>
      <c r="BT142" s="116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6"/>
      <c r="T143" s="116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6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6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6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6"/>
      <c r="BT143" s="116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6"/>
      <c r="T144" s="116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6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6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6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6"/>
      <c r="BT144" s="116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6"/>
      <c r="T145" s="116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6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6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6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6"/>
      <c r="BT145" s="116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6"/>
      <c r="T146" s="116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6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6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6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6"/>
      <c r="BT146" s="116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6"/>
      <c r="T147" s="116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6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6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6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6"/>
      <c r="BT147" s="116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6"/>
      <c r="T148" s="116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6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6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6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6"/>
      <c r="BT148" s="116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6"/>
      <c r="T149" s="116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6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6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6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6"/>
      <c r="BT149" s="116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6"/>
      <c r="T150" s="116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6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6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6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6"/>
      <c r="BT150" s="116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6"/>
      <c r="T151" s="116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6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6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6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6"/>
      <c r="BT151" s="116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6"/>
      <c r="T152" s="116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6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6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6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6"/>
      <c r="BT152" s="116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6"/>
      <c r="T153" s="116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6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6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6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6"/>
      <c r="BT153" s="116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6"/>
      <c r="T154" s="116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6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6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6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6"/>
      <c r="BT154" s="116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6"/>
      <c r="T155" s="116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6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6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6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6"/>
      <c r="BT155" s="116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6"/>
      <c r="T156" s="116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6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6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6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6"/>
      <c r="BT156" s="116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6"/>
      <c r="T157" s="116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6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6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6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6"/>
      <c r="BT157" s="116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6"/>
      <c r="T158" s="116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6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6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6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6"/>
      <c r="BT158" s="116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6"/>
      <c r="T159" s="116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6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6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6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6"/>
      <c r="BT159" s="116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6"/>
      <c r="T160" s="116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6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6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6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6"/>
      <c r="BT160" s="116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6"/>
      <c r="T161" s="116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6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6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6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6"/>
      <c r="BT161" s="116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6"/>
      <c r="T162" s="116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6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6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6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6"/>
      <c r="BT162" s="116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6"/>
      <c r="T163" s="116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6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6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6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6"/>
      <c r="BT163" s="116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6"/>
      <c r="T164" s="116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6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6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6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6"/>
      <c r="BT164" s="116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6"/>
      <c r="T165" s="116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6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6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6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6"/>
      <c r="BT165" s="116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6"/>
      <c r="T166" s="116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6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6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6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6"/>
      <c r="BT166" s="116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6"/>
      <c r="T167" s="116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6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6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6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6"/>
      <c r="BT167" s="116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6"/>
      <c r="T168" s="116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6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6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6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6"/>
      <c r="BT168" s="116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6"/>
      <c r="T169" s="116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6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6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6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6"/>
      <c r="BT169" s="116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6"/>
      <c r="T170" s="116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6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6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6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6"/>
      <c r="BT170" s="116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6"/>
      <c r="T171" s="116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6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6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6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6"/>
      <c r="BT171" s="116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6"/>
      <c r="T172" s="116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6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6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6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6"/>
      <c r="BT172" s="116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6"/>
      <c r="T173" s="116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6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6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6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6"/>
      <c r="BT173" s="116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6"/>
      <c r="T174" s="116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6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6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6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6"/>
      <c r="BT174" s="116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6"/>
      <c r="T175" s="116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6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6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6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6"/>
      <c r="BT175" s="116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6"/>
      <c r="T176" s="116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6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6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6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6"/>
      <c r="BT176" s="116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6"/>
      <c r="T177" s="116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6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6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6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6"/>
      <c r="BT177" s="116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6"/>
      <c r="T178" s="116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6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6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6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6"/>
      <c r="BT178" s="116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6"/>
      <c r="T179" s="116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6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6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6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6"/>
      <c r="BT179" s="116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6"/>
      <c r="T180" s="116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6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6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6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6"/>
      <c r="BT180" s="116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6"/>
      <c r="T181" s="116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6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6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6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6"/>
      <c r="BT181" s="116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6"/>
      <c r="T182" s="116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6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6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6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6"/>
      <c r="BT182" s="116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6"/>
      <c r="T183" s="116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6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6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6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6"/>
      <c r="BT183" s="116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6"/>
      <c r="T184" s="116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6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6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6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6"/>
      <c r="BT184" s="116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6"/>
      <c r="T185" s="116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6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6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6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6"/>
      <c r="BT185" s="116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6"/>
      <c r="T186" s="116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6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6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6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6"/>
      <c r="BT186" s="116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6"/>
      <c r="T187" s="116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6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6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6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6"/>
      <c r="BT187" s="116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6"/>
      <c r="T188" s="116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6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6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6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6"/>
      <c r="BT188" s="116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6"/>
      <c r="T189" s="116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6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6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6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6"/>
      <c r="BT189" s="116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6"/>
      <c r="T190" s="116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6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6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6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6"/>
      <c r="BT190" s="116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6"/>
      <c r="T191" s="116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6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6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6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6"/>
      <c r="BT191" s="116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6"/>
      <c r="T192" s="116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6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6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6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6"/>
      <c r="BT192" s="116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6"/>
      <c r="T193" s="116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6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6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6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6"/>
      <c r="BT193" s="116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6"/>
      <c r="T194" s="116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6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6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6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6"/>
      <c r="BT194" s="116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6"/>
      <c r="T195" s="116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6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6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6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6"/>
      <c r="BT195" s="116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6"/>
      <c r="T196" s="116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6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6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6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6"/>
      <c r="BT196" s="116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6"/>
      <c r="T197" s="116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6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6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6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6"/>
      <c r="BT197" s="116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6"/>
      <c r="T198" s="116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6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6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6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6"/>
      <c r="BT198" s="116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6"/>
      <c r="T199" s="116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6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6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6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6"/>
      <c r="BT199" s="116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6"/>
      <c r="T200" s="116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6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6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6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6"/>
      <c r="BT200" s="116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7"/>
      <c r="T201" s="117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7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7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7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7"/>
      <c r="BT201" s="117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158</v>
      </c>
      <c r="H1" s="87"/>
      <c r="I1" s="88"/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P1" s="85"/>
      <c r="Q1" s="1" t="s">
        <v>164</v>
      </c>
      <c r="R1" s="1" t="s">
        <v>165</v>
      </c>
      <c r="S1" s="1" t="s">
        <v>166</v>
      </c>
      <c r="T1" s="1" t="s">
        <v>167</v>
      </c>
      <c r="V1" s="85"/>
      <c r="W1" s="1" t="s">
        <v>168</v>
      </c>
      <c r="X1" s="1" t="s">
        <v>169</v>
      </c>
      <c r="Y1" s="1" t="s">
        <v>170</v>
      </c>
      <c r="Z1" s="1" t="s">
        <v>171</v>
      </c>
      <c r="AB1" s="85"/>
      <c r="AC1" s="1" t="s">
        <v>149</v>
      </c>
      <c r="AD1" s="1" t="s">
        <v>172</v>
      </c>
      <c r="AE1" s="1" t="s">
        <v>173</v>
      </c>
      <c r="AF1" s="1" t="s">
        <v>174</v>
      </c>
      <c r="AG1" s="1" t="s">
        <v>175</v>
      </c>
      <c r="AI1" s="87"/>
      <c r="AJ1" s="114" t="s">
        <v>176</v>
      </c>
      <c r="AK1" s="114"/>
      <c r="AL1" s="1" t="s">
        <v>30</v>
      </c>
      <c r="AM1" s="1" t="s">
        <v>1</v>
      </c>
      <c r="AN1" s="1" t="s">
        <v>34</v>
      </c>
      <c r="AO1" s="1" t="str">
        <f>Present_Effect_size_measure</f>
        <v>Odds Ratio</v>
      </c>
      <c r="AP1" s="1" t="s">
        <v>38</v>
      </c>
      <c r="AQ1" s="1" t="s">
        <v>41</v>
      </c>
      <c r="AR1" s="1" t="str">
        <f>IF(Present_Effect_size_measure="Risk Difference","Standard error","Standard error log")</f>
        <v>Standard error log</v>
      </c>
      <c r="AS1" s="1" t="s">
        <v>25</v>
      </c>
      <c r="AT1" s="1" t="s">
        <v>26</v>
      </c>
      <c r="AU1" s="1" t="s">
        <v>27</v>
      </c>
      <c r="AW1" s="1" t="str">
        <f>Present_Effect_size_measure</f>
        <v>Odds Ratio</v>
      </c>
      <c r="AX1" s="1" t="s">
        <v>177</v>
      </c>
      <c r="AY1" s="1" t="s">
        <v>178</v>
      </c>
      <c r="BA1" s="114" t="s">
        <v>179</v>
      </c>
      <c r="BB1" s="114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93</v>
      </c>
      <c r="BH1" s="1" t="s">
        <v>38</v>
      </c>
      <c r="BI1" s="1" t="s">
        <v>41</v>
      </c>
      <c r="BJ1" s="1" t="s">
        <v>101</v>
      </c>
      <c r="BL1" s="114" t="s">
        <v>48</v>
      </c>
      <c r="BM1" s="114"/>
      <c r="BO1" s="85"/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38</v>
      </c>
      <c r="BW1" s="1" t="s">
        <v>186</v>
      </c>
      <c r="BX1" s="1" t="s">
        <v>41</v>
      </c>
      <c r="BY1" s="1" t="s">
        <v>101</v>
      </c>
      <c r="BZ1" s="11"/>
      <c r="CA1" s="114" t="s">
        <v>48</v>
      </c>
      <c r="CB1" s="114"/>
      <c r="CD1" s="85"/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38</v>
      </c>
      <c r="CJ1" s="1" t="s">
        <v>41</v>
      </c>
      <c r="CK1" s="1" t="s">
        <v>101</v>
      </c>
      <c r="CM1" s="114" t="s">
        <v>48</v>
      </c>
      <c r="CN1" s="114"/>
      <c r="CP1" s="85"/>
      <c r="CQ1" s="1" t="s">
        <v>191</v>
      </c>
      <c r="CS1" s="114" t="s">
        <v>40</v>
      </c>
      <c r="CT1" s="114"/>
      <c r="CU1" s="114"/>
      <c r="CV1" s="114"/>
      <c r="CX1" s="87"/>
      <c r="CY1" s="1" t="s">
        <v>192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38</v>
      </c>
      <c r="DE1" s="1" t="s">
        <v>193</v>
      </c>
      <c r="DF1" s="1" t="s">
        <v>194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195</v>
      </c>
      <c r="DI1" s="1" t="s">
        <v>196</v>
      </c>
      <c r="DJ1" s="1" t="s">
        <v>101</v>
      </c>
      <c r="DL1" s="1" t="str">
        <f>Subgroup_effect_size_measure</f>
        <v>Odds Ratio</v>
      </c>
      <c r="DM1" s="1" t="s">
        <v>177</v>
      </c>
      <c r="DN1" s="1" t="s">
        <v>178</v>
      </c>
      <c r="DP1" s="1" t="s">
        <v>197</v>
      </c>
      <c r="DQ1" s="1" t="s">
        <v>10</v>
      </c>
      <c r="DR1" s="1" t="s">
        <v>24</v>
      </c>
      <c r="DS1" s="1" t="s">
        <v>198</v>
      </c>
      <c r="DT1" s="1" t="s">
        <v>57</v>
      </c>
      <c r="DU1" s="1" t="s">
        <v>66</v>
      </c>
      <c r="DV1" s="1" t="s">
        <v>67</v>
      </c>
      <c r="DW1" s="1" t="s">
        <v>199</v>
      </c>
      <c r="DX1" s="1" t="s">
        <v>68</v>
      </c>
      <c r="DY1" s="1" t="s">
        <v>69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200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201</v>
      </c>
      <c r="EI1" s="1" t="s">
        <v>202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203</v>
      </c>
      <c r="EO1" s="1" t="s">
        <v>204</v>
      </c>
      <c r="EP1" s="1" t="str">
        <f>IF(Within_subgroup_weighting=EX38,"Sum of squares (Q)","Sum of squares (Q*)")</f>
        <v>Sum of squares (Q*)</v>
      </c>
      <c r="EQ1" s="1" t="s">
        <v>179</v>
      </c>
      <c r="ER1" s="18" t="s">
        <v>205</v>
      </c>
      <c r="ES1" s="1" t="s">
        <v>38</v>
      </c>
      <c r="ET1" s="1" t="s">
        <v>206</v>
      </c>
      <c r="EU1" s="1" t="s">
        <v>207</v>
      </c>
      <c r="EV1" s="1" t="s">
        <v>101</v>
      </c>
      <c r="EX1" s="1" t="s">
        <v>102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208</v>
      </c>
      <c r="FE1" s="1" t="s">
        <v>38</v>
      </c>
      <c r="FF1" s="1" t="s">
        <v>209</v>
      </c>
      <c r="FG1" s="1" t="s">
        <v>210</v>
      </c>
      <c r="FH1" s="1" t="s">
        <v>211</v>
      </c>
      <c r="FJ1" s="1" t="s">
        <v>27</v>
      </c>
      <c r="FK1" s="1" t="s">
        <v>212</v>
      </c>
      <c r="FL1" s="1" t="s">
        <v>210</v>
      </c>
      <c r="FM1" s="1" t="s">
        <v>213</v>
      </c>
      <c r="FO1" s="1" t="s">
        <v>146</v>
      </c>
      <c r="FP1" s="1"/>
      <c r="FR1" s="87"/>
      <c r="FS1" s="88"/>
      <c r="FT1" s="1" t="s">
        <v>38</v>
      </c>
      <c r="FU1" s="1" t="s">
        <v>27</v>
      </c>
      <c r="FV1" s="1" t="s">
        <v>214</v>
      </c>
      <c r="FW1" s="1" t="s">
        <v>215</v>
      </c>
      <c r="FX1" s="1" t="s">
        <v>216</v>
      </c>
      <c r="FY1" s="1" t="s">
        <v>51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4" t="s">
        <v>221</v>
      </c>
      <c r="GH1" s="114"/>
      <c r="GI1" s="114"/>
      <c r="GK1" s="85"/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V1" s="114" t="s">
        <v>231</v>
      </c>
      <c r="GW1" s="114"/>
      <c r="GY1" s="1" t="s">
        <v>232</v>
      </c>
      <c r="GZ1" s="1" t="s">
        <v>233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234</v>
      </c>
      <c r="HD1" s="1" t="s">
        <v>27</v>
      </c>
      <c r="HE1" s="1" t="s">
        <v>101</v>
      </c>
      <c r="HG1" s="1" t="s">
        <v>235</v>
      </c>
      <c r="HH1" s="1" t="str">
        <f>HA1</f>
        <v>Log Odds Ratio</v>
      </c>
      <c r="HI1" s="1" t="str">
        <f>HB1</f>
        <v>SE Log Odds Ratio</v>
      </c>
      <c r="HK1" s="85"/>
      <c r="HL1" s="1" t="s">
        <v>236</v>
      </c>
      <c r="HM1" s="1" t="s">
        <v>237</v>
      </c>
      <c r="HO1" s="85"/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W1" s="85"/>
      <c r="HX1" s="1" t="s">
        <v>244</v>
      </c>
      <c r="HY1" s="1" t="s">
        <v>245</v>
      </c>
      <c r="HZ1" s="1" t="s">
        <v>246</v>
      </c>
      <c r="IB1" s="85"/>
      <c r="IC1" s="1" t="s">
        <v>109</v>
      </c>
      <c r="ID1" s="1" t="s">
        <v>108</v>
      </c>
      <c r="IE1" s="1" t="s">
        <v>38</v>
      </c>
      <c r="IF1" s="1" t="s">
        <v>247</v>
      </c>
      <c r="IH1" s="114" t="s">
        <v>248</v>
      </c>
      <c r="II1" s="114"/>
      <c r="IK1" s="85"/>
      <c r="IL1" s="1" t="s">
        <v>249</v>
      </c>
      <c r="IM1" s="1" t="s">
        <v>250</v>
      </c>
      <c r="IN1" s="1" t="s">
        <v>236</v>
      </c>
      <c r="IO1" s="1" t="s">
        <v>237</v>
      </c>
      <c r="IQ1" s="114" t="s">
        <v>251</v>
      </c>
      <c r="IR1" s="114"/>
      <c r="IS1" s="114"/>
      <c r="IU1" s="85"/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237</v>
      </c>
      <c r="JC1" s="114" t="s">
        <v>251</v>
      </c>
      <c r="JD1" s="114"/>
      <c r="JE1" s="114"/>
      <c r="JG1" s="85"/>
      <c r="JH1" s="1" t="s">
        <v>111</v>
      </c>
      <c r="JI1" s="1" t="s">
        <v>97</v>
      </c>
      <c r="JJ1" s="1" t="s">
        <v>257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44.45</v>
      </c>
      <c r="C2" s="6">
        <f>IF(AND(Include_study?="Yes",Sufficient_data="Yes"),IF(Input!b_&lt;&gt;"",Input!b_,Input!n1_-Input!a_),"")</f>
        <v>702.55</v>
      </c>
      <c r="D2" s="6">
        <f>IF(AND(Include_study?="Yes",Sufficient_data="Yes"),IF(Input!c_&lt;&gt;"",Input!c_,Input!n2_-Input!d_),"")</f>
        <v>50.8</v>
      </c>
      <c r="E2" s="6">
        <f>IF(AND(Include_study?="Yes",Sufficient_data="Yes"),IF(Input!d_&lt;&gt;"",Input!d_,Input!n2_-Input!c_),"")</f>
        <v>696.2</v>
      </c>
      <c r="F2" s="35" t="str">
        <f t="shared" ref="F2:F33" si="1">IF(AND(Include_study?="Yes",Sufficient_data="Yes"),IF(OR(a_=0,b_=0,c_=0,d_=0),"Yes","No"),"")</f>
        <v>No</v>
      </c>
      <c r="H2" s="133" t="s">
        <v>258</v>
      </c>
      <c r="I2" s="120" t="s">
        <v>40</v>
      </c>
      <c r="J2" s="77">
        <f t="shared" ref="J2:J65" si="2">IF(AND(Include_study?="Yes",Sufficient_data="Yes"),IF(Add_0_5="Yes",((a_+0.5)*(d_+0.5))/((b_+0.5)*(c_+0.5)),(a_*d_)/(b_*c_)),"")</f>
        <v>0.86709131022703034</v>
      </c>
      <c r="K2" s="74">
        <f t="shared" ref="K2:K33" si="3">IF(AND(Include_study?="Yes",Sufficient_data="Yes"),LN(OddsRatio),"")</f>
        <v>-0.14261099029953303</v>
      </c>
      <c r="L2" s="74">
        <f t="shared" ref="L2:L33" si="4">IF(AND(Include_study?="Yes",Sufficient_data="Yes"),SQRT(IF(Add_0_5="Yes",1/(a_+0.5)+1/(b_+0.5)+1/(c_+0.5)+1/(d_+0.5),1/a_+1/b_+1/c_+1/d_)),"")</f>
        <v>0.21223096455742627</v>
      </c>
      <c r="M2" s="74">
        <f t="shared" ref="M2:M33" si="5">IF(AND(Include_study?="Yes",Sufficient_data="Yes"),EXP(LogOddsRatio-ABS(TINV((1-Confidence_level),Number_of_subjects-2))*SELogOddsRatio),"")</f>
        <v>0.57182987539406638</v>
      </c>
      <c r="N2" s="34">
        <f t="shared" ref="N2:N33" si="6">IF(AND(Include_study?="Yes",Sufficient_data="Yes"),EXP(LogOddsRatio+ABS(TINV((1-Confidence_level),Number_of_subjects-2))*SELogOddsRatio),"")</f>
        <v>1.3148094785238458</v>
      </c>
      <c r="P2" s="116" t="s">
        <v>259</v>
      </c>
      <c r="Q2" s="77">
        <f t="shared" ref="Q2:Q33" si="7">IF(AND(Include_study?="Yes",Sufficient_data="Yes"),EXP(LogPetoOddsRatio),"")</f>
        <v>0.86734579106185328</v>
      </c>
      <c r="R2" s="74">
        <f t="shared" ref="R2:R33" si="8">IF(AND(Include_study?="Yes",Sufficient_data="Yes"),SQRT(VarLogPetoOddsRatio),"")</f>
        <v>0.21171779272579308</v>
      </c>
      <c r="S2" s="74">
        <f t="shared" ref="S2:S33" si="9">IF(AND(Include_study?="Yes",Sufficient_data="Yes"),EXP(LogPetoOddsRatio-ABS(TINV((1-Confidence_level),Number_of_subjects-2))*SELogPetoOddsRatio),"")</f>
        <v>0.5725737718612014</v>
      </c>
      <c r="T2" s="34">
        <f t="shared" ref="T2:T33" si="10">IF(AND(Include_study?="Yes",Sufficient_data="Yes"),EXP(LogPetoOddsRatio+ABS(TINV((1-Confidence_level),Number_of_subjects-2))*SELogPetoOddsRatio),"")</f>
        <v>1.3138721300965834</v>
      </c>
      <c r="V2" s="116" t="s">
        <v>168</v>
      </c>
      <c r="W2" s="77">
        <f t="shared" ref="W2:W33" si="11">IF(AND(Include_study?="Yes",Sufficient_data="Yes"),a_/(a_+b_)-c_/(c_+d_),"")</f>
        <v>-8.5006693440428382E-3</v>
      </c>
      <c r="X2" s="74">
        <f t="shared" ref="X2:X33" si="12">IF(AND(Include_study?="Yes",Sufficient_data="Yes"),SQRT(a_*b_/(a_+b_)^3+c_*d_/(c_+d_)^3),"")</f>
        <v>1.2639820647361641E-2</v>
      </c>
      <c r="Y2" s="74">
        <f t="shared" ref="Y2:Y33" si="13">IF(AND(Include_study?="Yes",Sufficient_data="Yes"),Risk_Difference-SERiskDifference*ABS(TINV((1-Confidence_level),Number_of_subjects-2)),"")</f>
        <v>-3.3294375860620729E-2</v>
      </c>
      <c r="Z2" s="34">
        <f t="shared" ref="Z2:Z33" si="14">IF(AND(Include_study?="Yes",Sufficient_data="Yes"),Risk_Difference+SERiskDifference*ABS(TINV((1-Confidence_level),Number_of_subjects-2)),"")</f>
        <v>1.6293037172535049E-2</v>
      </c>
      <c r="AB2" s="116" t="s">
        <v>149</v>
      </c>
      <c r="AC2" s="77">
        <f t="shared" ref="AC2:AC33" si="15">IF(AND(Include_study?="Yes",Sufficient_data="Yes"),IF(Add_0_5="Yes",((a_+0.5)/(a_+0.5+b_+0.5))/((c_+0.5)/(c_+0.5+d_+0.5)),(a_/(a_+b_))/(c_/(c_+d_))),"")</f>
        <v>0.875</v>
      </c>
      <c r="AD2" s="74">
        <f t="shared" ref="AD2:AD33" si="16">IF(AND(Include_study?="Yes",Sufficient_data="Yes"),LN(Risk_Ratio),"")</f>
        <v>-0.13353139262452263</v>
      </c>
      <c r="AE2" s="74">
        <f t="shared" ref="AE2:AE33" si="17">IF(AND(Include_study?="Yes",Sufficient_data="Yes"),IF(Add_0_5="Yes",SQRT(1/(a_+0.5)-1/(a_+0.5+b_+0.5)+1/(c_+0.5)-1/(c_+0.5+d_+0.5)),SQRT(1/a_-1/(a_+b_)+1/c_-1/(c_+d_))),"")</f>
        <v>0.19875827291019918</v>
      </c>
      <c r="AF2" s="74">
        <f t="shared" ref="AF2:AF33" si="18">IF(AND(Include_study?="Yes",Sufficient_data="Yes"),EXP(LN(Risk_Ratio)-ABS(TINV((1-Confidence_level),Number_of_subjects-2))*SELogRiskRatio),"")</f>
        <v>0.5924986254989002</v>
      </c>
      <c r="AG2" s="34">
        <f t="shared" ref="AG2:AG33" si="19">IF(AND(Include_study?="Yes",Sufficient_data="Yes"),EXP(LN(Risk_Ratio)+ABS(TINV((1-Confidence_level),Number_of_subjects-2))*SELogRiskRatio),"")</f>
        <v>1.2921970905085605</v>
      </c>
      <c r="AI2" s="133" t="s">
        <v>260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Lubis et al.</v>
      </c>
      <c r="AN2" s="6">
        <f t="shared" ref="AN2:AN65" si="21">IF(AND(Sufficient_data="Yes",Include_study?="Yes"),(a_+b_+c_+d_),"")</f>
        <v>1494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0.86709131022703034</v>
      </c>
      <c r="AP2" s="3">
        <f t="shared" ref="AP2:AP33" si="23">IF(AND(Include_study?="Yes",Sufficient_data="Yes"),IF(Weighting_method="Inverse variance",Weightf,IF(Weighting_method="Mantel-Haenszel",Weightf_MH,Weightf_Peto)),"")</f>
        <v>22.20150953753911</v>
      </c>
      <c r="AQ2" s="3">
        <f t="shared" ref="AQ2:AQ33" si="24">IF(AND(Include_study?="Yes",Sufficient_data="Yes"),IF(Weighting_method="Inverse variance",Weight,IF(Weighting_method="Mantel-Haenszel",Weight_MH,Weight_Peto)),"")</f>
        <v>22.20150953753911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0.21223096455742627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0.57182987539406638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1.3148094785238458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5.6120092988840853E-2</v>
      </c>
      <c r="AW2" s="43">
        <f t="shared" ref="AW2:AW33" si="29">IF(Effect_size_lookup&lt;&gt;"",Effect_size_lookup,NA())</f>
        <v>0.86709131022703034</v>
      </c>
      <c r="AX2" s="3">
        <f t="shared" ref="AX2:AX33" si="30">IF(Effect_size_lookup&lt;&gt;"",Effect_size_lookup-AS2,NA())</f>
        <v>0.29526143483296396</v>
      </c>
      <c r="AY2" s="34">
        <f t="shared" ref="AY2:AY33" si="31">IF(Effect_size_lookup&lt;&gt;"",AT2-Effect_size_lookup,NA())</f>
        <v>0.44771816829681543</v>
      </c>
      <c r="BA2" s="2" t="s">
        <v>261</v>
      </c>
      <c r="BB2" s="3">
        <f>'Forest Plot'!$B$16</f>
        <v>1.0147312977420306</v>
      </c>
      <c r="BD2" s="133" t="s">
        <v>262</v>
      </c>
      <c r="BE2" s="120" t="s">
        <v>263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-0.14261099029953303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0.21223096455742627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22.20150953753911</v>
      </c>
      <c r="BI2" s="74">
        <f>IF(Weightf&lt;&gt;"",1/(IF(Model_effect_size_measure="Odds Ratio",SELogOddsRatio,IF(Model_effect_size_measure="Risk Ratio",SELogRiskRatio,SERiskDifference))^2+T2_),"")</f>
        <v>22.20150953753911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-0.15723483645713071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1.4623846157597693E-2</v>
      </c>
      <c r="BO2" s="116" t="s">
        <v>264</v>
      </c>
      <c r="BP2" s="3">
        <f t="shared" ref="BP2:BP33" si="36">IF(AND(Sufficient_data="Yes",Include_study?="Yes"),IF(Add_0_5="Yes",(a_+0.5)*(d_+0.5)/(Number_of_subjects+2),a_*d_/Number_of_subjects),"")</f>
        <v>20.713580990629186</v>
      </c>
      <c r="BQ2" s="3">
        <f t="shared" ref="BQ2:BQ33" si="37">IF(AND(Sufficient_data="Yes",Include_study?="Yes"),IF(Add_0_5="Yes",(b_+0.5)*(c_+0.5)/(Number_of_subjects+2),b_*c_/Number_of_subjects),"")</f>
        <v>23.88858099062918</v>
      </c>
      <c r="BR2" s="3">
        <f t="shared" ref="BR2:BR33" si="38">IF(AND(Sufficient_data="Yes",Include_study?="Yes"),IF(Add_0_5="Yes",(a_+d_+1)*(a_+0.5)*(d_+0.5)/(Number_of_subjects+2)^2,(a_+d_)*a_*d_/Number_of_subjects^2),"")</f>
        <v>10.2687508438484</v>
      </c>
      <c r="BS2" s="3">
        <f>IF(AND(Sufficient_data="Yes",Include_study?="Yes"),IF(Add_0_5="Yes",(a_+d_+1)*(ab_+0.5)*(c_+0.5)/(Number_of_subjects+2)^2,(a_+d_)*b_*c_/Number_of_subjects^2),"")</f>
        <v>11.842756031264729</v>
      </c>
      <c r="BT2" s="3">
        <f t="shared" ref="BT2:BT33" si="39">IF(AND(Sufficient_data="Yes",Include_study?="Yes"),IF(Add_0_5="Yes",(b_+c_+1)*(a_+0.5)*(d_+0.5)/(Number_of_subjects+2)^2,(b_+c_)*a_*d_/Number_of_subjects^2),"")</f>
        <v>10.444830146780788</v>
      </c>
      <c r="BU2" s="3">
        <f t="shared" ref="BU2:BU33" si="40">IF(AND(Sufficient_data="Yes",Include_study?="Yes"),IF(Add_0_5="Yes",(b_+c_+1)*(b_+0.5)*(c_+0.5)/(Number_of_subjects+2)^2,(b_+c_)*b_*c_/Number_of_subjects^2),"")</f>
        <v>12.045824959364451</v>
      </c>
      <c r="BV2" s="3">
        <f t="shared" ref="BV2:BV33" si="41">IF(AND(Sufficient_data="Yes",Include_study?="Yes"),IF(Add_0_5="Yes",(b_+0.5)*(c_+0.5)/(Number_of_subjects+2),b_*c_/Number_of_subjects),"")</f>
        <v>23.88858099062918</v>
      </c>
      <c r="BW2" s="3">
        <f t="shared" ref="BW2:BW33" si="42">IF(AND(Sufficient_data="Yes",Include_study?="Yes"),1/(SELogOddsRatio^2)*(LogOddsRatio-LN(SUMPRODUCT(Weightf_MH,OddsRatio)/SUM(Weightf_MH)))^2,"")</f>
        <v>0.55012646889774053</v>
      </c>
      <c r="BX2" s="74">
        <f t="shared" ref="BX2:BX33" si="43">IF(Weithf_MH&lt;&gt;"",1/(SELogOddsRatio^2+T2_MH),"")</f>
        <v>22.20150953753911</v>
      </c>
      <c r="BY2" s="34">
        <f t="shared" ref="BY2:BY33" si="44">IF(Weithf_MH&lt;&gt;"",LogOddsRatio-lnCES_OddsRatio_MH,"")</f>
        <v>-0.15723483645713074</v>
      </c>
      <c r="CA2" s="3" t="s">
        <v>265</v>
      </c>
      <c r="CB2" s="3">
        <f>LN(CES_OddsRatio_MH)</f>
        <v>1.4623846157597709E-2</v>
      </c>
      <c r="CD2" s="116" t="s">
        <v>266</v>
      </c>
      <c r="CE2" s="77">
        <f t="shared" ref="CE2:CE33" si="45">IF(AND(Include_study?="Yes",Sufficient_data="Yes"),((a_+b_)*(a_+c_))/(Number_of_subjects),"")</f>
        <v>47.625</v>
      </c>
      <c r="CF2" s="74">
        <f t="shared" ref="CF2:CF33" si="46">IF(AND(Include_study?="Yes",Sufficient_data="Yes"),((a_+b_)*(c_+d_)*(a_+c_)*(b_+d_))/((Number_of_subjects)^2*(Number_of_subjects-1)),"")</f>
        <v>22.30926615874079</v>
      </c>
      <c r="CG2" s="74">
        <f t="shared" ref="CG2:CG33" si="47">IF(AND(Include_study?="Yes",Sufficient_data="Yes"),(a_-Expected)/VarExpected,"")</f>
        <v>-0.14231754542746486</v>
      </c>
      <c r="CH2" s="74">
        <f t="shared" ref="CH2:CH33" si="48">IF(AND(Include_study?="Yes",Sufficient_data="Yes"),1/VarExpected,"")</f>
        <v>4.4824423756681886E-2</v>
      </c>
      <c r="CI2" s="74">
        <f t="shared" ref="CI2:CI33" si="49">IF(AND(Sufficient_data="Yes",Include_study?="Yes"),VarExpected,"")</f>
        <v>22.30926615874079</v>
      </c>
      <c r="CJ2" s="74">
        <f t="shared" ref="CJ2:CJ65" si="50">IF(Weightf_Peto&lt;&gt;"",1/(VarLogPetoOddsRatio+T2_Peto),"")</f>
        <v>22.30926615874079</v>
      </c>
      <c r="CK2" s="34">
        <f t="shared" ref="CK2:CK33" si="51">IF(Weightf_Peto&lt;&gt;"",LogPetoOddsRatio-lnCES_PetoOddsRatio,"")</f>
        <v>-0.15711693526475085</v>
      </c>
      <c r="CM2" s="3" t="s">
        <v>267</v>
      </c>
      <c r="CN2" s="3">
        <f>IF(Meta_analysis_model="Fixed effect model",SUMPRODUCT(Weightf_Peto,LogPetoOddsRatio)/SUM(Weightf_Peto),SUMPRODUCT(Weight_Peto,LogPetoOddsRatio)/SUM(Weight_Peto))</f>
        <v>1.479938983728598E-2</v>
      </c>
      <c r="CP2" s="116" t="s">
        <v>268</v>
      </c>
      <c r="CQ2" s="51">
        <f t="shared" ref="CQ2:CQ33" si="52">IF(AND(Sufficient_data="Yes",Include_study?="Yes"),c_/(c_+d_),"")</f>
        <v>6.8005354752342706E-2</v>
      </c>
      <c r="CS2" s="2"/>
      <c r="CT2" s="2" t="s">
        <v>37</v>
      </c>
      <c r="CU2" s="2" t="s">
        <v>61</v>
      </c>
      <c r="CV2" s="2" t="s">
        <v>62</v>
      </c>
      <c r="CX2" s="133" t="s">
        <v>269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Lubis et al.</v>
      </c>
      <c r="DA2" s="78" t="str">
        <f t="shared" ref="DA2:DA33" si="55">IF(AND(Include_study?="Yes",Sufficient_data="Yes",Subgroup&lt;&gt;""),Subgroup,"")</f>
        <v>Acted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-0.14261099029953303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0.21223096455742627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22.20150953753911</v>
      </c>
      <c r="DE2" s="74">
        <f t="shared" ref="DE2:DE33" si="59">IF(AND(Include_study?="Yes",Sufficient_data="Yes",Subgroup&lt;&gt;""),1/(DC2^2+IF(Within_subgroup_weighting=EX$42,0,INDEX(DQ:DX,MATCH(Subgroup,DQ:DQ,0),8))),"")</f>
        <v>20.356274847660057</v>
      </c>
      <c r="DF2" s="79">
        <f t="shared" ref="DF2:DF33" si="60">IF(AND(Include_study?="Yes",Sufficient_data="Yes",Subgroup_valid_options="Yes",Subgroup&lt;&gt;""),DE2/SUMIF(Subgroup,Subgroup,DE:DE),"")</f>
        <v>0.10822157861532689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0.86709131022703034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0.57183000484459645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1.3148091808780729</v>
      </c>
      <c r="DJ2" s="34">
        <f t="shared" ref="DJ2:DJ33" si="64">IF(AND(Include_study?="Yes",Sufficient_data="Yes",Subgroup&lt;&gt;""),Subgroup_effect_size-VLOOKUP(DA:DA,DQ:DZ,10,FALSE),"")</f>
        <v>-0.17222709978951167</v>
      </c>
      <c r="DL2" s="43">
        <f t="shared" ref="DL2:DL33" si="65">IF(Subgroup_effect_size&lt;&gt;"",IF(Subgroup_effect_size_measure="Risk Difference",Subgroup_effect_size,DG:DG),NA())</f>
        <v>0.86709131022703034</v>
      </c>
      <c r="DM2" s="74">
        <f>IF(AND(Include_study?="Yes",Sufficient_data="Yes",Subgroup&lt;&gt;""),IF(Subgroup_effect_size_measure="Risk Difference",DB2-DH2,DG2-DH2),NA())</f>
        <v>0.29526130538243389</v>
      </c>
      <c r="DN2" s="34">
        <f>IF(AND(Include_study?="Yes",Sufficient_data="Yes",Subgroup&lt;&gt;""),IF(Subgroup_effect_size_measure="Risk Difference",DI2-DB2,DI2-DG2),NA())</f>
        <v>0.44771787065104252</v>
      </c>
      <c r="DP2" s="47">
        <f>IF(DQ2&lt;&gt;"",SUMIFS(DS:DS,DS:DS,"&gt;="&amp;0,DQ:DQ,"&lt;"&amp;DQ2)+DS2+DR2,"")</f>
        <v>8</v>
      </c>
      <c r="DQ2" s="17" t="str">
        <f>IF(AND(Sufficient_data="Yes",Subgroup&lt;&gt;""),Subgroup,"")</f>
        <v>Acted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7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6.7387650880213741</v>
      </c>
      <c r="DU2" s="10">
        <f>IF(DT2&lt;&gt;"",CHIDIST(DT2,DS2-1),"")</f>
        <v>0.3456831432015483</v>
      </c>
      <c r="DV2" s="9">
        <f>IF(DT2&lt;&gt;"",IF((DT2-(DS2-1))&lt;=0,0,(DT2-(DS2-1))/DT2),"")</f>
        <v>0.10962914990679534</v>
      </c>
      <c r="DW2" s="10">
        <f t="shared" ref="DW2:DW33" si="68">IF(DT2&lt;&gt;"",SUMIF(Subgroup,DQ2,Subgroup_weightf)-SUMPRODUCT(--(Subgroup=DQ2),Subgroup_weightf,Subgroup_weightf)/SUMIF(Subgroup,DQ2,Subgroup_weightf),"")</f>
        <v>180.94040720507147</v>
      </c>
      <c r="DX2" s="3">
        <f t="shared" ref="DX2:DX33" si="69">IF(DT2&lt;&gt;"",IF(Within_subgroup_weighting=EX$44,MAX(0,(SUM(DT:DT)-(Subgroup_k-COUNT(DT:DT)))/SUM(DW:DW)),MAX(0,(DT2-(DS2-1))/DW2)),"")</f>
        <v>4.082919340311221E-3</v>
      </c>
      <c r="DY2" s="3">
        <f>IF(DX2&lt;&gt;"",SQRT(DX2),"")</f>
        <v>6.3897725627061419E-2</v>
      </c>
      <c r="DZ2" s="3">
        <f t="shared" ref="DZ2:DZ33" si="70">IF(DT2&lt;&gt;"",SUMPRODUCT(--(Subgroup=DQ2),DE:DE,Subgroup_effect_size)/SUMIF(Subgroup,DQ2,DE:DE),"")</f>
        <v>2.9616109489978643E-2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7.286136711238908E-2</v>
      </c>
      <c r="EB2" s="6">
        <f t="shared" ref="EB2:EB33" si="72">IF(DT2&lt;&gt;"",SUMIFS(Number_of_subjects,Subgroup,DQ2,Include_study?,"Yes",Sufficient_data,"Yes"),"")</f>
        <v>66846</v>
      </c>
      <c r="EC2" s="3">
        <f>IF(DT2&lt;&gt;"",DZ2-ABS(TINV((1-Subgroup_confidence_level),DS2-1))*EA2,"")</f>
        <v>-0.14866923318795047</v>
      </c>
      <c r="ED2" s="3">
        <f>IF(DT2&lt;&gt;"",DZ2+ABS(TINV((1-Subgroup_confidence_level),DS2-1))*EA2,"")</f>
        <v>0.20790145216790776</v>
      </c>
      <c r="EE2" s="3">
        <f>IF(AND(EE$1&lt;&gt;"",DT2&lt;&gt;""),EXP(DZ2),"")</f>
        <v>1.0300590281572417</v>
      </c>
      <c r="EF2" s="3">
        <f>IF(AND(EF$1&lt;&gt;"",DT2&lt;&gt;""),EXP(EC2),"")</f>
        <v>0.86185414050436049</v>
      </c>
      <c r="EG2" s="3">
        <f>IF(AND(EG$1&lt;&gt;"",DT2&lt;&gt;""),EXP(ED2),"")</f>
        <v>1.2310918421385402</v>
      </c>
      <c r="EH2" s="3">
        <f>IF(AND(EE$1&lt;&gt;"",DT2&lt;&gt;""),EE2-EF2,IF(DT2&lt;&gt;"",DZ2-EC2,""))</f>
        <v>0.16820488765288122</v>
      </c>
      <c r="EI2" s="3">
        <f>IF(AND(EE$1&lt;&gt;"",DT2&lt;&gt;""),EG2-EE2,IF(DT2&lt;&gt;"",ED2-DZ2,""))</f>
        <v>0.20103281398129846</v>
      </c>
      <c r="EJ2" s="3">
        <f>IF(DT2&lt;&gt;"",DZ2-ABS(TINV((1-Subgroup_confidence_level),DS2-1))*SQRT(DX2+EA2^2),"")</f>
        <v>-0.20751601242578102</v>
      </c>
      <c r="EK2" s="3">
        <f t="shared" ref="EK2:EK33" si="73">IF(DT2&lt;&gt;"",DZ2+ABS(TINV((1-Subgroup_confidence_level),DS2-1))*SQRT(DX2+EA2^2),"")</f>
        <v>0.26674823140573833</v>
      </c>
      <c r="EL2" s="3">
        <f>IF(AND(EL$1&lt;&gt;"",DT2&lt;&gt;""),EXP(EJ2),"")</f>
        <v>0.8126002299680507</v>
      </c>
      <c r="EM2" s="3">
        <f>IF(AND(EM$1&lt;&gt;"",DT2&lt;&gt;""),EXP(EK2),"")</f>
        <v>1.3057116677532297</v>
      </c>
      <c r="EN2" s="3">
        <f>IF(AND(EE$1&lt;&gt;"",DT2&lt;&gt;""),EE2-EL2,IF(DT2&lt;&gt;"",DZ2-EJ2,""))</f>
        <v>0.217458798189191</v>
      </c>
      <c r="EO2" s="3">
        <f>IF(AND(EE$1&lt;&gt;"",DT2&lt;&gt;""),EM2-EE2,IF(DT2&lt;&gt;"",EK2-DZ2,""))</f>
        <v>0.27565263959598796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5.9914277039874477</v>
      </c>
      <c r="EQ2" s="3">
        <f>IF(DT2&lt;&gt;"",IF(EE2&lt;&gt;"",EE2,DZ2),NA())</f>
        <v>1.0300590281572417</v>
      </c>
      <c r="ER2" s="9">
        <f>IF(DT2&lt;&gt;"",(ET2/SUM(ET:ET)),"")</f>
        <v>0.35751878461976239</v>
      </c>
      <c r="ES2" s="3">
        <f>IF(DT2&lt;&gt;"",1/(EA2^2),"")</f>
        <v>188.3672374343696</v>
      </c>
      <c r="ET2" s="3">
        <f>IF(EA2&lt;&gt;"",1/(EA2^2+IF(Between_subgroup_weighting=EX$38,0,EY$35)),"")</f>
        <v>188.3672374343696</v>
      </c>
      <c r="EU2" s="74">
        <f t="shared" ref="EU2:EU33" si="75">IF(ES2&lt;&gt;"",IF(Subgroup_effect_size_measure="Risk Difference",(EY$9-DZ2)^2*ET2,(EY$2-DZ2)^2*ET2),"")</f>
        <v>7.8771378348044235E-2</v>
      </c>
      <c r="EV2" s="34">
        <f t="shared" ref="EV2:EV33" si="76">IF(DT2&lt;&gt;"",IF(Subgroup_effect_size_measure="Risk Difference",EE:EE-EY$9,DZ:DZ-EY$2),"")</f>
        <v>2.0449445586575174E-2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9.1666639034034669E-3</v>
      </c>
      <c r="FA2" s="133" t="s">
        <v>270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102</v>
      </c>
      <c r="FP2" s="3" t="e">
        <f>SUMPRODUCT('Moderator Analysis'!F:F,Calculations!FE:FE)/SUM(Calculations!FE:FE)</f>
        <v>#DIV/0!</v>
      </c>
      <c r="FR2" s="133" t="s">
        <v>271</v>
      </c>
      <c r="FS2" s="120" t="s">
        <v>115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22.20150953753911</v>
      </c>
      <c r="FU2" s="74">
        <f>IF(AND(Include_study?="Yes",Sufficient_data="Yes"),1/('Publication Bias Analysis'!F:F^2+IF(Additional_model="Fixed effect",0,Calculations!GH$12)),"")</f>
        <v>22.20150953753911</v>
      </c>
      <c r="FV2" s="74">
        <f>IF(AND(Include_study?="Yes",Sufficient_data="Yes"),1/('Publication Bias Analysis'!F:F^2+IF(Additional_model="Fixed effect",0,'Publication Bias Analysis'!L$32)),"")</f>
        <v>22.20150953753911</v>
      </c>
      <c r="FW2" s="74">
        <f>IF(AND(Include_study?="Yes",Sufficient_data="Yes"),'Publication Bias Analysis'!E:E-'Publication Bias Analysis'!I$37,"")</f>
        <v>-0.15723483645713071</v>
      </c>
      <c r="FX2" s="74">
        <f>IF(AND(Include_study?="Yes",Sufficient_data="Yes"),IF(Additional_model="Fixed effect",1/'Publication Bias Analysis'!F:F,1/SQRT('Publication Bias Analysis'!F:F^2+GH$12)),"")</f>
        <v>4.7118477837828241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-0.67196127858592847</v>
      </c>
      <c r="FZ2" s="37">
        <f t="shared" ref="FZ2:FZ33" si="80">IF(AND(Include_study?="Yes",Sufficient_data="Yes"),RANK(GM:GM,GM:GM,1)*IF(GL:GL&gt;0,1,-1),"")</f>
        <v>-8</v>
      </c>
      <c r="GA2" s="82">
        <f>IF(AND(Include_study?="Yes",Sufficient_data="Yes"),FZ:FZ,"")</f>
        <v>-8</v>
      </c>
      <c r="GB2" s="82">
        <f>IF(AND(Include_study?="Yes",Sufficient_data="Yes"),RANK(GP:GP,GP:GP,1)*IF(GO:GO&lt;0,-1,1),"")</f>
        <v>-8</v>
      </c>
      <c r="GC2" s="82">
        <f>IF(AND(Include_study?="Yes",Sufficient_data="Yes"),RANK(GS:GS,GS:GS,1)*IF(GR:GR&lt;0,-1,1),"")</f>
        <v>-8</v>
      </c>
      <c r="GD2" s="74">
        <f>IF(AND(Include_study?="Yes",Sufficient_data="Yes"),'Publication Bias Analysis'!E2,NA())</f>
        <v>-0.14261099029953303</v>
      </c>
      <c r="GE2" s="34">
        <f>IF(AND(Include_study?="Yes",Sufficient_data="Yes"),'Publication Bias Analysis'!F2,NA())</f>
        <v>0.21223096455742627</v>
      </c>
      <c r="GG2" s="24" t="s">
        <v>272</v>
      </c>
      <c r="GH2" s="2" t="s">
        <v>242</v>
      </c>
      <c r="GI2" s="2" t="s">
        <v>243</v>
      </c>
      <c r="GK2" s="116" t="s">
        <v>273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-0.15723483645713071</v>
      </c>
      <c r="GM2" s="74">
        <f t="shared" ref="GM2:GM33" si="81">IF(AND(Include_study?="Yes",Sufficient_data="Yes"),ABS(GL2),"")</f>
        <v>0.15723483645713071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22.20150953753911</v>
      </c>
      <c r="GO2" s="74">
        <f>IF(AND(Include_study?="Yes",Sufficient_data="Yes"),IF('Publication Bias Analysis'!L$38="Left",'Publication Bias Analysis'!E:E-GW$3,GW$3-'Publication Bias Analysis'!E:E),"")</f>
        <v>-0.15723483645713071</v>
      </c>
      <c r="GP2" s="74">
        <f t="shared" ref="GP2:GP33" si="82">IF(GO2&lt;&gt;"",ABS(GO2),"")</f>
        <v>0.15723483645713071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22.20150953753911</v>
      </c>
      <c r="GR2" s="74">
        <f>IF(AND(Include_study?="Yes",Sufficient_data="Yes"),IF('Publication Bias Analysis'!L$38="Left",'Publication Bias Analysis'!E:E-GW$10,GW$10-'Publication Bias Analysis'!E:E),"")</f>
        <v>-0.15723483645713071</v>
      </c>
      <c r="GS2" s="74">
        <f t="shared" ref="GS2:GS33" si="83">IF(GR2&lt;&gt;"",ABS(GR2),"")</f>
        <v>0.15723483645713071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22.20150953753911</v>
      </c>
      <c r="GV2" s="130" t="s">
        <v>102</v>
      </c>
      <c r="GW2" s="130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6" t="s">
        <v>106</v>
      </c>
      <c r="HL2" s="3">
        <f t="shared" ref="HL2:HL65" si="89">IF(AND(Include_study?="Yes",Sufficient_data="Yes"),Inverse_standard_error-AVERAGE(Inverse_standard_error),"")</f>
        <v>-0.78988080586084397</v>
      </c>
      <c r="HM2" s="34">
        <f>IF(AND(Include_study?="Yes",Sufficient_data="Yes"),Z_score-('Publication Bias Analysis'!P$3+'Publication Bias Analysis'!P$4*Inverse_standard_error),"")</f>
        <v>-0.68231057892419333</v>
      </c>
      <c r="HO2" s="116" t="s">
        <v>274</v>
      </c>
      <c r="HP2" s="3">
        <f>IF(AND(Include_study?="Yes",Sufficient_data="Yes"),(GD:GD-SUMPRODUCT(Calculations!FT:FT,'Publication Bias Analysis'!E:E)/SUM(Calculations!FT:FT))/SQRT(Calculations!HQ:HQ),"")</f>
        <v>-0.7625734047108661</v>
      </c>
      <c r="HQ2" s="3">
        <f>IF(AND(Include_study?="Yes",Sufficient_data="Yes"),GE:GE^2-1/SUM(Calculations!FT:FT),"")</f>
        <v>4.251422208094513E-2</v>
      </c>
      <c r="HR2" s="6">
        <f t="shared" ref="HR2:HR33" si="90">IF(AND(Include_study?="Yes",Sufficient_data="Yes"),RANK(HP:HP,HP:HP,0),"")</f>
        <v>11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10</v>
      </c>
      <c r="HW2" s="116" t="s">
        <v>118</v>
      </c>
      <c r="HX2" s="20">
        <v>1</v>
      </c>
      <c r="HY2" s="3"/>
      <c r="HZ2" s="34">
        <f>HZ3-HY14</f>
        <v>-1.4</v>
      </c>
      <c r="IB2" s="116" t="s">
        <v>275</v>
      </c>
      <c r="IC2" s="77">
        <f t="shared" ref="IC2:IC33" si="92">IF(AND(Include_study?="Yes",Sufficient_data="Yes"),a_/(a_+b_),NA())</f>
        <v>5.9504685408299868E-2</v>
      </c>
      <c r="ID2" s="74">
        <f t="shared" ref="ID2:ID33" si="93">IF(AND(Include_study?="Yes",Sufficient_data="Yes"),c_/(c_+d_),NA())</f>
        <v>6.8005354752342706E-2</v>
      </c>
      <c r="IE2" s="74">
        <f t="shared" ref="IE2:IE33" si="94">IF(AND(Include_study?="Yes",Sufficient_data="Yes"),1/SELogRiskRatio^2,"")</f>
        <v>25.313346928662643</v>
      </c>
      <c r="IF2" s="74">
        <f t="shared" ref="IF2:IF33" si="95">IF(AND(Include_study?="Yes",Sufficient_data="Yes"),IF(Additional_model="Fixed effect",Weightf,Weightr),"")</f>
        <v>22.20150953753911</v>
      </c>
      <c r="IH2" s="2" t="s">
        <v>242</v>
      </c>
      <c r="II2" s="2" t="s">
        <v>243</v>
      </c>
      <c r="IK2" s="116" t="s">
        <v>120</v>
      </c>
      <c r="IL2" s="3">
        <f>IF(AND(Include_study?="Yes",Sufficient_data="Yes"),'Publication Bias Analysis'!AV:AV,NA())</f>
        <v>-0.67196127858592847</v>
      </c>
      <c r="IM2" s="3">
        <f>IF(AND(Sufficient_data="Yes",Include_study?="Yes"),'Publication Bias Analysis'!AU:AU,NA())</f>
        <v>4.7118477837828241</v>
      </c>
      <c r="IN2" s="3">
        <f t="shared" ref="IN2:IN33" si="96">IF(AND(Include_study?="Yes",Sufficient_data="Yes"),Inverse_standard_error-AVERAGE(Inverse_standard_error),"")</f>
        <v>-0.78988080586084397</v>
      </c>
      <c r="IO2" s="34">
        <f>IF(AND(Include_study?="Yes",Sufficient_data="Yes"),Z_score-('Publication Bias Analysis'!AY$30+'Publication Bias Analysis'!AY$31*Inverse_standard_error),"")</f>
        <v>-0.74086661569398615</v>
      </c>
      <c r="IQ2" s="24" t="s">
        <v>276</v>
      </c>
      <c r="IR2" s="2" t="s">
        <v>242</v>
      </c>
      <c r="IS2" s="2" t="s">
        <v>243</v>
      </c>
      <c r="IU2" s="116" t="s">
        <v>121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0.19999999999999998</v>
      </c>
      <c r="IX2" s="3">
        <f>IF('Publication Bias Analysis'!BF2&lt;&gt;"",'Publication Bias Analysis'!BF2,NA())</f>
        <v>-0.84162123357291474</v>
      </c>
      <c r="IY2" s="3">
        <f>IF('Publication Bias Analysis'!BG2&lt;&gt;"",'Publication Bias Analysis'!BG2,NA())</f>
        <v>-0.67196127858592847</v>
      </c>
      <c r="IZ2" s="3">
        <f>IF(AND(Include_study?="Yes",Sufficient_data="Yes"),'Publication Bias Analysis'!BF:BF-AVERAGE('Publication Bias Analysis'!BF:BF),"")</f>
        <v>-0.84162123357291441</v>
      </c>
      <c r="JA2" s="34">
        <f>IF(AND(Include_study?="Yes",Sufficient_data="Yes"),'Publication Bias Analysis'!BG:BG-('Publication Bias Analysis'!BJ$30+'Publication Bias Analysis'!BJ$31*'Publication Bias Analysis'!BF:BF),"")</f>
        <v>3.8375782447736317E-2</v>
      </c>
      <c r="JC2" s="24" t="s">
        <v>277</v>
      </c>
      <c r="JD2" s="2" t="s">
        <v>242</v>
      </c>
      <c r="JE2" s="2" t="s">
        <v>243</v>
      </c>
      <c r="JG2" s="116" t="s">
        <v>123</v>
      </c>
      <c r="JH2" s="74">
        <f t="shared" ref="JH2:JH33" si="98">IF(AND(Include_study?="Yes",Sufficient_data="Yes"),IF(AND(Additional_valid_options="No",Additional_model="Random effects"),NA(),Z_score),"")</f>
        <v>-0.67196127858592847</v>
      </c>
      <c r="JI2" s="84">
        <f>IF(JH2&lt;&gt;"",1-NORMSDIST(ABS(JH2)),"")</f>
        <v>0.25080417372125341</v>
      </c>
      <c r="JJ2" s="34">
        <f>IF(JI2&lt;&gt;"",LN(MAX(10^-306,JI2)),"")</f>
        <v>-1.3830828287300498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69</v>
      </c>
      <c r="C3" s="6">
        <f>IF(AND(Include_study?="Yes",Sufficient_data="Yes"),IF(Input!b_&lt;&gt;"",Input!b_,Input!n1_-Input!a_),"")</f>
        <v>5469</v>
      </c>
      <c r="D3" s="6">
        <f>IF(AND(Include_study?="Yes",Sufficient_data="Yes"),IF(Input!c_&lt;&gt;"",Input!c_,Input!n2_-Input!d_),"")</f>
        <v>52</v>
      </c>
      <c r="E3" s="6">
        <f>IF(AND(Include_study?="Yes",Sufficient_data="Yes"),IF(Input!d_&lt;&gt;"",Input!d_,Input!n2_-Input!c_),"")</f>
        <v>5486</v>
      </c>
      <c r="F3" s="35" t="str">
        <f t="shared" si="1"/>
        <v>No</v>
      </c>
      <c r="H3" s="133"/>
      <c r="I3" s="120"/>
      <c r="J3" s="76">
        <f t="shared" si="2"/>
        <v>1.3310477235326386</v>
      </c>
      <c r="K3" s="3">
        <f t="shared" si="3"/>
        <v>0.28596639416660785</v>
      </c>
      <c r="L3" s="3">
        <f t="shared" si="4"/>
        <v>0.18463112904062717</v>
      </c>
      <c r="M3" s="3">
        <f t="shared" si="5"/>
        <v>0.92686854989867828</v>
      </c>
      <c r="N3" s="35">
        <f t="shared" si="6"/>
        <v>1.9114771372004082</v>
      </c>
      <c r="P3" s="116"/>
      <c r="Q3" s="76">
        <f t="shared" si="7"/>
        <v>1.3285255145464048</v>
      </c>
      <c r="R3" s="3">
        <f t="shared" si="8"/>
        <v>0.18281127895540947</v>
      </c>
      <c r="S3" s="3">
        <f t="shared" si="9"/>
        <v>0.92841820369053751</v>
      </c>
      <c r="T3" s="35">
        <f t="shared" si="10"/>
        <v>1.9010614352291357</v>
      </c>
      <c r="V3" s="116"/>
      <c r="W3" s="76">
        <f t="shared" si="11"/>
        <v>3.0697002527988442E-3</v>
      </c>
      <c r="X3" s="3">
        <f t="shared" si="12"/>
        <v>1.9751819270864821E-3</v>
      </c>
      <c r="Y3" s="3">
        <f t="shared" si="13"/>
        <v>-8.0200835595330882E-4</v>
      </c>
      <c r="Z3" s="35">
        <f t="shared" si="14"/>
        <v>6.9414088615509968E-3</v>
      </c>
      <c r="AB3" s="116"/>
      <c r="AC3" s="76">
        <f t="shared" si="15"/>
        <v>1.3269230769230769</v>
      </c>
      <c r="AD3" s="3">
        <f t="shared" si="16"/>
        <v>0.28286278601583198</v>
      </c>
      <c r="AE3" s="3">
        <f t="shared" si="17"/>
        <v>0.18265372059650473</v>
      </c>
      <c r="AF3" s="3">
        <f t="shared" si="18"/>
        <v>0.92758479985716846</v>
      </c>
      <c r="AG3" s="35">
        <f t="shared" si="19"/>
        <v>1.8981820878717786</v>
      </c>
      <c r="AI3" s="133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Lu et al.</v>
      </c>
      <c r="AN3" s="6">
        <f t="shared" si="21"/>
        <v>11076</v>
      </c>
      <c r="AO3" s="3">
        <f t="shared" si="22"/>
        <v>1.3310477235326386</v>
      </c>
      <c r="AP3" s="3">
        <f t="shared" si="23"/>
        <v>29.335274004944381</v>
      </c>
      <c r="AQ3" s="3">
        <f t="shared" si="24"/>
        <v>29.335274004944381</v>
      </c>
      <c r="AR3" s="3">
        <f t="shared" si="25"/>
        <v>0.18463112904062717</v>
      </c>
      <c r="AS3" s="3">
        <f t="shared" si="26"/>
        <v>0.92686854989867828</v>
      </c>
      <c r="AT3" s="3">
        <f t="shared" si="27"/>
        <v>1.9114771372004082</v>
      </c>
      <c r="AU3" s="80">
        <f t="shared" si="28"/>
        <v>7.4152539142754423E-2</v>
      </c>
      <c r="AW3" s="44">
        <f t="shared" si="29"/>
        <v>1.3310477235326386</v>
      </c>
      <c r="AX3" s="3">
        <f t="shared" si="30"/>
        <v>0.40417917363396028</v>
      </c>
      <c r="AY3" s="35">
        <f t="shared" si="31"/>
        <v>0.58042941366776968</v>
      </c>
      <c r="BA3" s="2" t="s">
        <v>278</v>
      </c>
      <c r="BB3" s="6">
        <f>IF(BB2&lt;&gt;"",MAX(Entry_number)+1,"")</f>
        <v>14</v>
      </c>
      <c r="BD3" s="133"/>
      <c r="BE3" s="120"/>
      <c r="BF3" s="3">
        <f t="shared" si="32"/>
        <v>0.28596639416660785</v>
      </c>
      <c r="BG3" s="3">
        <f t="shared" si="33"/>
        <v>0.18463112904062717</v>
      </c>
      <c r="BH3" s="3">
        <f t="shared" si="34"/>
        <v>29.335274004944381</v>
      </c>
      <c r="BI3" s="3">
        <f t="shared" ref="BI3:BI33" si="99">IF(Weightf&lt;&gt;"",1/(IF(Model_effect_size_measure="Odds Ratio",SELogOddsRatio,IF(Model_effect_size_measure="Risk Ratio",SELogRiskRatio,SERiskDifference))^2+T2_),"")</f>
        <v>29.335274004944381</v>
      </c>
      <c r="BJ3" s="35">
        <f t="shared" si="35"/>
        <v>0.27134254800901014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4.4859948702510428E-2</v>
      </c>
      <c r="BO3" s="116"/>
      <c r="BP3" s="3">
        <f t="shared" si="36"/>
        <v>34.176056338028168</v>
      </c>
      <c r="BQ3" s="3">
        <f t="shared" si="37"/>
        <v>25.676056338028168</v>
      </c>
      <c r="BR3" s="3">
        <f t="shared" si="38"/>
        <v>17.140483293404341</v>
      </c>
      <c r="BS3" s="3">
        <f>IF(AND(Sufficient_data="Yes",Include_study?="Yes"),IF(Add_0_5="Yes",(a_+d_+1)*(ab_+0.5)*(c_+0.5)/(Number_of_subjects+2)^2,(a_+d_)*b_*c_/Number_of_subjects^2),"")</f>
        <v>12.877437067329947</v>
      </c>
      <c r="BT3" s="3">
        <f t="shared" si="39"/>
        <v>17.035573044623828</v>
      </c>
      <c r="BU3" s="3">
        <f t="shared" si="40"/>
        <v>12.798619270698223</v>
      </c>
      <c r="BV3" s="3">
        <f t="shared" si="41"/>
        <v>25.676056338028168</v>
      </c>
      <c r="BW3" s="3">
        <f t="shared" si="42"/>
        <v>2.1570296470565409</v>
      </c>
      <c r="BX3" s="3">
        <f t="shared" si="43"/>
        <v>29.335274004944381</v>
      </c>
      <c r="BY3" s="35">
        <f t="shared" si="44"/>
        <v>0.27134254800901014</v>
      </c>
      <c r="CA3" s="3" t="s">
        <v>279</v>
      </c>
      <c r="CB3" s="3">
        <f>IF(Meta_analysis_model="Fixed effect model",0.5*(SUM(BR:BR)/SUM(BP:BP)^2+(SUM(BS:BS)+SUM(BT:BT))/(SUM(BP:BP)*SUM(BQ:BQ))+SUM(BU:BU)/SUM(BQ:BQ)^2),SUMPRODUCT(Weight_MH,BY:BY,BY:BY)/((k_-1)*SUM(Weight_MH)))</f>
        <v>2.0124149975918677E-3</v>
      </c>
      <c r="CD3" s="116"/>
      <c r="CE3" s="76">
        <f t="shared" si="45"/>
        <v>60.5</v>
      </c>
      <c r="CF3" s="3">
        <f t="shared" si="46"/>
        <v>29.922234762979684</v>
      </c>
      <c r="CG3" s="3">
        <f t="shared" si="47"/>
        <v>0.28406969156315653</v>
      </c>
      <c r="CH3" s="3">
        <f t="shared" si="48"/>
        <v>3.3419963713312538E-2</v>
      </c>
      <c r="CI3" s="3">
        <f t="shared" si="49"/>
        <v>29.922234762979684</v>
      </c>
      <c r="CJ3" s="3">
        <f t="shared" si="50"/>
        <v>29.922234762979684</v>
      </c>
      <c r="CK3" s="35">
        <f t="shared" si="51"/>
        <v>0.26927030172587058</v>
      </c>
      <c r="CM3" s="3" t="s">
        <v>279</v>
      </c>
      <c r="CN3" s="3">
        <f>IF(Meta_analysis_model="Fixed effect model",1/SUM(Weightf_Peto),SUMPRODUCT(Weight_Peto,CK:CK,CK:CK)/((k_-1)*SUM(Weight_Peto)))</f>
        <v>2.0071922355914358E-3</v>
      </c>
      <c r="CP3" s="116"/>
      <c r="CQ3" s="52">
        <f t="shared" si="52"/>
        <v>9.3896713615023476E-3</v>
      </c>
      <c r="CS3" s="2" t="s">
        <v>280</v>
      </c>
      <c r="CT3" s="3">
        <f>IF(Weighting_method="Inverse variance",IF(Model_effect_size_measure="Odds Ratio",CES_IV,NA()),NA())</f>
        <v>1.0147312977420306</v>
      </c>
      <c r="CU3" s="3">
        <f>IF(Model_effect_size_measure="Odds Ratio",CES_OddsRatio_MH,NA())</f>
        <v>1.0147312977420306</v>
      </c>
      <c r="CV3" s="3" t="e">
        <f>IF(Model_effect_size_measure="Peto Odds Ratio",CES_PetoOddsRatio,NA())</f>
        <v>#N/A</v>
      </c>
      <c r="CX3" s="133"/>
      <c r="CY3" s="48">
        <f t="shared" si="53"/>
        <v>2</v>
      </c>
      <c r="CZ3" s="6" t="str">
        <f t="shared" si="54"/>
        <v>Lu et al.</v>
      </c>
      <c r="DA3" s="17" t="str">
        <f t="shared" si="55"/>
        <v>Acted</v>
      </c>
      <c r="DB3" s="3">
        <f t="shared" si="56"/>
        <v>0.28596639416660785</v>
      </c>
      <c r="DC3" s="3">
        <f t="shared" si="57"/>
        <v>0.18463112904062717</v>
      </c>
      <c r="DD3" s="3">
        <f t="shared" si="58"/>
        <v>29.335274004944381</v>
      </c>
      <c r="DE3" s="3">
        <f t="shared" si="59"/>
        <v>26.197505563651383</v>
      </c>
      <c r="DF3" s="80">
        <f t="shared" si="60"/>
        <v>0.13927574809730275</v>
      </c>
      <c r="DG3" s="3">
        <f t="shared" si="61"/>
        <v>1.3310477235326386</v>
      </c>
      <c r="DH3" s="3">
        <f t="shared" si="62"/>
        <v>0.92686855320950579</v>
      </c>
      <c r="DI3" s="3">
        <f t="shared" si="63"/>
        <v>1.9114771303725027</v>
      </c>
      <c r="DJ3" s="35">
        <f t="shared" si="64"/>
        <v>0.25635028467662924</v>
      </c>
      <c r="DL3" s="44">
        <f t="shared" si="65"/>
        <v>1.3310477235326386</v>
      </c>
      <c r="DM3" s="3">
        <f t="shared" ref="DM3:DM33" si="100">IF(AND(Include_study?="Yes",Sufficient_data="Yes",Subgroup&lt;&gt;""),IF(Subgroup_effect_size_measure="Risk Difference",DB3-DH3,DG3-DH3),NA())</f>
        <v>0.40417917032313277</v>
      </c>
      <c r="DN3" s="35">
        <f t="shared" ref="DN3:DN33" si="101">IF(AND(Include_study?="Yes",Sufficient_data="Yes",Subgroup&lt;&gt;""),IF(Subgroup_effect_size_measure="Risk Difference",DI3-DB3,DI3-DG3),NA())</f>
        <v>0.5804294068398641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1.5254597518216477E-2</v>
      </c>
      <c r="FA3" s="13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281</v>
      </c>
      <c r="FP3" s="3" t="str">
        <f>IF(SUM(Moderator)&lt;&gt;0,SUMPRODUCT(Moderator,FE:FE)/SUM(Calculations!FE:FE),"")</f>
        <v/>
      </c>
      <c r="FR3" s="133"/>
      <c r="FS3" s="120"/>
      <c r="FT3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3" s="3">
        <f>IF(AND(Include_study?="Yes",Sufficient_data="Yes"),1/('Publication Bias Analysis'!F:F^2+IF(Additional_model="Fixed effect",0,Calculations!GH$12)),"")</f>
        <v>29.335274004944381</v>
      </c>
      <c r="FV3" s="3">
        <f>IF(AND(Include_study?="Yes",Sufficient_data="Yes"),1/('Publication Bias Analysis'!F:F^2+IF(Additional_model="Fixed effect",0,'Publication Bias Analysis'!L$32)),"")</f>
        <v>29.335274004944381</v>
      </c>
      <c r="FW3" s="3">
        <f>IF(AND(Include_study?="Yes",Sufficient_data="Yes"),'Publication Bias Analysis'!E:E-'Publication Bias Analysis'!I$37,"")</f>
        <v>0.27134254800901014</v>
      </c>
      <c r="FX3" s="3">
        <f>IF(AND(Include_study?="Yes",Sufficient_data="Yes"),IF(Additional_model="Fixed effect",1/'Publication Bias Analysis'!F:F,1/SQRT('Publication Bias Analysis'!F:F^2+GH$12)),"")</f>
        <v>5.416204760249042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3" s="6">
        <f t="shared" si="80"/>
        <v>13</v>
      </c>
      <c r="GA3" s="83">
        <f>IF(AND(Include_study?="Yes",Sufficient_data="Yes"),FZ:FZ+IF(GL:GL&lt;0,-1,1)*COUNTIF(FZ$2:FZ2,FZ:FZ),"")</f>
        <v>13</v>
      </c>
      <c r="GB3" s="83">
        <f>IF(AND(Include_study?="Yes",Sufficient_data="Yes"),RANK(GP:GP,GP:GP,1)*IF(GO:GO&lt;0,-1,1)+IF(GO:GO&lt;0,-1,1)*COUNTIF(FZ$2:FZ2,FZ:FZ),"")</f>
        <v>13</v>
      </c>
      <c r="GC3" s="83">
        <f>IF(AND(Include_study?="Yes",Sufficient_data="Yes"),RANK(GS:GS,GS:GS,1)*IF(GR:GR&lt;0,-1,1)+IF(GR:GR&lt;0,-1,1)*COUNTIF(FZ$2:FZ2,FZ:FZ),"")</f>
        <v>13</v>
      </c>
      <c r="GD3" s="3">
        <f>IF(AND(Include_study?="Yes",Sufficient_data="Yes"),'Publication Bias Analysis'!E3,NA())</f>
        <v>0.28596639416660785</v>
      </c>
      <c r="GE3" s="35">
        <f>IF(AND(Include_study?="Yes",Sufficient_data="Yes"),'Publication Bias Analysis'!F3,NA())</f>
        <v>0.18463112904062717</v>
      </c>
      <c r="GG3" s="2" t="s">
        <v>282</v>
      </c>
      <c r="GH3" s="3">
        <f>IF(Additional_valid_options="Yes",IF(Trim_and_fill="Off",'Publication Bias Analysis'!I29,'Publication Bias Analysis'!I37)-ABS(TINV((1-Additional_confidence_level),k_-1))*GI3,"")</f>
        <v>-0.54027001195884761</v>
      </c>
      <c r="GI3" s="3">
        <f>IF(Trim_and_fill="Off",GH17,GH22)</f>
        <v>0.25467715746891151</v>
      </c>
      <c r="GK3" s="116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0.27134254800901014</v>
      </c>
      <c r="GM3" s="3">
        <f t="shared" si="81"/>
        <v>0.27134254800901014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3" s="3">
        <f>IF(AND(Include_study?="Yes",Sufficient_data="Yes"),IF('Publication Bias Analysis'!L$38="Left",'Publication Bias Analysis'!E:E-GW$3,GW$3-'Publication Bias Analysis'!E:E),"")</f>
        <v>0.27134254800901014</v>
      </c>
      <c r="GP3" s="3">
        <f t="shared" si="82"/>
        <v>0.27134254800901014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3" s="3">
        <f>IF(AND(Include_study?="Yes",Sufficient_data="Yes"),IF('Publication Bias Analysis'!L$38="Left",'Publication Bias Analysis'!E:E-GW$10,GW$10-'Publication Bias Analysis'!E:E),"")</f>
        <v>0.27134254800901014</v>
      </c>
      <c r="GS3" s="3">
        <f t="shared" si="83"/>
        <v>0.27134254800901014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1.4623846157597693E-2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6"/>
      <c r="HL3" s="3">
        <f t="shared" si="89"/>
        <v>-8.5523829394626105E-2</v>
      </c>
      <c r="HM3" s="35">
        <f>IF(AND(Include_study?="Yes",Sufficient_data="Yes"),Z_score-('Publication Bias Analysis'!P$3+'Publication Bias Analysis'!P$4*Inverse_standard_error),"")</f>
        <v>1.4778668367707208</v>
      </c>
      <c r="HO3" s="116"/>
      <c r="HP3" s="3">
        <f>IF(AND(Include_study?="Yes",Sufficient_data="Yes"),(GD:GD-SUMPRODUCT(Calculations!FT:FT,'Publication Bias Analysis'!E:E)/SUM(Calculations!FT:FT))/SQRT(Calculations!HQ:HQ),"")</f>
        <v>1.5273664738857093</v>
      </c>
      <c r="HQ3" s="3">
        <f>IF(AND(Include_study?="Yes",Sufficient_data="Yes"),GE:GE^2-1/SUM(Calculations!FT:FT),"")</f>
        <v>3.1560893574786329E-2</v>
      </c>
      <c r="HR3" s="6">
        <f t="shared" si="90"/>
        <v>1</v>
      </c>
      <c r="HS3" s="6">
        <f t="shared" si="91"/>
        <v>6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7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5</v>
      </c>
      <c r="HW3" s="116"/>
      <c r="HX3" s="20">
        <v>2</v>
      </c>
      <c r="HY3" s="3">
        <f t="shared" ref="HY3:HY10" si="123">HZ2</f>
        <v>-1.4</v>
      </c>
      <c r="HZ3" s="35">
        <f>HZ4-HY14</f>
        <v>-1</v>
      </c>
      <c r="IB3" s="116"/>
      <c r="IC3" s="76">
        <f t="shared" si="92"/>
        <v>1.2459371614301192E-2</v>
      </c>
      <c r="ID3" s="3">
        <f t="shared" si="93"/>
        <v>9.3896713615023476E-3</v>
      </c>
      <c r="IE3" s="3">
        <f t="shared" si="94"/>
        <v>29.97387927991528</v>
      </c>
      <c r="IF3" s="35">
        <f t="shared" si="95"/>
        <v>29.335274004944381</v>
      </c>
      <c r="IH3" s="3">
        <v>0</v>
      </c>
      <c r="II3" s="3">
        <v>0</v>
      </c>
      <c r="IK3" s="116"/>
      <c r="IL3" s="3">
        <f>IF(AND(Include_study?="Yes",Sufficient_data="Yes"),'Publication Bias Analysis'!AV:AV,NA())</f>
        <v>1.5488525453564352</v>
      </c>
      <c r="IM3" s="3">
        <f>IF(AND(Sufficient_data="Yes",Include_study?="Yes"),'Publication Bias Analysis'!AU:AU,NA())</f>
        <v>5.416204760249042</v>
      </c>
      <c r="IN3" s="3">
        <f t="shared" si="96"/>
        <v>-8.5523829394626105E-2</v>
      </c>
      <c r="IO3" s="35">
        <f>IF(AND(Include_study?="Yes",Sufficient_data="Yes"),Z_score-('Publication Bias Analysis'!AY$30+'Publication Bias Analysis'!AY$31*Inverse_standard_error),"")</f>
        <v>1.4696468001845049</v>
      </c>
      <c r="IQ3" s="2" t="s">
        <v>98</v>
      </c>
      <c r="IR3" s="3">
        <v>0</v>
      </c>
      <c r="IS3" s="3">
        <v>0</v>
      </c>
      <c r="IU3" s="116"/>
      <c r="IV3" s="6">
        <f>IF('Publication Bias Analysis'!BG:BG&lt;&gt;"",RANK('Publication Bias Analysis'!BG:BG,'Publication Bias Analysis'!BG:BG,1)+COUNTIF('Publication Bias Analysis'!BG$2:BG2,'Publication Bias Analysis'!BG3),"")</f>
        <v>13</v>
      </c>
      <c r="IW3" s="3">
        <f t="shared" si="97"/>
        <v>0.95</v>
      </c>
      <c r="IX3" s="3">
        <f>IF('Publication Bias Analysis'!BF3&lt;&gt;"",'Publication Bias Analysis'!BF3,NA())</f>
        <v>1.6448536269514715</v>
      </c>
      <c r="IY3" s="3">
        <f>IF('Publication Bias Analysis'!BG3&lt;&gt;"",'Publication Bias Analysis'!BG3,NA())</f>
        <v>1.5488525453564352</v>
      </c>
      <c r="IZ3" s="3">
        <f>IF(AND(Include_study?="Yes",Sufficient_data="Yes"),'Publication Bias Analysis'!BF:BF-AVERAGE('Publication Bias Analysis'!BF:BF),"")</f>
        <v>1.6448536269514717</v>
      </c>
      <c r="JA3" s="35">
        <f>IF(AND(Include_study?="Yes",Sufficient_data="Yes"),'Publication Bias Analysis'!BG:BG-('Publication Bias Analysis'!BJ$30+'Publication Bias Analysis'!BJ$31*'Publication Bias Analysis'!BF:BF),"")</f>
        <v>-7.0892052699006891E-2</v>
      </c>
      <c r="JC3" s="2" t="s">
        <v>245</v>
      </c>
      <c r="JD3" s="3">
        <f>MIN('Publication Bias Analysis'!BF:BF)</f>
        <v>-1.6448536269514726</v>
      </c>
      <c r="JE3" s="3">
        <f>'Publication Bias Analysis'!BJ$30+JD3*'Publication Bias Analysis'!BJ$31</f>
        <v>-1.4630480968504167</v>
      </c>
      <c r="JG3" s="116"/>
      <c r="JH3" s="3">
        <f t="shared" si="98"/>
        <v>1.5488525453564352</v>
      </c>
      <c r="JI3" s="10">
        <f t="shared" ref="JI3:JI66" si="124">IF(JH3&lt;&gt;"",1-NORMSDIST(ABS(JH3)),"")</f>
        <v>6.0708585387386549E-2</v>
      </c>
      <c r="JJ3" s="35">
        <f t="shared" ref="JJ3:JJ66" si="125">IF(JI3&lt;&gt;"",LN(MAX(10^-306,JI3)),"")</f>
        <v>-2.8016701512579258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65</v>
      </c>
      <c r="C4" s="6">
        <f>IF(AND(Include_study?="Yes",Sufficient_data="Yes"),IF(Input!b_&lt;&gt;"",Input!b_,Input!n1_-Input!a_),"")</f>
        <v>3956</v>
      </c>
      <c r="D4" s="6">
        <f>IF(AND(Include_study?="Yes",Sufficient_data="Yes"),IF(Input!c_&lt;&gt;"",Input!c_,Input!n2_-Input!d_),"")</f>
        <v>53</v>
      </c>
      <c r="E4" s="6">
        <f>IF(AND(Include_study?="Yes",Sufficient_data="Yes"),IF(Input!d_&lt;&gt;"",Input!d_,Input!n2_-Input!c_),"")</f>
        <v>3968</v>
      </c>
      <c r="F4" s="35" t="str">
        <f t="shared" si="1"/>
        <v>No</v>
      </c>
      <c r="H4" s="133"/>
      <c r="I4" s="120"/>
      <c r="J4" s="76">
        <f t="shared" si="2"/>
        <v>1.2301352614609764</v>
      </c>
      <c r="K4" s="3">
        <f t="shared" si="3"/>
        <v>0.20712413200567595</v>
      </c>
      <c r="L4" s="3">
        <f t="shared" si="4"/>
        <v>0.18643319615454887</v>
      </c>
      <c r="M4" s="3">
        <f t="shared" si="5"/>
        <v>0.85356529687486082</v>
      </c>
      <c r="N4" s="35">
        <f t="shared" si="6"/>
        <v>1.7728377278575282</v>
      </c>
      <c r="P4" s="116"/>
      <c r="Q4" s="76">
        <f t="shared" si="7"/>
        <v>1.2292361205854105</v>
      </c>
      <c r="R4" s="3">
        <f t="shared" si="8"/>
        <v>0.18546919613264334</v>
      </c>
      <c r="S4" s="3">
        <f t="shared" si="9"/>
        <v>0.8545547202293482</v>
      </c>
      <c r="T4" s="35">
        <f t="shared" si="10"/>
        <v>1.7681974066521298</v>
      </c>
      <c r="V4" s="116"/>
      <c r="W4" s="76">
        <f t="shared" si="11"/>
        <v>2.9843322556577963E-3</v>
      </c>
      <c r="X4" s="3">
        <f t="shared" si="12"/>
        <v>2.6814128430539047E-3</v>
      </c>
      <c r="Y4" s="3">
        <f t="shared" si="13"/>
        <v>-2.2719316354535488E-3</v>
      </c>
      <c r="Z4" s="35">
        <f t="shared" si="14"/>
        <v>8.2405961467691413E-3</v>
      </c>
      <c r="AB4" s="116"/>
      <c r="AC4" s="76">
        <f t="shared" si="15"/>
        <v>1.2264150943396226</v>
      </c>
      <c r="AD4" s="3">
        <f t="shared" si="16"/>
        <v>0.20409535634351522</v>
      </c>
      <c r="AE4" s="3">
        <f t="shared" si="17"/>
        <v>0.18372574997435981</v>
      </c>
      <c r="AF4" s="3">
        <f t="shared" si="18"/>
        <v>0.85551238013565345</v>
      </c>
      <c r="AG4" s="35">
        <f t="shared" si="19"/>
        <v>1.7581206520770278</v>
      </c>
      <c r="AI4" s="133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Lu et al.</v>
      </c>
      <c r="AN4" s="6">
        <f t="shared" si="21"/>
        <v>8042</v>
      </c>
      <c r="AO4" s="3">
        <f t="shared" si="22"/>
        <v>1.2301352614609764</v>
      </c>
      <c r="AP4" s="3">
        <f t="shared" si="23"/>
        <v>28.770904131442915</v>
      </c>
      <c r="AQ4" s="3">
        <f t="shared" si="24"/>
        <v>28.770904131442915</v>
      </c>
      <c r="AR4" s="3">
        <f t="shared" si="25"/>
        <v>0.18643319615454887</v>
      </c>
      <c r="AS4" s="3">
        <f t="shared" si="26"/>
        <v>0.85356529687486082</v>
      </c>
      <c r="AT4" s="3">
        <f t="shared" si="27"/>
        <v>1.7728377278575282</v>
      </c>
      <c r="AU4" s="80">
        <f t="shared" si="28"/>
        <v>7.2725947418103912E-2</v>
      </c>
      <c r="AW4" s="44">
        <f t="shared" si="29"/>
        <v>1.2301352614609764</v>
      </c>
      <c r="AX4" s="3">
        <f t="shared" si="30"/>
        <v>0.37656996458611558</v>
      </c>
      <c r="AY4" s="35">
        <f t="shared" si="31"/>
        <v>0.54270246639655184</v>
      </c>
      <c r="BA4" s="2" t="s">
        <v>283</v>
      </c>
      <c r="BB4" s="3">
        <f>'Forest Plot'!$B$16-CES_CI_Lower_limit</f>
        <v>9.4488364214009968E-2</v>
      </c>
      <c r="BD4" s="133"/>
      <c r="BE4" s="120"/>
      <c r="BF4" s="3">
        <f t="shared" si="32"/>
        <v>0.20712413200567595</v>
      </c>
      <c r="BG4" s="3">
        <f t="shared" si="33"/>
        <v>0.18643319615454887</v>
      </c>
      <c r="BH4" s="3">
        <f t="shared" si="34"/>
        <v>28.770904131442915</v>
      </c>
      <c r="BI4" s="3">
        <f t="shared" si="99"/>
        <v>28.770904131442915</v>
      </c>
      <c r="BJ4" s="35">
        <f t="shared" si="35"/>
        <v>0.19250028584807827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-8.3117585613645739E-2</v>
      </c>
      <c r="BO4" s="116"/>
      <c r="BP4" s="3">
        <f t="shared" si="36"/>
        <v>32.07162397413579</v>
      </c>
      <c r="BQ4" s="3">
        <f t="shared" si="37"/>
        <v>26.071623974135786</v>
      </c>
      <c r="BR4" s="3">
        <f t="shared" si="38"/>
        <v>16.083668178026564</v>
      </c>
      <c r="BS4" s="3">
        <f>IF(AND(Sufficient_data="Yes",Include_study?="Yes"),IF(Add_0_5="Yes",(a_+d_+1)*(ab_+0.5)*(c_+0.5)/(Number_of_subjects+2)^2,(a_+d_)*b_*c_/Number_of_subjects^2),"")</f>
        <v>13.074715181259592</v>
      </c>
      <c r="BT4" s="3">
        <f t="shared" si="39"/>
        <v>15.987955796109222</v>
      </c>
      <c r="BU4" s="3">
        <f t="shared" si="40"/>
        <v>12.996908792876196</v>
      </c>
      <c r="BV4" s="3">
        <f t="shared" si="41"/>
        <v>26.071623974135786</v>
      </c>
      <c r="BW4" s="3">
        <f t="shared" si="42"/>
        <v>1.0641747271793389</v>
      </c>
      <c r="BX4" s="3">
        <f t="shared" si="43"/>
        <v>28.770904131442915</v>
      </c>
      <c r="BY4" s="35">
        <f t="shared" si="44"/>
        <v>0.19250028584807824</v>
      </c>
      <c r="CA4" s="3" t="s">
        <v>284</v>
      </c>
      <c r="CB4" s="3">
        <f>SQRT(VarlnCES_MH)</f>
        <v>4.4859948702510435E-2</v>
      </c>
      <c r="CD4" s="116"/>
      <c r="CE4" s="76">
        <f t="shared" si="45"/>
        <v>59</v>
      </c>
      <c r="CF4" s="3">
        <f t="shared" si="46"/>
        <v>29.070762342992165</v>
      </c>
      <c r="CG4" s="3">
        <f t="shared" si="47"/>
        <v>0.20639293628453359</v>
      </c>
      <c r="CH4" s="3">
        <f t="shared" si="48"/>
        <v>3.4398822714088929E-2</v>
      </c>
      <c r="CI4" s="3">
        <f t="shared" si="49"/>
        <v>29.070762342992165</v>
      </c>
      <c r="CJ4" s="3">
        <f t="shared" si="50"/>
        <v>29.070762342992165</v>
      </c>
      <c r="CK4" s="35">
        <f t="shared" si="51"/>
        <v>0.1915935464472476</v>
      </c>
      <c r="CM4" s="3" t="s">
        <v>284</v>
      </c>
      <c r="CN4" s="3">
        <f>SQRT(VarlnCES_Peto)</f>
        <v>4.4801699025722626E-2</v>
      </c>
      <c r="CP4" s="116"/>
      <c r="CQ4" s="52">
        <f t="shared" si="52"/>
        <v>1.3180800795821936E-2</v>
      </c>
      <c r="CS4" s="2" t="s">
        <v>94</v>
      </c>
      <c r="CT4" s="3">
        <f>IF(Weighting_method="Inverse variance",IF(Model_effect_size_measure="Odds Ratio",CICES_LL,""),"")</f>
        <v>0.92024293352802067</v>
      </c>
      <c r="CU4" s="3">
        <f>IF(Model_effect_size_measure="Odds Ratio",CICES_LL_MH,"")</f>
        <v>0.92024293352802067</v>
      </c>
      <c r="CV4" s="3" t="str">
        <f>IF(Model_effect_size_measure="Peto Odds Ratio",CICES_LL_Peto,"")</f>
        <v/>
      </c>
      <c r="CX4" s="133"/>
      <c r="CY4" s="48">
        <f t="shared" si="53"/>
        <v>3</v>
      </c>
      <c r="CZ4" s="6" t="str">
        <f t="shared" si="54"/>
        <v>Lu et al.</v>
      </c>
      <c r="DA4" s="17" t="str">
        <f t="shared" si="55"/>
        <v>Acted</v>
      </c>
      <c r="DB4" s="3">
        <f t="shared" si="56"/>
        <v>0.20712413200567595</v>
      </c>
      <c r="DC4" s="3">
        <f t="shared" si="57"/>
        <v>0.18643319615454887</v>
      </c>
      <c r="DD4" s="3">
        <f t="shared" si="58"/>
        <v>28.770904131442915</v>
      </c>
      <c r="DE4" s="3">
        <f t="shared" si="59"/>
        <v>25.746483257102199</v>
      </c>
      <c r="DF4" s="80">
        <f t="shared" si="60"/>
        <v>0.13687794464992548</v>
      </c>
      <c r="DG4" s="3">
        <f t="shared" si="61"/>
        <v>1.2301352614609764</v>
      </c>
      <c r="DH4" s="3">
        <f t="shared" si="62"/>
        <v>0.85356530271593956</v>
      </c>
      <c r="DI4" s="3">
        <f t="shared" si="63"/>
        <v>1.7728377157257267</v>
      </c>
      <c r="DJ4" s="35">
        <f t="shared" si="64"/>
        <v>0.17750802251569731</v>
      </c>
      <c r="DL4" s="44">
        <f t="shared" si="65"/>
        <v>1.2301352614609764</v>
      </c>
      <c r="DM4" s="3">
        <f t="shared" si="100"/>
        <v>0.37656995874503685</v>
      </c>
      <c r="DN4" s="35">
        <f t="shared" si="101"/>
        <v>0.54270245426475028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-2.4070248880696449E-2</v>
      </c>
      <c r="FA4" s="13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125</v>
      </c>
      <c r="FP4" s="3" t="str">
        <f>IF(FP3&lt;&gt;"",SUMPRODUCT(FF:FF,FG:FG,FE:FE)/SUMPRODUCT(FG:FG,FG:FG,FE:FE),"")</f>
        <v/>
      </c>
      <c r="FR4" s="133"/>
      <c r="FS4" s="120"/>
      <c r="FT4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4" s="3">
        <f>IF(AND(Include_study?="Yes",Sufficient_data="Yes"),1/('Publication Bias Analysis'!F:F^2+IF(Additional_model="Fixed effect",0,Calculations!GH$12)),"")</f>
        <v>28.770904131442915</v>
      </c>
      <c r="FV4" s="3">
        <f>IF(AND(Include_study?="Yes",Sufficient_data="Yes"),1/('Publication Bias Analysis'!F:F^2+IF(Additional_model="Fixed effect",0,'Publication Bias Analysis'!L$32)),"")</f>
        <v>28.770904131442915</v>
      </c>
      <c r="FW4" s="3">
        <f>IF(AND(Include_study?="Yes",Sufficient_data="Yes"),'Publication Bias Analysis'!E:E-'Publication Bias Analysis'!I$37,"")</f>
        <v>0.19250028584807827</v>
      </c>
      <c r="FX4" s="3">
        <f>IF(AND(Include_study?="Yes",Sufficient_data="Yes"),IF(Additional_model="Fixed effect",1/'Publication Bias Analysis'!F:F,1/SQRT('Publication Bias Analysis'!F:F^2+GH$12)),"")</f>
        <v>5.3638516134810175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4" s="6">
        <f t="shared" si="80"/>
        <v>9</v>
      </c>
      <c r="GA4" s="83">
        <f>IF(AND(Include_study?="Yes",Sufficient_data="Yes"),FZ:FZ+IF(GL:GL&lt;0,-1,1)*COUNTIF(FZ$2:FZ3,FZ:FZ),"")</f>
        <v>9</v>
      </c>
      <c r="GB4" s="83">
        <f>IF(AND(Include_study?="Yes",Sufficient_data="Yes"),RANK(GP:GP,GP:GP,1)*IF(GO:GO&lt;0,-1,1)+IF(GO:GO&lt;0,-1,1)*COUNTIF(FZ$2:FZ3,FZ:FZ),"")</f>
        <v>9</v>
      </c>
      <c r="GC4" s="83">
        <f>IF(AND(Include_study?="Yes",Sufficient_data="Yes"),RANK(GS:GS,GS:GS,1)*IF(GR:GR&lt;0,-1,1)+IF(GR:GR&lt;0,-1,1)*COUNTIF(FZ$2:FZ3,FZ:FZ),"")</f>
        <v>9</v>
      </c>
      <c r="GD4" s="3">
        <f>IF(AND(Include_study?="Yes",Sufficient_data="Yes"),'Publication Bias Analysis'!E4,NA())</f>
        <v>0.20712413200567595</v>
      </c>
      <c r="GE4" s="35">
        <f>IF(AND(Include_study?="Yes",Sufficient_data="Yes"),'Publication Bias Analysis'!F4,NA())</f>
        <v>0.18643319615454887</v>
      </c>
      <c r="GG4" s="2" t="s">
        <v>276</v>
      </c>
      <c r="GH4" s="3">
        <f>IF(Trim_and_fill="Off",'Publication Bias Analysis'!I29,'Publication Bias Analysis'!I37)</f>
        <v>1.4623846157597693E-2</v>
      </c>
      <c r="GI4" s="3">
        <v>0</v>
      </c>
      <c r="GK4" s="116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0.19250028584807827</v>
      </c>
      <c r="GM4" s="3">
        <f t="shared" si="81"/>
        <v>0.19250028584807827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4" s="3">
        <f>IF(AND(Include_study?="Yes",Sufficient_data="Yes"),IF('Publication Bias Analysis'!L$38="Left",'Publication Bias Analysis'!E:E-GW$3,GW$3-'Publication Bias Analysis'!E:E),"")</f>
        <v>0.19250028584807827</v>
      </c>
      <c r="GP4" s="3">
        <f t="shared" si="82"/>
        <v>0.19250028584807827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4" s="3">
        <f>IF(AND(Include_study?="Yes",Sufficient_data="Yes"),IF('Publication Bias Analysis'!L$38="Left",'Publication Bias Analysis'!E:E-GW$10,GW$10-'Publication Bias Analysis'!E:E),"")</f>
        <v>0.19250028584807827</v>
      </c>
      <c r="GS4" s="3">
        <f t="shared" si="83"/>
        <v>0.19250028584807827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4" s="114" t="s">
        <v>56</v>
      </c>
      <c r="GW4" s="114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6"/>
      <c r="HL4" s="3">
        <f t="shared" si="89"/>
        <v>-0.1378769761626506</v>
      </c>
      <c r="HM4" s="35">
        <f>IF(AND(Include_study?="Yes",Sufficient_data="Yes"),Z_score-('Publication Bias Analysis'!P$3+'Publication Bias Analysis'!P$4*Inverse_standard_error),"")</f>
        <v>1.044504358312071</v>
      </c>
      <c r="HO4" s="116"/>
      <c r="HP4" s="3">
        <f>IF(AND(Include_study?="Yes",Sufficient_data="Yes"),(GD:GD-SUMPRODUCT(Calculations!FT:FT,'Publication Bias Analysis'!E:E)/SUM(Calculations!FT:FT))/SQRT(Calculations!HQ:HQ),"")</f>
        <v>1.0722698137664803</v>
      </c>
      <c r="HQ4" s="3">
        <f>IF(AND(Include_study?="Yes",Sufficient_data="Yes"),GE:GE^2-1/SUM(Calculations!FT:FT),"")</f>
        <v>3.2229576392370105E-2</v>
      </c>
      <c r="HR4" s="6">
        <f t="shared" si="90"/>
        <v>3</v>
      </c>
      <c r="HS4" s="6">
        <f t="shared" si="91"/>
        <v>5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8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4</v>
      </c>
      <c r="HW4" s="116"/>
      <c r="HX4" s="20">
        <v>3</v>
      </c>
      <c r="HY4" s="3">
        <f t="shared" si="123"/>
        <v>-1</v>
      </c>
      <c r="HZ4" s="35">
        <f>HZ5-HY14</f>
        <v>-0.60000000000000009</v>
      </c>
      <c r="IB4" s="116"/>
      <c r="IC4" s="76">
        <f t="shared" si="92"/>
        <v>1.6165133051479732E-2</v>
      </c>
      <c r="ID4" s="3">
        <f t="shared" si="93"/>
        <v>1.3180800795821936E-2</v>
      </c>
      <c r="IE4" s="3">
        <f t="shared" si="94"/>
        <v>29.625108001060759</v>
      </c>
      <c r="IF4" s="35">
        <f t="shared" si="95"/>
        <v>28.770904131442915</v>
      </c>
      <c r="IH4" s="3">
        <f>MAX('Publication Bias Analysis'!AH:AH)</f>
        <v>8.223350253807106E-2</v>
      </c>
      <c r="II4" s="3">
        <f>MAX('Publication Bias Analysis'!AH:AH)</f>
        <v>8.223350253807106E-2</v>
      </c>
      <c r="IK4" s="116"/>
      <c r="IL4" s="3">
        <f>IF(AND(Include_study?="Yes",Sufficient_data="Yes"),'Publication Bias Analysis'!AV:AV,NA())</f>
        <v>1.1109831096495002</v>
      </c>
      <c r="IM4" s="3">
        <f>IF(AND(Sufficient_data="Yes",Include_study?="Yes"),'Publication Bias Analysis'!AU:AU,NA())</f>
        <v>5.3638516134810175</v>
      </c>
      <c r="IN4" s="3">
        <f t="shared" si="96"/>
        <v>-0.1378769761626506</v>
      </c>
      <c r="IO4" s="35">
        <f>IF(AND(Include_study?="Yes",Sufficient_data="Yes"),Z_score-('Publication Bias Analysis'!AY$30+'Publication Bias Analysis'!AY$31*Inverse_standard_error),"")</f>
        <v>1.0325429688417715</v>
      </c>
      <c r="IQ4" s="2" t="s">
        <v>285</v>
      </c>
      <c r="IR4" s="3">
        <f>MAX(Inverse_standard_error)</f>
        <v>6.0258232649491505</v>
      </c>
      <c r="IS4" s="3">
        <f>IR4*'Publication Bias Analysis'!AY31</f>
        <v>8.8120712399489418E-2</v>
      </c>
      <c r="IU4" s="116"/>
      <c r="IV4" s="6">
        <f>IF('Publication Bias Analysis'!BG:BG&lt;&gt;"",RANK('Publication Bias Analysis'!BG:BG,'Publication Bias Analysis'!BG:BG,1)+COUNTIF('Publication Bias Analysis'!BG$2:BG3,'Publication Bias Analysis'!BG4),"")</f>
        <v>11</v>
      </c>
      <c r="IW4" s="3">
        <f t="shared" si="97"/>
        <v>0.79999999999999993</v>
      </c>
      <c r="IX4" s="3">
        <f>IF('Publication Bias Analysis'!BF4&lt;&gt;"",'Publication Bias Analysis'!BF4,NA())</f>
        <v>0.84162123357291341</v>
      </c>
      <c r="IY4" s="3">
        <f>IF('Publication Bias Analysis'!BG4&lt;&gt;"",'Publication Bias Analysis'!BG4,NA())</f>
        <v>1.1109831096495002</v>
      </c>
      <c r="IZ4" s="3">
        <f>IF(AND(Include_study?="Yes",Sufficient_data="Yes"),'Publication Bias Analysis'!BF:BF-AVERAGE('Publication Bias Analysis'!BF:BF),"")</f>
        <v>0.84162123357291374</v>
      </c>
      <c r="JA4" s="35">
        <f>IF(AND(Include_study?="Yes",Sufficient_data="Yes"),'Publication Bias Analysis'!BG:BG-('Publication Bias Analysis'!BJ$30+'Publication Bias Analysis'!BJ$31*'Publication Bias Analysis'!BF:BF),"")</f>
        <v>0.2439495474108101</v>
      </c>
      <c r="JC4" s="2" t="s">
        <v>246</v>
      </c>
      <c r="JD4" s="3">
        <f>MAX('Publication Bias Analysis'!BF:BF)</f>
        <v>1.6448536269514715</v>
      </c>
      <c r="JE4" s="3">
        <f>'Publication Bias Analysis'!BJ$30+JD4*'Publication Bias Analysis'!BJ$31</f>
        <v>1.6197445980554421</v>
      </c>
      <c r="JG4" s="116"/>
      <c r="JH4" s="3">
        <f t="shared" si="98"/>
        <v>1.1109831096495002</v>
      </c>
      <c r="JI4" s="10">
        <f t="shared" si="124"/>
        <v>0.13328780981083344</v>
      </c>
      <c r="JJ4" s="35">
        <f t="shared" si="125"/>
        <v>-2.0152445052602839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70</v>
      </c>
      <c r="C5" s="6">
        <f>IF(AND(Include_study?="Yes",Sufficient_data="Yes"),IF(Input!b_&lt;&gt;"",Input!b_,Input!n1_-Input!a_),"")</f>
        <v>5468</v>
      </c>
      <c r="D5" s="6">
        <f>IF(AND(Include_study?="Yes",Sufficient_data="Yes"),IF(Input!c_&lt;&gt;"",Input!c_,Input!n2_-Input!d_),"")</f>
        <v>61</v>
      </c>
      <c r="E5" s="6">
        <f>IF(AND(Include_study?="Yes",Sufficient_data="Yes"),IF(Input!d_&lt;&gt;"",Input!d_,Input!n2_-Input!c_),"")</f>
        <v>5477</v>
      </c>
      <c r="F5" s="35" t="str">
        <f t="shared" si="1"/>
        <v>No</v>
      </c>
      <c r="H5" s="133"/>
      <c r="I5" s="120"/>
      <c r="J5" s="76">
        <f t="shared" si="2"/>
        <v>1.1494297672299039</v>
      </c>
      <c r="K5" s="3">
        <f t="shared" si="3"/>
        <v>0.13926596481592882</v>
      </c>
      <c r="L5" s="3">
        <f t="shared" si="4"/>
        <v>0.17619483771616601</v>
      </c>
      <c r="M5" s="3">
        <f t="shared" si="5"/>
        <v>0.81374574051227822</v>
      </c>
      <c r="N5" s="35">
        <f t="shared" si="6"/>
        <v>1.6235891925682604</v>
      </c>
      <c r="P5" s="116"/>
      <c r="Q5" s="76">
        <f t="shared" si="7"/>
        <v>1.1491661732246303</v>
      </c>
      <c r="R5" s="3">
        <f t="shared" si="8"/>
        <v>0.1757754960965412</v>
      </c>
      <c r="S5" s="3">
        <f t="shared" si="9"/>
        <v>0.8142281353049915</v>
      </c>
      <c r="T5" s="35">
        <f t="shared" si="10"/>
        <v>1.6218831509538545</v>
      </c>
      <c r="V5" s="116"/>
      <c r="W5" s="76">
        <f t="shared" si="11"/>
        <v>1.6251354279523296E-3</v>
      </c>
      <c r="X5" s="3">
        <f t="shared" si="12"/>
        <v>2.0544086647739756E-3</v>
      </c>
      <c r="Y5" s="3">
        <f t="shared" si="13"/>
        <v>-2.4018717070477232E-3</v>
      </c>
      <c r="Z5" s="35">
        <f t="shared" si="14"/>
        <v>5.6521425629523824E-3</v>
      </c>
      <c r="AB5" s="116"/>
      <c r="AC5" s="76">
        <f t="shared" si="15"/>
        <v>1.1475409836065573</v>
      </c>
      <c r="AD5" s="3">
        <f t="shared" si="16"/>
        <v>0.1376213778760477</v>
      </c>
      <c r="AE5" s="3">
        <f t="shared" si="17"/>
        <v>0.17412069291860022</v>
      </c>
      <c r="AF5" s="3">
        <f t="shared" si="18"/>
        <v>0.8157182925565305</v>
      </c>
      <c r="AG5" s="35">
        <f t="shared" si="19"/>
        <v>1.6143444631229051</v>
      </c>
      <c r="AI5" s="133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Seo et al.</v>
      </c>
      <c r="AN5" s="6">
        <f t="shared" si="21"/>
        <v>11076</v>
      </c>
      <c r="AO5" s="3">
        <f t="shared" si="22"/>
        <v>1.1494297672299039</v>
      </c>
      <c r="AP5" s="3">
        <f t="shared" si="23"/>
        <v>32.211699579901385</v>
      </c>
      <c r="AQ5" s="3">
        <f t="shared" si="24"/>
        <v>32.211699579901385</v>
      </c>
      <c r="AR5" s="3">
        <f t="shared" si="25"/>
        <v>0.17619483771616601</v>
      </c>
      <c r="AS5" s="3">
        <f t="shared" si="26"/>
        <v>0.81374574051227822</v>
      </c>
      <c r="AT5" s="3">
        <f t="shared" si="27"/>
        <v>1.6235891925682604</v>
      </c>
      <c r="AU5" s="80">
        <f t="shared" si="28"/>
        <v>8.1423453333031595E-2</v>
      </c>
      <c r="AW5" s="44">
        <f t="shared" si="29"/>
        <v>1.1494297672299039</v>
      </c>
      <c r="AX5" s="3">
        <f t="shared" si="30"/>
        <v>0.33568402671762565</v>
      </c>
      <c r="AY5" s="35">
        <f t="shared" si="31"/>
        <v>0.47415942533835653</v>
      </c>
      <c r="BA5" s="2" t="s">
        <v>286</v>
      </c>
      <c r="BB5" s="3">
        <f>CES_CI_Upper_limit-'Forest Plot'!$B$16</f>
        <v>0.10419020559366721</v>
      </c>
      <c r="BD5" s="133"/>
      <c r="BE5" s="120"/>
      <c r="BF5" s="3">
        <f t="shared" si="32"/>
        <v>0.13926596481592882</v>
      </c>
      <c r="BG5" s="3">
        <f t="shared" si="33"/>
        <v>0.17619483771616601</v>
      </c>
      <c r="BH5" s="3">
        <f t="shared" si="34"/>
        <v>32.211699579901385</v>
      </c>
      <c r="BI5" s="3">
        <f t="shared" si="99"/>
        <v>32.211699579901385</v>
      </c>
      <c r="BJ5" s="35">
        <f t="shared" si="35"/>
        <v>0.12464211865833112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0.11236527792884113</v>
      </c>
      <c r="BO5" s="116"/>
      <c r="BP5" s="3">
        <f t="shared" si="36"/>
        <v>34.614481762369088</v>
      </c>
      <c r="BQ5" s="3">
        <f t="shared" si="37"/>
        <v>30.114481762369085</v>
      </c>
      <c r="BR5" s="3">
        <f t="shared" si="38"/>
        <v>17.335367491500662</v>
      </c>
      <c r="BS5" s="3">
        <f>IF(AND(Sufficient_data="Yes",Include_study?="Yes"),IF(Add_0_5="Yes",(a_+d_+1)*(ab_+0.5)*(c_+0.5)/(Number_of_subjects+2)^2,(a_+d_)*b_*c_/Number_of_subjects^2),"")</f>
        <v>15.081710936787768</v>
      </c>
      <c r="BT5" s="3">
        <f t="shared" si="39"/>
        <v>17.279114270868426</v>
      </c>
      <c r="BU5" s="3">
        <f t="shared" si="40"/>
        <v>15.032770825581318</v>
      </c>
      <c r="BV5" s="3">
        <f t="shared" si="41"/>
        <v>30.114481762369085</v>
      </c>
      <c r="BW5" s="3">
        <f t="shared" si="42"/>
        <v>0.49900201062389277</v>
      </c>
      <c r="BX5" s="3">
        <f t="shared" si="43"/>
        <v>32.211699579901385</v>
      </c>
      <c r="BY5" s="35">
        <f t="shared" si="44"/>
        <v>0.12464211865833111</v>
      </c>
      <c r="CA5" s="3" t="s">
        <v>287</v>
      </c>
      <c r="CB5" s="3">
        <f>lnCES_OddsRatio_MH-ABS(TINV((1-Confidence_level),k_-1))*SElnCES_MH</f>
        <v>-8.3117585613645753E-2</v>
      </c>
      <c r="CD5" s="116"/>
      <c r="CE5" s="76">
        <f t="shared" si="45"/>
        <v>65.5</v>
      </c>
      <c r="CF5" s="3">
        <f t="shared" si="46"/>
        <v>32.365575620767494</v>
      </c>
      <c r="CG5" s="3">
        <f t="shared" si="47"/>
        <v>0.13903661262593328</v>
      </c>
      <c r="CH5" s="3">
        <f t="shared" si="48"/>
        <v>3.0897025027985171E-2</v>
      </c>
      <c r="CI5" s="3">
        <f t="shared" si="49"/>
        <v>32.365575620767494</v>
      </c>
      <c r="CJ5" s="3">
        <f t="shared" si="50"/>
        <v>32.365575620767494</v>
      </c>
      <c r="CK5" s="35">
        <f t="shared" si="51"/>
        <v>0.12423722278864729</v>
      </c>
      <c r="CM5" s="3" t="s">
        <v>287</v>
      </c>
      <c r="CN5" s="3">
        <f>lnCES_PetoOddsRatio-ABS(TINV((1-Confidence_level),k_-1))*SElnCES_Peto</f>
        <v>-8.2815126790848237E-2</v>
      </c>
      <c r="CP5" s="116"/>
      <c r="CQ5" s="52">
        <f t="shared" si="52"/>
        <v>1.1014806789454677E-2</v>
      </c>
      <c r="CS5" s="2" t="s">
        <v>95</v>
      </c>
      <c r="CT5" s="3">
        <f>IF(Weighting_method="Inverse variance",IF(Model_effect_size_measure="Odds Ratio",CICES_UL,""),"")</f>
        <v>1.1189215033356978</v>
      </c>
      <c r="CU5" s="3">
        <f>IF(Model_effect_size_measure="Odds Ratio",CICES_UL_MH,"")</f>
        <v>1.1189215033356981</v>
      </c>
      <c r="CV5" s="3" t="str">
        <f>IF(Model_effect_size_measure="Peto Odds Ratio",CICES_UL_Peto,"")</f>
        <v/>
      </c>
      <c r="CX5" s="133"/>
      <c r="CY5" s="48">
        <f t="shared" si="53"/>
        <v>4</v>
      </c>
      <c r="CZ5" s="6" t="str">
        <f t="shared" si="54"/>
        <v>Seo et al.</v>
      </c>
      <c r="DA5" s="17" t="str">
        <f t="shared" si="55"/>
        <v>Acted</v>
      </c>
      <c r="DB5" s="3">
        <f t="shared" si="56"/>
        <v>0.13926596481592882</v>
      </c>
      <c r="DC5" s="3">
        <f t="shared" si="57"/>
        <v>0.17619483771616601</v>
      </c>
      <c r="DD5" s="3">
        <f t="shared" si="58"/>
        <v>32.211699579901385</v>
      </c>
      <c r="DE5" s="3">
        <f t="shared" si="59"/>
        <v>28.467692156320719</v>
      </c>
      <c r="DF5" s="80">
        <f t="shared" si="60"/>
        <v>0.15134490999694505</v>
      </c>
      <c r="DG5" s="3">
        <f t="shared" si="61"/>
        <v>1.1494297672299039</v>
      </c>
      <c r="DH5" s="3">
        <f t="shared" si="62"/>
        <v>0.81374574328620752</v>
      </c>
      <c r="DI5" s="3">
        <f t="shared" si="63"/>
        <v>1.623589187033704</v>
      </c>
      <c r="DJ5" s="35">
        <f t="shared" si="64"/>
        <v>0.10964985532595017</v>
      </c>
      <c r="DL5" s="44">
        <f t="shared" si="65"/>
        <v>1.1494297672299039</v>
      </c>
      <c r="DM5" s="3">
        <f t="shared" si="100"/>
        <v>0.33568402394369634</v>
      </c>
      <c r="DN5" s="35">
        <f t="shared" si="101"/>
        <v>0.47415941980380016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4.2403576687503386E-2</v>
      </c>
      <c r="FA5" s="13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98</v>
      </c>
      <c r="FP5" s="3" t="str">
        <f>IF(FP3&lt;&gt;"",FP2-FP3*FP4,"")</f>
        <v/>
      </c>
      <c r="FR5" s="133"/>
      <c r="FS5" s="120"/>
      <c r="FT5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5" s="3">
        <f>IF(AND(Include_study?="Yes",Sufficient_data="Yes"),1/('Publication Bias Analysis'!F:F^2+IF(Additional_model="Fixed effect",0,Calculations!GH$12)),"")</f>
        <v>32.211699579901385</v>
      </c>
      <c r="FV5" s="3">
        <f>IF(AND(Include_study?="Yes",Sufficient_data="Yes"),1/('Publication Bias Analysis'!F:F^2+IF(Additional_model="Fixed effect",0,'Publication Bias Analysis'!L$32)),"")</f>
        <v>32.211699579901385</v>
      </c>
      <c r="FW5" s="3">
        <f>IF(AND(Include_study?="Yes",Sufficient_data="Yes"),'Publication Bias Analysis'!E:E-'Publication Bias Analysis'!I$37,"")</f>
        <v>0.12464211865833112</v>
      </c>
      <c r="FX5" s="3">
        <f>IF(AND(Include_study?="Yes",Sufficient_data="Yes"),IF(Additional_model="Fixed effect",1/'Publication Bias Analysis'!F:F,1/SQRT('Publication Bias Analysis'!F:F^2+GH$12)),"")</f>
        <v>5.6755351800426173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5" s="6">
        <f t="shared" si="80"/>
        <v>7</v>
      </c>
      <c r="GA5" s="83">
        <f>IF(AND(Include_study?="Yes",Sufficient_data="Yes"),FZ:FZ+IF(GL:GL&lt;0,-1,1)*COUNTIF(FZ$2:FZ4,FZ:FZ),"")</f>
        <v>7</v>
      </c>
      <c r="GB5" s="83">
        <f>IF(AND(Include_study?="Yes",Sufficient_data="Yes"),RANK(GP:GP,GP:GP,1)*IF(GO:GO&lt;0,-1,1)+IF(GO:GO&lt;0,-1,1)*COUNTIF(FZ$2:FZ4,FZ:FZ),"")</f>
        <v>7</v>
      </c>
      <c r="GC5" s="83">
        <f>IF(AND(Include_study?="Yes",Sufficient_data="Yes"),RANK(GS:GS,GS:GS,1)*IF(GR:GR&lt;0,-1,1)+IF(GR:GR&lt;0,-1,1)*COUNTIF(FZ$2:FZ4,FZ:FZ),"")</f>
        <v>7</v>
      </c>
      <c r="GD5" s="3">
        <f>IF(AND(Include_study?="Yes",Sufficient_data="Yes"),'Publication Bias Analysis'!E5,NA())</f>
        <v>0.13926596481592882</v>
      </c>
      <c r="GE5" s="35">
        <f>IF(AND(Include_study?="Yes",Sufficient_data="Yes"),'Publication Bias Analysis'!F5,NA())</f>
        <v>0.17619483771616601</v>
      </c>
      <c r="GG5" s="2" t="s">
        <v>288</v>
      </c>
      <c r="GH5" s="3">
        <f>IF(Additional_valid_options="Yes",IF(Trim_and_fill="Off",'Publication Bias Analysis'!I29,'Publication Bias Analysis'!I37)+ABS(TINV((1-Additional_confidence_level),k_-1))*GI3,"")</f>
        <v>0.56951770427404302</v>
      </c>
      <c r="GI5" s="3">
        <f>IF(Trim_and_fill="Off",GH17,GH22)</f>
        <v>0.25467715746891151</v>
      </c>
      <c r="GK5" s="116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0.12464211865833112</v>
      </c>
      <c r="GM5" s="3">
        <f t="shared" si="81"/>
        <v>0.12464211865833112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5" s="3">
        <f>IF(AND(Include_study?="Yes",Sufficient_data="Yes"),IF('Publication Bias Analysis'!L$38="Left",'Publication Bias Analysis'!E:E-GW$3,GW$3-'Publication Bias Analysis'!E:E),"")</f>
        <v>0.12464211865833112</v>
      </c>
      <c r="GP5" s="3">
        <f t="shared" si="82"/>
        <v>0.12464211865833112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5" s="3">
        <f>IF(AND(Include_study?="Yes",Sufficient_data="Yes"),IF('Publication Bias Analysis'!L$38="Left",'Publication Bias Analysis'!E:E-GW$10,GW$10-'Publication Bias Analysis'!E:E),"")</f>
        <v>0.12464211865833112</v>
      </c>
      <c r="GS5" s="3">
        <f t="shared" si="83"/>
        <v>0.12464211865833112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V5" s="2" t="s">
        <v>57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9.5535089233882786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6"/>
      <c r="HL5" s="3">
        <f t="shared" si="89"/>
        <v>0.17380659039894919</v>
      </c>
      <c r="HM5" s="35">
        <f>IF(AND(Include_study?="Yes",Sufficient_data="Yes"),Z_score-('Publication Bias Analysis'!P$3+'Publication Bias Analysis'!P$4*Inverse_standard_error),"")</f>
        <v>0.69709803823257555</v>
      </c>
      <c r="HO5" s="116"/>
      <c r="HP5" s="3">
        <f>IF(AND(Include_study?="Yes",Sufficient_data="Yes"),(GD:GD-SUMPRODUCT(Calculations!FT:FT,'Publication Bias Analysis'!E:E)/SUM(Calculations!FT:FT))/SQRT(Calculations!HQ:HQ),"")</f>
        <v>0.73809789398885695</v>
      </c>
      <c r="HQ5" s="3">
        <f>IF(AND(Include_study?="Yes",Sufficient_data="Yes"),GE:GE^2-1/SUM(Calculations!FT:FT),"")</f>
        <v>2.8516860601795684E-2</v>
      </c>
      <c r="HR5" s="6">
        <f t="shared" si="90"/>
        <v>4</v>
      </c>
      <c r="HS5" s="6">
        <f t="shared" si="91"/>
        <v>8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4</v>
      </c>
      <c r="HW5" s="116"/>
      <c r="HX5" s="20">
        <v>4</v>
      </c>
      <c r="HY5" s="3">
        <f t="shared" si="123"/>
        <v>-0.60000000000000009</v>
      </c>
      <c r="HZ5" s="35">
        <f>HZ6-HY14</f>
        <v>-0.2</v>
      </c>
      <c r="IB5" s="116"/>
      <c r="IC5" s="76">
        <f t="shared" si="92"/>
        <v>1.2639942217407007E-2</v>
      </c>
      <c r="ID5" s="3">
        <f t="shared" si="93"/>
        <v>1.1014806789454677E-2</v>
      </c>
      <c r="IE5" s="3">
        <f t="shared" si="94"/>
        <v>32.983688966130963</v>
      </c>
      <c r="IF5" s="35">
        <f t="shared" si="95"/>
        <v>32.211699579901385</v>
      </c>
      <c r="IH5" s="114" t="s">
        <v>289</v>
      </c>
      <c r="II5" s="114"/>
      <c r="IK5" s="116"/>
      <c r="IL5" s="3">
        <f>IF(AND(Include_study?="Yes",Sufficient_data="Yes"),'Publication Bias Analysis'!AV:AV,NA())</f>
        <v>0.79040888269538134</v>
      </c>
      <c r="IM5" s="3">
        <f>IF(AND(Sufficient_data="Yes",Include_study?="Yes"),'Publication Bias Analysis'!AU:AU,NA())</f>
        <v>5.6755351800426173</v>
      </c>
      <c r="IN5" s="3">
        <f t="shared" si="96"/>
        <v>0.17380659039894919</v>
      </c>
      <c r="IO5" s="35">
        <f>IF(AND(Include_study?="Yes",Sufficient_data="Yes"),Z_score-('Publication Bias Analysis'!AY$30+'Publication Bias Analysis'!AY$31*Inverse_standard_error),"")</f>
        <v>0.70741072936040461</v>
      </c>
      <c r="IQ5" s="24" t="s">
        <v>245</v>
      </c>
      <c r="IR5" s="2" t="s">
        <v>242</v>
      </c>
      <c r="IS5" s="2" t="s">
        <v>243</v>
      </c>
      <c r="IU5" s="116"/>
      <c r="IV5" s="6">
        <f>IF('Publication Bias Analysis'!BG:BG&lt;&gt;"",RANK('Publication Bias Analysis'!BG:BG,'Publication Bias Analysis'!BG:BG,1)+COUNTIF('Publication Bias Analysis'!BG$2:BG4,'Publication Bias Analysis'!BG5),"")</f>
        <v>10</v>
      </c>
      <c r="IW5" s="3">
        <f t="shared" si="97"/>
        <v>0.72499999999999998</v>
      </c>
      <c r="IX5" s="3">
        <f>IF('Publication Bias Analysis'!BF5&lt;&gt;"",'Publication Bias Analysis'!BF5,NA())</f>
        <v>0.59776012604247841</v>
      </c>
      <c r="IY5" s="3">
        <f>IF('Publication Bias Analysis'!BG5&lt;&gt;"",'Publication Bias Analysis'!BG5,NA())</f>
        <v>0.79040888269538134</v>
      </c>
      <c r="IZ5" s="3">
        <f>IF(AND(Include_study?="Yes",Sufficient_data="Yes"),'Publication Bias Analysis'!BF:BF-AVERAGE('Publication Bias Analysis'!BF:BF),"")</f>
        <v>0.59776012604247875</v>
      </c>
      <c r="JA5" s="35">
        <f>IF(AND(Include_study?="Yes",Sufficient_data="Yes"),'Publication Bias Analysis'!BG:BG-('Publication Bias Analysis'!BJ$30+'Publication Bias Analysis'!BJ$31*'Publication Bias Analysis'!BF:BF),"")</f>
        <v>0.15189815937330464</v>
      </c>
      <c r="JC5" s="24" t="s">
        <v>290</v>
      </c>
      <c r="JD5" s="2" t="s">
        <v>242</v>
      </c>
      <c r="JE5" s="2" t="s">
        <v>243</v>
      </c>
      <c r="JG5" s="116"/>
      <c r="JH5" s="3">
        <f t="shared" si="98"/>
        <v>0.79040888269538134</v>
      </c>
      <c r="JI5" s="10">
        <f t="shared" si="124"/>
        <v>0.21464450815582592</v>
      </c>
      <c r="JJ5" s="35">
        <f t="shared" si="125"/>
        <v>-1.5387720697503282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61</v>
      </c>
      <c r="C6" s="6">
        <f>IF(AND(Include_study?="Yes",Sufficient_data="Yes"),IF(Input!b_&lt;&gt;"",Input!b_,Input!n1_-Input!a_),"")</f>
        <v>6489</v>
      </c>
      <c r="D6" s="6">
        <f>IF(AND(Include_study?="Yes",Sufficient_data="Yes"),IF(Input!c_&lt;&gt;"",Input!c_,Input!n2_-Input!d_),"")</f>
        <v>77</v>
      </c>
      <c r="E6" s="6">
        <f>IF(AND(Include_study?="Yes",Sufficient_data="Yes"),IF(Input!d_&lt;&gt;"",Input!d_,Input!n2_-Input!c_),"")</f>
        <v>6473</v>
      </c>
      <c r="F6" s="35" t="str">
        <f t="shared" si="1"/>
        <v>No</v>
      </c>
      <c r="H6" s="133"/>
      <c r="I6" s="120"/>
      <c r="J6" s="76">
        <f t="shared" si="2"/>
        <v>0.79025443657898586</v>
      </c>
      <c r="K6" s="3">
        <f t="shared" si="3"/>
        <v>-0.23540031375603082</v>
      </c>
      <c r="L6" s="3">
        <f t="shared" si="4"/>
        <v>0.17230510855134057</v>
      </c>
      <c r="M6" s="3">
        <f t="shared" si="5"/>
        <v>0.56375059592183063</v>
      </c>
      <c r="N6" s="35">
        <f t="shared" si="6"/>
        <v>1.1077630410511592</v>
      </c>
      <c r="P6" s="116"/>
      <c r="Q6" s="76">
        <f t="shared" si="7"/>
        <v>0.79109681479231753</v>
      </c>
      <c r="R6" s="3">
        <f t="shared" si="8"/>
        <v>0.17114866464024309</v>
      </c>
      <c r="S6" s="3">
        <f t="shared" si="9"/>
        <v>0.56563225238121961</v>
      </c>
      <c r="T6" s="35">
        <f t="shared" si="10"/>
        <v>1.1064329654822378</v>
      </c>
      <c r="V6" s="116"/>
      <c r="W6" s="76">
        <f t="shared" si="11"/>
        <v>-2.4427480916030531E-3</v>
      </c>
      <c r="X6" s="3">
        <f t="shared" si="12"/>
        <v>1.783887755037992E-3</v>
      </c>
      <c r="Y6" s="3">
        <f t="shared" si="13"/>
        <v>-5.9394269657924575E-3</v>
      </c>
      <c r="Z6" s="35">
        <f t="shared" si="14"/>
        <v>1.0539307825863514E-3</v>
      </c>
      <c r="AB6" s="116"/>
      <c r="AC6" s="76">
        <f t="shared" si="15"/>
        <v>0.79220779220779225</v>
      </c>
      <c r="AD6" s="3">
        <f t="shared" si="16"/>
        <v>-0.23293155768037255</v>
      </c>
      <c r="AE6" s="3">
        <f t="shared" si="17"/>
        <v>0.17051425775727211</v>
      </c>
      <c r="AF6" s="3">
        <f t="shared" si="18"/>
        <v>0.56713140481503288</v>
      </c>
      <c r="AG6" s="35">
        <f t="shared" si="19"/>
        <v>1.1066098274692282</v>
      </c>
      <c r="AI6" s="133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Law et al.</v>
      </c>
      <c r="AN6" s="6">
        <f t="shared" si="21"/>
        <v>13100</v>
      </c>
      <c r="AO6" s="3">
        <f t="shared" si="22"/>
        <v>0.79025443657898586</v>
      </c>
      <c r="AP6" s="3">
        <f t="shared" si="23"/>
        <v>33.682451456655855</v>
      </c>
      <c r="AQ6" s="3">
        <f t="shared" si="24"/>
        <v>33.682451456655855</v>
      </c>
      <c r="AR6" s="3">
        <f t="shared" si="25"/>
        <v>0.17230510855134057</v>
      </c>
      <c r="AS6" s="3">
        <f t="shared" si="26"/>
        <v>0.56375059592183063</v>
      </c>
      <c r="AT6" s="3">
        <f t="shared" si="27"/>
        <v>1.1077630410511592</v>
      </c>
      <c r="AU6" s="80">
        <f t="shared" si="28"/>
        <v>8.5141161444158606E-2</v>
      </c>
      <c r="AW6" s="44">
        <f t="shared" si="29"/>
        <v>0.79025443657898586</v>
      </c>
      <c r="AX6" s="3">
        <f t="shared" si="30"/>
        <v>0.22650384065715523</v>
      </c>
      <c r="AY6" s="35">
        <f t="shared" si="31"/>
        <v>0.31750860447217333</v>
      </c>
      <c r="BA6" s="2" t="s">
        <v>291</v>
      </c>
      <c r="BB6" s="3">
        <f>'Forest Plot'!$B$16-CES_PI_Lower_limit</f>
        <v>9.4488364214009968E-2</v>
      </c>
      <c r="BD6" s="133"/>
      <c r="BE6" s="120"/>
      <c r="BF6" s="3">
        <f t="shared" si="32"/>
        <v>-0.23540031375603082</v>
      </c>
      <c r="BG6" s="3">
        <f t="shared" si="33"/>
        <v>0.17230510855134057</v>
      </c>
      <c r="BH6" s="3">
        <f t="shared" si="34"/>
        <v>33.682451456655855</v>
      </c>
      <c r="BI6" s="3">
        <f t="shared" si="99"/>
        <v>33.682451456655855</v>
      </c>
      <c r="BJ6" s="35">
        <f t="shared" si="35"/>
        <v>-0.25002415991362853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-8.3117585613645739E-2</v>
      </c>
      <c r="BO6" s="116"/>
      <c r="BP6" s="3">
        <f t="shared" si="36"/>
        <v>30.141450381679391</v>
      </c>
      <c r="BQ6" s="3">
        <f t="shared" si="37"/>
        <v>38.141450381679391</v>
      </c>
      <c r="BR6" s="3">
        <f t="shared" si="38"/>
        <v>15.033911205640697</v>
      </c>
      <c r="BS6" s="3">
        <f>IF(AND(Sufficient_data="Yes",Include_study?="Yes"),IF(Add_0_5="Yes",(a_+d_+1)*(ab_+0.5)*(c_+0.5)/(Number_of_subjects+2)^2,(a_+d_)*b_*c_/Number_of_subjects^2),"")</f>
        <v>19.024140213274286</v>
      </c>
      <c r="BT6" s="3">
        <f t="shared" si="39"/>
        <v>15.107539176038692</v>
      </c>
      <c r="BU6" s="3">
        <f t="shared" si="40"/>
        <v>19.117310168405105</v>
      </c>
      <c r="BV6" s="3">
        <f t="shared" si="41"/>
        <v>38.141450381679391</v>
      </c>
      <c r="BW6" s="3">
        <f t="shared" si="42"/>
        <v>2.1085584425466783</v>
      </c>
      <c r="BX6" s="3">
        <f t="shared" si="43"/>
        <v>33.682451456655855</v>
      </c>
      <c r="BY6" s="35">
        <f t="shared" si="44"/>
        <v>-0.25002415991362853</v>
      </c>
      <c r="CA6" s="3" t="s">
        <v>292</v>
      </c>
      <c r="CB6" s="3">
        <f>lnCES_OddsRatio_MH+ABS(TINV((1-Confidence_level),k_-1))*SElnCES_MH</f>
        <v>0.11236527792884117</v>
      </c>
      <c r="CD6" s="116"/>
      <c r="CE6" s="76">
        <f t="shared" si="45"/>
        <v>69</v>
      </c>
      <c r="CF6" s="3">
        <f t="shared" si="46"/>
        <v>34.139170929078553</v>
      </c>
      <c r="CG6" s="3">
        <f t="shared" si="47"/>
        <v>-0.23433492326510716</v>
      </c>
      <c r="CH6" s="3">
        <f t="shared" si="48"/>
        <v>2.9291865408138395E-2</v>
      </c>
      <c r="CI6" s="3">
        <f t="shared" si="49"/>
        <v>34.139170929078553</v>
      </c>
      <c r="CJ6" s="3">
        <f t="shared" si="50"/>
        <v>34.139170929078553</v>
      </c>
      <c r="CK6" s="35">
        <f t="shared" si="51"/>
        <v>-0.24913431310239315</v>
      </c>
      <c r="CM6" s="3" t="s">
        <v>292</v>
      </c>
      <c r="CN6" s="3">
        <f>lnCES_PetoOddsRatio+ABS(TINV((1-Confidence_level),k_-1))*SElnCES_Peto</f>
        <v>0.11241390646542018</v>
      </c>
      <c r="CP6" s="116"/>
      <c r="CQ6" s="52">
        <f t="shared" si="52"/>
        <v>1.1755725190839695E-2</v>
      </c>
      <c r="CS6" s="2" t="s">
        <v>293</v>
      </c>
      <c r="CT6" s="3">
        <f>IF(Weighting_method="Inverse variance",IF(Model_effect_size_measure="Odds Ratio",PICES_LL,""),"")</f>
        <v>0.92024293352802067</v>
      </c>
      <c r="CU6" s="3">
        <f>IF(Model_effect_size_measure="Odds Ratio",PICES_LL_MH,"")</f>
        <v>0.92024293352802067</v>
      </c>
      <c r="CV6" s="3" t="str">
        <f>IF(Model_effect_size_measure="Peto Odds Ratio",PICES_LL_Peto,"")</f>
        <v/>
      </c>
      <c r="CX6" s="133"/>
      <c r="CY6" s="48">
        <f t="shared" si="53"/>
        <v>5</v>
      </c>
      <c r="CZ6" s="6" t="str">
        <f t="shared" si="54"/>
        <v>Law et al.</v>
      </c>
      <c r="DA6" s="17" t="str">
        <f t="shared" si="55"/>
        <v>Acted</v>
      </c>
      <c r="DB6" s="3">
        <f t="shared" si="56"/>
        <v>-0.23540031375603082</v>
      </c>
      <c r="DC6" s="3">
        <f t="shared" si="57"/>
        <v>0.17230510855134057</v>
      </c>
      <c r="DD6" s="3">
        <f t="shared" si="58"/>
        <v>33.682451456655855</v>
      </c>
      <c r="DE6" s="3">
        <f t="shared" si="59"/>
        <v>29.610354584456115</v>
      </c>
      <c r="DF6" s="80">
        <f t="shared" si="60"/>
        <v>0.15741973128535233</v>
      </c>
      <c r="DG6" s="3">
        <f t="shared" si="61"/>
        <v>0.79025443657898586</v>
      </c>
      <c r="DH6" s="3">
        <f t="shared" si="62"/>
        <v>0.5637505972651975</v>
      </c>
      <c r="DI6" s="3">
        <f t="shared" si="63"/>
        <v>1.1077630384114598</v>
      </c>
      <c r="DJ6" s="35">
        <f t="shared" si="64"/>
        <v>-0.26501642324600949</v>
      </c>
      <c r="DL6" s="44">
        <f t="shared" si="65"/>
        <v>0.79025443657898586</v>
      </c>
      <c r="DM6" s="3">
        <f t="shared" si="100"/>
        <v>0.22650383931378837</v>
      </c>
      <c r="DN6" s="35">
        <f t="shared" si="101"/>
        <v>0.31750860183247398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-2.4070248880696449E-2</v>
      </c>
      <c r="FA6" s="13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294</v>
      </c>
      <c r="FP6" s="3" t="str">
        <f>IF(FP3&lt;&gt;"",SUM(FH:FH),"")</f>
        <v/>
      </c>
      <c r="FR6" s="133"/>
      <c r="FS6" s="120"/>
      <c r="FT6" s="76">
        <f>IF(AND(Include_study?="Yes",Sufficient_data="Yes"),IF(Additional_weighting_method="Inverse Variance",1/'Publication Bias Analysis'!F:F^2,IF(Additional_weighting_method="Mantel-Haenszel",Weightf_MH,Weightf_Peto)),"")</f>
        <v>33.682451456655855</v>
      </c>
      <c r="FU6" s="3">
        <f>IF(AND(Include_study?="Yes",Sufficient_data="Yes"),1/('Publication Bias Analysis'!F:F^2+IF(Additional_model="Fixed effect",0,Calculations!GH$12)),"")</f>
        <v>33.682451456655855</v>
      </c>
      <c r="FV6" s="3">
        <f>IF(AND(Include_study?="Yes",Sufficient_data="Yes"),1/('Publication Bias Analysis'!F:F^2+IF(Additional_model="Fixed effect",0,'Publication Bias Analysis'!L$32)),"")</f>
        <v>33.682451456655855</v>
      </c>
      <c r="FW6" s="3">
        <f>IF(AND(Include_study?="Yes",Sufficient_data="Yes"),'Publication Bias Analysis'!E:E-'Publication Bias Analysis'!I$37,"")</f>
        <v>-0.25002415991362853</v>
      </c>
      <c r="FX6" s="3">
        <f>IF(AND(Include_study?="Yes",Sufficient_data="Yes"),IF(Additional_model="Fixed effect",1/'Publication Bias Analysis'!F:F,1/SQRT('Publication Bias Analysis'!F:F^2+GH$12)),"")</f>
        <v>5.8036584545143466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-1.3661830211255181</v>
      </c>
      <c r="FZ6" s="6">
        <f t="shared" si="80"/>
        <v>-12</v>
      </c>
      <c r="GA6" s="83">
        <f>IF(AND(Include_study?="Yes",Sufficient_data="Yes"),FZ:FZ+IF(GL:GL&lt;0,-1,1)*COUNTIF(FZ$2:FZ5,FZ:FZ),"")</f>
        <v>-12</v>
      </c>
      <c r="GB6" s="83">
        <f>IF(AND(Include_study?="Yes",Sufficient_data="Yes"),RANK(GP:GP,GP:GP,1)*IF(GO:GO&lt;0,-1,1)+IF(GO:GO&lt;0,-1,1)*COUNTIF(FZ$2:FZ5,FZ:FZ),"")</f>
        <v>-12</v>
      </c>
      <c r="GC6" s="83">
        <f>IF(AND(Include_study?="Yes",Sufficient_data="Yes"),RANK(GS:GS,GS:GS,1)*IF(GR:GR&lt;0,-1,1)+IF(GR:GR&lt;0,-1,1)*COUNTIF(FZ$2:FZ5,FZ:FZ),"")</f>
        <v>-12</v>
      </c>
      <c r="GD6" s="3">
        <f>IF(AND(Include_study?="Yes",Sufficient_data="Yes"),'Publication Bias Analysis'!E6,NA())</f>
        <v>-0.23540031375603082</v>
      </c>
      <c r="GE6" s="35">
        <f>IF(AND(Include_study?="Yes",Sufficient_data="Yes"),'Publication Bias Analysis'!F6,NA())</f>
        <v>0.17230510855134057</v>
      </c>
      <c r="GG6" s="24" t="s">
        <v>295</v>
      </c>
      <c r="GH6" s="2" t="s">
        <v>242</v>
      </c>
      <c r="GI6" s="2" t="s">
        <v>243</v>
      </c>
      <c r="GK6" s="116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-0.25002415991362853</v>
      </c>
      <c r="GM6" s="3">
        <f t="shared" si="81"/>
        <v>0.25002415991362853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33.682451456655855</v>
      </c>
      <c r="GO6" s="3">
        <f>IF(AND(Include_study?="Yes",Sufficient_data="Yes"),IF('Publication Bias Analysis'!L$38="Left",'Publication Bias Analysis'!E:E-GW$3,GW$3-'Publication Bias Analysis'!E:E),"")</f>
        <v>-0.25002415991362853</v>
      </c>
      <c r="GP6" s="3">
        <f t="shared" si="82"/>
        <v>0.25002415991362853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33.682451456655855</v>
      </c>
      <c r="GR6" s="3">
        <f>IF(AND(Include_study?="Yes",Sufficient_data="Yes"),IF('Publication Bias Analysis'!L$38="Left",'Publication Bias Analysis'!E:E-GW$10,GW$10-'Publication Bias Analysis'!E:E),"")</f>
        <v>-0.25002415991362853</v>
      </c>
      <c r="GS6" s="3">
        <f t="shared" si="83"/>
        <v>0.25002415991362853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33.682451456655855</v>
      </c>
      <c r="GV6" s="2" t="s">
        <v>145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6"/>
      <c r="HL6" s="3">
        <f t="shared" si="89"/>
        <v>0.30192986487067852</v>
      </c>
      <c r="HM6" s="35">
        <f>IF(AND(Include_study?="Yes",Sufficient_data="Yes"),Z_score-('Publication Bias Analysis'!P$3+'Publication Bias Analysis'!P$4*Inverse_standard_error),"")</f>
        <v>-1.4705236919923226</v>
      </c>
      <c r="HO6" s="116"/>
      <c r="HP6" s="3">
        <f>IF(AND(Include_study?="Yes",Sufficient_data="Yes"),(GD:GD-SUMPRODUCT(Calculations!FT:FT,'Publication Bias Analysis'!E:E)/SUM(Calculations!FT:FT))/SQRT(Calculations!HQ:HQ),"")</f>
        <v>-1.5170740472229891</v>
      </c>
      <c r="HQ6" s="3">
        <f>IF(AND(Include_study?="Yes",Sufficient_data="Yes"),GE:GE^2-1/SUM(Calculations!FT:FT),"")</f>
        <v>2.7161290196858867E-2</v>
      </c>
      <c r="HR6" s="6">
        <f t="shared" si="90"/>
        <v>13</v>
      </c>
      <c r="HS6" s="6">
        <f t="shared" si="91"/>
        <v>9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8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4</v>
      </c>
      <c r="HW6" s="116"/>
      <c r="HX6" s="20">
        <v>5</v>
      </c>
      <c r="HY6" s="3">
        <f t="shared" si="123"/>
        <v>-0.2</v>
      </c>
      <c r="HZ6" s="35">
        <f>1/2*HY14</f>
        <v>0.2</v>
      </c>
      <c r="IB6" s="116"/>
      <c r="IC6" s="76">
        <f t="shared" si="92"/>
        <v>9.3129770992366415E-3</v>
      </c>
      <c r="ID6" s="3">
        <f t="shared" si="93"/>
        <v>1.1755725190839695E-2</v>
      </c>
      <c r="IE6" s="3">
        <f t="shared" si="94"/>
        <v>34.393676509715974</v>
      </c>
      <c r="IF6" s="35">
        <f t="shared" si="95"/>
        <v>33.682451456655855</v>
      </c>
      <c r="IH6" s="3">
        <v>0</v>
      </c>
      <c r="II6" s="3">
        <v>0</v>
      </c>
      <c r="IK6" s="116"/>
      <c r="IL6" s="3">
        <f>IF(AND(Include_study?="Yes",Sufficient_data="Yes"),'Publication Bias Analysis'!AV:AV,NA())</f>
        <v>-1.3661830211255181</v>
      </c>
      <c r="IM6" s="3">
        <f>IF(AND(Sufficient_data="Yes",Include_study?="Yes"),'Publication Bias Analysis'!AU:AU,NA())</f>
        <v>5.8036584545143466</v>
      </c>
      <c r="IN6" s="3">
        <f t="shared" si="96"/>
        <v>0.30192986487067852</v>
      </c>
      <c r="IO6" s="35">
        <f>IF(AND(Include_study?="Yes",Sufficient_data="Yes"),Z_score-('Publication Bias Analysis'!AY$30+'Publication Bias Analysis'!AY$31*Inverse_standard_error),"")</f>
        <v>-1.4510548295155772</v>
      </c>
      <c r="IQ6" s="2" t="s">
        <v>98</v>
      </c>
      <c r="IR6" s="3">
        <v>0</v>
      </c>
      <c r="IS6" s="3">
        <f>ABS(TINV((1-Additional_confidence_level),k_-1))*-1</f>
        <v>-2.178812829667228</v>
      </c>
      <c r="IU6" s="116"/>
      <c r="IV6" s="6">
        <f>IF('Publication Bias Analysis'!BG:BG&lt;&gt;"",RANK('Publication Bias Analysis'!BG:BG,'Publication Bias Analysis'!BG:BG,1)+COUNTIF('Publication Bias Analysis'!BG$2:BG5,'Publication Bias Analysis'!BG6),"")</f>
        <v>1</v>
      </c>
      <c r="IW6" s="3">
        <f t="shared" si="97"/>
        <v>0.05</v>
      </c>
      <c r="IX6" s="3">
        <f>IF('Publication Bias Analysis'!BF6&lt;&gt;"",'Publication Bias Analysis'!BF6,NA())</f>
        <v>-1.6448536269514726</v>
      </c>
      <c r="IY6" s="3">
        <f>IF('Publication Bias Analysis'!BG6&lt;&gt;"",'Publication Bias Analysis'!BG6,NA())</f>
        <v>-1.3661830211255181</v>
      </c>
      <c r="IZ6" s="3">
        <f>IF(AND(Include_study?="Yes",Sufficient_data="Yes"),'Publication Bias Analysis'!BF:BF-AVERAGE('Publication Bias Analysis'!BF:BF),"")</f>
        <v>-1.6448536269514724</v>
      </c>
      <c r="JA6" s="35">
        <f>IF(AND(Include_study?="Yes",Sufficient_data="Yes"),'Publication Bias Analysis'!BG:BG-('Publication Bias Analysis'!BJ$30+'Publication Bias Analysis'!BJ$31*'Publication Bias Analysis'!BF:BF),"")</f>
        <v>9.6865075724898553E-2</v>
      </c>
      <c r="JC6" s="2" t="s">
        <v>282</v>
      </c>
      <c r="JD6" s="3">
        <f>MIN('Publication Bias Analysis'!BF:BF)</f>
        <v>-1.6448536269514726</v>
      </c>
      <c r="JE6" s="3">
        <f>'Publication Bias Analysis'!BJ30</f>
        <v>7.8348250602513228E-2</v>
      </c>
      <c r="JG6" s="116"/>
      <c r="JH6" s="3">
        <f t="shared" si="98"/>
        <v>-1.3661830211255181</v>
      </c>
      <c r="JI6" s="10">
        <f t="shared" si="124"/>
        <v>8.5940762662790493E-2</v>
      </c>
      <c r="JJ6" s="35">
        <f t="shared" si="125"/>
        <v>-2.454097026311266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65</v>
      </c>
      <c r="C7" s="6">
        <f>IF(AND(Include_study?="Yes",Sufficient_data="Yes"),IF(Input!b_&lt;&gt;"",Input!b_,Input!n1_-Input!a_),"")</f>
        <v>5466</v>
      </c>
      <c r="D7" s="6">
        <f>IF(AND(Include_study?="Yes",Sufficient_data="Yes"),IF(Input!c_&lt;&gt;"",Input!c_,Input!n2_-Input!d_),"")</f>
        <v>62</v>
      </c>
      <c r="E7" s="6">
        <f>IF(AND(Include_study?="Yes",Sufficient_data="Yes"),IF(Input!d_&lt;&gt;"",Input!d_,Input!n2_-Input!c_),"")</f>
        <v>5469</v>
      </c>
      <c r="F7" s="35" t="str">
        <f t="shared" si="1"/>
        <v>No</v>
      </c>
      <c r="H7" s="133"/>
      <c r="I7" s="120"/>
      <c r="J7" s="76">
        <f t="shared" si="2"/>
        <v>1.0489625013278567</v>
      </c>
      <c r="K7" s="3">
        <f t="shared" si="3"/>
        <v>4.7801581709305027E-2</v>
      </c>
      <c r="L7" s="3">
        <f t="shared" si="4"/>
        <v>0.17854816035701551</v>
      </c>
      <c r="M7" s="3">
        <f t="shared" si="5"/>
        <v>0.73920153417594681</v>
      </c>
      <c r="N7" s="35">
        <f t="shared" si="6"/>
        <v>1.4885282001188218</v>
      </c>
      <c r="P7" s="116"/>
      <c r="Q7" s="76">
        <f t="shared" si="7"/>
        <v>1.0489487486555662</v>
      </c>
      <c r="R7" s="3">
        <f t="shared" si="8"/>
        <v>0.17849084175494598</v>
      </c>
      <c r="S7" s="3">
        <f t="shared" si="9"/>
        <v>0.73927489903560251</v>
      </c>
      <c r="T7" s="35">
        <f t="shared" si="10"/>
        <v>1.4883414528769081</v>
      </c>
      <c r="V7" s="116"/>
      <c r="W7" s="76">
        <f t="shared" si="11"/>
        <v>5.4239739649249684E-4</v>
      </c>
      <c r="X7" s="3">
        <f t="shared" si="12"/>
        <v>2.025766389984108E-3</v>
      </c>
      <c r="Y7" s="3">
        <f t="shared" si="13"/>
        <v>-3.4284663245138175E-3</v>
      </c>
      <c r="Z7" s="35">
        <f t="shared" si="14"/>
        <v>4.5132611174988112E-3</v>
      </c>
      <c r="AB7" s="116"/>
      <c r="AC7" s="76">
        <f t="shared" si="15"/>
        <v>1.0483870967741935</v>
      </c>
      <c r="AD7" s="3">
        <f t="shared" si="16"/>
        <v>4.7252884850545511E-2</v>
      </c>
      <c r="AE7" s="3">
        <f t="shared" si="17"/>
        <v>0.17649943166580331</v>
      </c>
      <c r="AF7" s="3">
        <f t="shared" si="18"/>
        <v>0.74176892501375324</v>
      </c>
      <c r="AG7" s="35">
        <f t="shared" si="19"/>
        <v>1.4817491911813956</v>
      </c>
      <c r="AI7" s="133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Latif et al.</v>
      </c>
      <c r="AN7" s="6">
        <f t="shared" si="21"/>
        <v>11062</v>
      </c>
      <c r="AO7" s="3">
        <f t="shared" si="22"/>
        <v>1.0489625013278567</v>
      </c>
      <c r="AP7" s="3">
        <f t="shared" si="23"/>
        <v>31.368174139110049</v>
      </c>
      <c r="AQ7" s="3">
        <f t="shared" si="24"/>
        <v>31.368174139110049</v>
      </c>
      <c r="AR7" s="3">
        <f t="shared" si="25"/>
        <v>0.17854816035701551</v>
      </c>
      <c r="AS7" s="3">
        <f t="shared" si="26"/>
        <v>0.73920153417594681</v>
      </c>
      <c r="AT7" s="3">
        <f t="shared" si="27"/>
        <v>1.4885282001188218</v>
      </c>
      <c r="AU7" s="80">
        <f t="shared" si="28"/>
        <v>7.9291223265719246E-2</v>
      </c>
      <c r="AW7" s="44">
        <f t="shared" si="29"/>
        <v>1.0489625013278567</v>
      </c>
      <c r="AX7" s="3">
        <f t="shared" si="30"/>
        <v>0.30976096715190993</v>
      </c>
      <c r="AY7" s="35">
        <f t="shared" si="31"/>
        <v>0.43956569879096508</v>
      </c>
      <c r="BA7" s="2" t="s">
        <v>296</v>
      </c>
      <c r="BB7" s="3">
        <f>CES_PI_Upper_limit-'Forest Plot'!$B$16</f>
        <v>0.10419020559366721</v>
      </c>
      <c r="BD7" s="133"/>
      <c r="BE7" s="120"/>
      <c r="BF7" s="3">
        <f t="shared" si="32"/>
        <v>4.7801581709305027E-2</v>
      </c>
      <c r="BG7" s="3">
        <f t="shared" si="33"/>
        <v>0.17854816035701551</v>
      </c>
      <c r="BH7" s="3">
        <f t="shared" si="34"/>
        <v>31.368174139110049</v>
      </c>
      <c r="BI7" s="3">
        <f t="shared" si="99"/>
        <v>31.368174139110049</v>
      </c>
      <c r="BJ7" s="35">
        <f t="shared" si="35"/>
        <v>3.3177735551707332E-2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0.11236527792884113</v>
      </c>
      <c r="BO7" s="116"/>
      <c r="BP7" s="3">
        <f t="shared" si="36"/>
        <v>32.135689748689209</v>
      </c>
      <c r="BQ7" s="3">
        <f t="shared" si="37"/>
        <v>30.635689748689206</v>
      </c>
      <c r="BR7" s="3">
        <f t="shared" si="38"/>
        <v>16.076560031571692</v>
      </c>
      <c r="BS7" s="3">
        <f>IF(AND(Sufficient_data="Yes",Include_study?="Yes"),IF(Add_0_5="Yes",(a_+d_+1)*(ab_+0.5)*(c_+0.5)/(Number_of_subjects+2)^2,(a_+d_)*b_*c_/Number_of_subjects^2),"")</f>
        <v>15.326153233524323</v>
      </c>
      <c r="BT7" s="3">
        <f t="shared" si="39"/>
        <v>16.059129717117514</v>
      </c>
      <c r="BU7" s="3">
        <f t="shared" si="40"/>
        <v>15.309536515164883</v>
      </c>
      <c r="BV7" s="3">
        <f t="shared" si="41"/>
        <v>30.635689748689206</v>
      </c>
      <c r="BW7" s="3">
        <f t="shared" si="42"/>
        <v>3.4159488828667685E-2</v>
      </c>
      <c r="BX7" s="3">
        <f t="shared" si="43"/>
        <v>31.368174139110049</v>
      </c>
      <c r="BY7" s="35">
        <f t="shared" si="44"/>
        <v>3.3177735551707319E-2</v>
      </c>
      <c r="CA7" s="3" t="s">
        <v>297</v>
      </c>
      <c r="CB7" s="3">
        <f>lnCES_OddsRatio_MH-ABS(TINV((1-Confidence_level),k_-1))*SQRT(T2_MH+SElnCES_MH^2)</f>
        <v>-8.3117585613645753E-2</v>
      </c>
      <c r="CD7" s="116"/>
      <c r="CE7" s="76">
        <f t="shared" si="45"/>
        <v>63.5</v>
      </c>
      <c r="CF7" s="3">
        <f t="shared" si="46"/>
        <v>31.388323840520748</v>
      </c>
      <c r="CG7" s="3">
        <f t="shared" si="47"/>
        <v>4.7788470885583745E-2</v>
      </c>
      <c r="CH7" s="3">
        <f t="shared" si="48"/>
        <v>3.1858980590389163E-2</v>
      </c>
      <c r="CI7" s="3">
        <f t="shared" si="49"/>
        <v>31.388323840520748</v>
      </c>
      <c r="CJ7" s="3">
        <f t="shared" si="50"/>
        <v>31.388323840520751</v>
      </c>
      <c r="CK7" s="35">
        <f t="shared" si="51"/>
        <v>3.2989081048297765E-2</v>
      </c>
      <c r="CM7" s="3" t="s">
        <v>297</v>
      </c>
      <c r="CN7" s="3">
        <f>lnCES_PetoOddsRatio-ABS(TINV((1-Confidence_level),k_-1))*SQRT(T2_Peto+SElnCES_Peto^2)</f>
        <v>-8.2815126790848237E-2</v>
      </c>
      <c r="CP7" s="116"/>
      <c r="CQ7" s="52">
        <f t="shared" si="52"/>
        <v>1.1209546194178268E-2</v>
      </c>
      <c r="CS7" s="2" t="s">
        <v>298</v>
      </c>
      <c r="CT7" s="3">
        <f>IF(Weighting_method="Inverse variance",IF(Model_effect_size_measure="Odds Ratio",PICES_UL,""),"")</f>
        <v>1.1189215033356978</v>
      </c>
      <c r="CU7" s="3">
        <f>IF(Model_effect_size_measure="Odds Ratio",PICES_UL_MH,"")</f>
        <v>1.1189215033356981</v>
      </c>
      <c r="CV7" s="3" t="str">
        <f>IF(Model_effect_size_measure="Peto Odds Ratio",PICES_UL_Peto,"")</f>
        <v/>
      </c>
      <c r="CX7" s="133"/>
      <c r="CY7" s="48">
        <f t="shared" si="53"/>
        <v>6</v>
      </c>
      <c r="CZ7" s="6" t="str">
        <f t="shared" si="54"/>
        <v>Latif et al.</v>
      </c>
      <c r="DA7" s="17" t="str">
        <f t="shared" si="55"/>
        <v>Acted</v>
      </c>
      <c r="DB7" s="3">
        <f t="shared" si="56"/>
        <v>4.7801581709305027E-2</v>
      </c>
      <c r="DC7" s="3">
        <f t="shared" si="57"/>
        <v>0.17854816035701551</v>
      </c>
      <c r="DD7" s="3">
        <f t="shared" si="58"/>
        <v>31.368174139110049</v>
      </c>
      <c r="DE7" s="3">
        <f t="shared" si="59"/>
        <v>27.806847591388159</v>
      </c>
      <c r="DF7" s="80">
        <f t="shared" si="60"/>
        <v>0.14783161286514779</v>
      </c>
      <c r="DG7" s="3">
        <f t="shared" si="61"/>
        <v>1.0489625013278567</v>
      </c>
      <c r="DH7" s="3">
        <f t="shared" si="62"/>
        <v>0.73920153673593503</v>
      </c>
      <c r="DI7" s="3">
        <f t="shared" si="63"/>
        <v>1.4885281949637803</v>
      </c>
      <c r="DJ7" s="35">
        <f t="shared" si="64"/>
        <v>1.8185472219326385E-2</v>
      </c>
      <c r="DL7" s="44">
        <f t="shared" si="65"/>
        <v>1.0489625013278567</v>
      </c>
      <c r="DM7" s="3">
        <f t="shared" si="100"/>
        <v>0.30976096459192171</v>
      </c>
      <c r="DN7" s="35">
        <f t="shared" si="101"/>
        <v>0.43956569363592357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4.2403576687503386E-2</v>
      </c>
      <c r="FA7" s="13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3"/>
      <c r="FS7" s="120"/>
      <c r="FT7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7" s="3">
        <f>IF(AND(Include_study?="Yes",Sufficient_data="Yes"),1/('Publication Bias Analysis'!F:F^2+IF(Additional_model="Fixed effect",0,Calculations!GH$12)),"")</f>
        <v>31.368174139110049</v>
      </c>
      <c r="FV7" s="3">
        <f>IF(AND(Include_study?="Yes",Sufficient_data="Yes"),1/('Publication Bias Analysis'!F:F^2+IF(Additional_model="Fixed effect",0,'Publication Bias Analysis'!L$32)),"")</f>
        <v>31.368174139110049</v>
      </c>
      <c r="FW7" s="3">
        <f>IF(AND(Include_study?="Yes",Sufficient_data="Yes"),'Publication Bias Analysis'!E:E-'Publication Bias Analysis'!I$37,"")</f>
        <v>3.3177735551707332E-2</v>
      </c>
      <c r="FX7" s="3">
        <f>IF(AND(Include_study?="Yes",Sufficient_data="Yes"),IF(Additional_model="Fixed effect",1/'Publication Bias Analysis'!F:F,1/SQRT('Publication Bias Analysis'!F:F^2+GH$12)),"")</f>
        <v>5.6007297862966077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7" s="6">
        <f t="shared" si="80"/>
        <v>1</v>
      </c>
      <c r="GA7" s="83">
        <f>IF(AND(Include_study?="Yes",Sufficient_data="Yes"),FZ:FZ+IF(GL:GL&lt;0,-1,1)*COUNTIF(FZ$2:FZ6,FZ:FZ),"")</f>
        <v>1</v>
      </c>
      <c r="GB7" s="83">
        <f>IF(AND(Include_study?="Yes",Sufficient_data="Yes"),RANK(GP:GP,GP:GP,1)*IF(GO:GO&lt;0,-1,1)+IF(GO:GO&lt;0,-1,1)*COUNTIF(FZ$2:FZ6,FZ:FZ),"")</f>
        <v>1</v>
      </c>
      <c r="GC7" s="83">
        <f>IF(AND(Include_study?="Yes",Sufficient_data="Yes"),RANK(GS:GS,GS:GS,1)*IF(GR:GR&lt;0,-1,1)+IF(GR:GR&lt;0,-1,1)*COUNTIF(FZ$2:FZ6,FZ:FZ),"")</f>
        <v>1</v>
      </c>
      <c r="GD7" s="3">
        <f>IF(AND(Include_study?="Yes",Sufficient_data="Yes"),'Publication Bias Analysis'!E7,NA())</f>
        <v>4.7801581709305027E-2</v>
      </c>
      <c r="GE7" s="35">
        <f>IF(AND(Include_study?="Yes",Sufficient_data="Yes"),'Publication Bias Analysis'!F7,NA())</f>
        <v>0.17854816035701551</v>
      </c>
      <c r="GG7" s="2" t="s">
        <v>245</v>
      </c>
      <c r="GH7" s="3">
        <f>IF(Trim_and_fill="Off",'Publication Bias Analysis'!I29,'Publication Bias Analysis'!I37)</f>
        <v>1.4623846157597693E-2</v>
      </c>
      <c r="GI7" s="3">
        <v>0</v>
      </c>
      <c r="GK7" s="116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3.3177735551707332E-2</v>
      </c>
      <c r="GM7" s="3">
        <f t="shared" si="81"/>
        <v>3.3177735551707332E-2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7" s="3">
        <f>IF(AND(Include_study?="Yes",Sufficient_data="Yes"),IF('Publication Bias Analysis'!L$38="Left",'Publication Bias Analysis'!E:E-GW$3,GW$3-'Publication Bias Analysis'!E:E),"")</f>
        <v>3.3177735551707332E-2</v>
      </c>
      <c r="GP7" s="3">
        <f t="shared" si="82"/>
        <v>3.3177735551707332E-2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7" s="3">
        <f>IF(AND(Include_study?="Yes",Sufficient_data="Yes"),IF('Publication Bias Analysis'!L$38="Left",'Publication Bias Analysis'!E:E-GW$10,GW$10-'Publication Bias Analysis'!E:E),"")</f>
        <v>3.3177735551707332E-2</v>
      </c>
      <c r="GS7" s="3">
        <f t="shared" si="83"/>
        <v>3.3177735551707332E-2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V7" s="36" t="s">
        <v>299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6"/>
      <c r="HL7" s="3">
        <f t="shared" si="89"/>
        <v>9.9001196652939605E-2</v>
      </c>
      <c r="HM7" s="35">
        <f>IF(AND(Include_study?="Yes",Sufficient_data="Yes"),Z_score-('Publication Bias Analysis'!P$3+'Publication Bias Analysis'!P$4*Inverse_standard_error),"")</f>
        <v>0.18085271556420707</v>
      </c>
      <c r="HO7" s="116"/>
      <c r="HP7" s="3">
        <f>IF(AND(Include_study?="Yes",Sufficient_data="Yes"),(GD:GD-SUMPRODUCT(Calculations!FT:FT,'Publication Bias Analysis'!E:E)/SUM(Calculations!FT:FT))/SQRT(Calculations!HQ:HQ),"")</f>
        <v>0.19365567119045726</v>
      </c>
      <c r="HQ7" s="3">
        <f>IF(AND(Include_study?="Yes",Sufficient_data="Yes"),GE:GE^2-1/SUM(Calculations!FT:FT),"")</f>
        <v>2.9351685330844136E-2</v>
      </c>
      <c r="HR7" s="6">
        <f t="shared" si="90"/>
        <v>6</v>
      </c>
      <c r="HS7" s="6">
        <f t="shared" si="91"/>
        <v>7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7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5</v>
      </c>
      <c r="HW7" s="116"/>
      <c r="HX7" s="20">
        <v>6</v>
      </c>
      <c r="HY7" s="3">
        <f t="shared" si="123"/>
        <v>0.2</v>
      </c>
      <c r="HZ7" s="35">
        <f>HZ6+HY14</f>
        <v>0.60000000000000009</v>
      </c>
      <c r="IB7" s="116"/>
      <c r="IC7" s="76">
        <f t="shared" si="92"/>
        <v>1.1751943590670765E-2</v>
      </c>
      <c r="ID7" s="3">
        <f t="shared" si="93"/>
        <v>1.1209546194178268E-2</v>
      </c>
      <c r="IE7" s="3">
        <f t="shared" si="94"/>
        <v>32.100616811904771</v>
      </c>
      <c r="IF7" s="35">
        <f t="shared" si="95"/>
        <v>31.368174139110049</v>
      </c>
      <c r="IH7" s="3">
        <f>MAX('Publication Bias Analysis'!AH:AH)</f>
        <v>8.223350253807106E-2</v>
      </c>
      <c r="II7" s="3">
        <f>EXP(SUMPRODUCT(LogRiskRatio,IE:IE)/SUM(IE:IE))*MAX('Publication Bias Analysis'!AH:AH)</f>
        <v>8.3260803126139329E-2</v>
      </c>
      <c r="IK7" s="116"/>
      <c r="IL7" s="3">
        <f>IF(AND(Include_study?="Yes",Sufficient_data="Yes"),'Publication Bias Analysis'!AV:AV,NA())</f>
        <v>0.2677237425113958</v>
      </c>
      <c r="IM7" s="3">
        <f>IF(AND(Sufficient_data="Yes",Include_study?="Yes"),'Publication Bias Analysis'!AU:AU,NA())</f>
        <v>5.6007297862966077</v>
      </c>
      <c r="IN7" s="3">
        <f t="shared" si="96"/>
        <v>9.9001196652939605E-2</v>
      </c>
      <c r="IO7" s="35">
        <f>IF(AND(Include_study?="Yes",Sufficient_data="Yes"),Z_score-('Publication Bias Analysis'!AY$30+'Publication Bias Analysis'!AY$31*Inverse_standard_error),"")</f>
        <v>0.18581953174631921</v>
      </c>
      <c r="IQ7" s="2" t="s">
        <v>285</v>
      </c>
      <c r="IR7" s="3">
        <f>MAX(Inverse_standard_error)</f>
        <v>6.0258232649491505</v>
      </c>
      <c r="IS7" s="3">
        <f>IR7*'Publication Bias Analysis'!AY31+IS6</f>
        <v>-2.0906921172677384</v>
      </c>
      <c r="IU7" s="116"/>
      <c r="IV7" s="6">
        <f>IF('Publication Bias Analysis'!BG:BG&lt;&gt;"",RANK('Publication Bias Analysis'!BG:BG,'Publication Bias Analysis'!BG:BG,1)+COUNTIF('Publication Bias Analysis'!BG$2:BG6,'Publication Bias Analysis'!BG7),"")</f>
        <v>8</v>
      </c>
      <c r="IW7" s="3">
        <f t="shared" si="97"/>
        <v>0.57499999999999996</v>
      </c>
      <c r="IX7" s="3">
        <f>IF('Publication Bias Analysis'!BF7&lt;&gt;"",'Publication Bias Analysis'!BF7,NA())</f>
        <v>0.18911842627279243</v>
      </c>
      <c r="IY7" s="3">
        <f>IF('Publication Bias Analysis'!BG7&lt;&gt;"",'Publication Bias Analysis'!BG7,NA())</f>
        <v>0.2677237425113958</v>
      </c>
      <c r="IZ7" s="3">
        <f>IF(AND(Include_study?="Yes",Sufficient_data="Yes"),'Publication Bias Analysis'!BF:BF-AVERAGE('Publication Bias Analysis'!BF:BF),"")</f>
        <v>0.18911842627279274</v>
      </c>
      <c r="JA7" s="35">
        <f>IF(AND(Include_study?="Yes",Sufficient_data="Yes"),'Publication Bias Analysis'!BG:BG-('Publication Bias Analysis'!BJ$30+'Publication Bias Analysis'!BJ$31*'Publication Bias Analysis'!BF:BF),"")</f>
        <v>1.2152153177400038E-2</v>
      </c>
      <c r="JC7" s="2" t="s">
        <v>288</v>
      </c>
      <c r="JD7" s="3">
        <f>MAX('Publication Bias Analysis'!BF:BF)</f>
        <v>1.6448536269514715</v>
      </c>
      <c r="JE7" s="3">
        <f>'Publication Bias Analysis'!BJ30</f>
        <v>7.8348250602513228E-2</v>
      </c>
      <c r="JG7" s="116"/>
      <c r="JH7" s="3">
        <f t="shared" si="98"/>
        <v>0.2677237425113958</v>
      </c>
      <c r="JI7" s="10">
        <f t="shared" si="124"/>
        <v>0.39445598642859414</v>
      </c>
      <c r="JJ7" s="35">
        <f t="shared" si="125"/>
        <v>-0.93024771290873365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66.099999999999994</v>
      </c>
      <c r="C8" s="6">
        <f>IF(AND(Include_study?="Yes",Sufficient_data="Yes"),IF(Input!b_&lt;&gt;"",Input!b_,Input!n1_-Input!a_),"")</f>
        <v>5431.9</v>
      </c>
      <c r="D8" s="6">
        <f>IF(AND(Include_study?="Yes",Sufficient_data="Yes"),IF(Input!c_&lt;&gt;"",Input!c_,Input!n2_-Input!d_),"")</f>
        <v>72.2</v>
      </c>
      <c r="E8" s="6">
        <f>IF(AND(Include_study?="Yes",Sufficient_data="Yes"),IF(Input!d_&lt;&gt;"",Input!d_,Input!n2_-Input!c_),"")</f>
        <v>5425.8</v>
      </c>
      <c r="F8" s="35" t="str">
        <f t="shared" si="1"/>
        <v>No</v>
      </c>
      <c r="H8" s="133"/>
      <c r="I8" s="120"/>
      <c r="J8" s="76">
        <f t="shared" si="2"/>
        <v>0.91448434886983176</v>
      </c>
      <c r="K8" s="3">
        <f t="shared" si="3"/>
        <v>-8.9394925710100992E-2</v>
      </c>
      <c r="L8" s="3">
        <f t="shared" si="4"/>
        <v>0.17131086018515415</v>
      </c>
      <c r="M8" s="3">
        <f t="shared" si="5"/>
        <v>0.65364230521356326</v>
      </c>
      <c r="N8" s="35">
        <f t="shared" si="6"/>
        <v>1.2794178370303673</v>
      </c>
      <c r="P8" s="116"/>
      <c r="Q8" s="76">
        <f t="shared" si="7"/>
        <v>0.91454415466527261</v>
      </c>
      <c r="R8" s="3">
        <f t="shared" si="8"/>
        <v>0.17113845364896654</v>
      </c>
      <c r="S8" s="3">
        <f t="shared" si="9"/>
        <v>0.65390600112436559</v>
      </c>
      <c r="T8" s="35">
        <f t="shared" si="10"/>
        <v>1.2790691772124383</v>
      </c>
      <c r="V8" s="116"/>
      <c r="W8" s="76">
        <f t="shared" si="11"/>
        <v>-1.1094943615860327E-3</v>
      </c>
      <c r="X8" s="3">
        <f t="shared" si="12"/>
        <v>2.1254579970695978E-3</v>
      </c>
      <c r="Y8" s="3">
        <f t="shared" si="13"/>
        <v>-5.2757741647336447E-3</v>
      </c>
      <c r="Z8" s="35">
        <f t="shared" si="14"/>
        <v>3.0567854415615792E-3</v>
      </c>
      <c r="AB8" s="116"/>
      <c r="AC8" s="76">
        <f t="shared" si="15"/>
        <v>0.91551246537396114</v>
      </c>
      <c r="AD8" s="3">
        <f t="shared" si="16"/>
        <v>-8.8271299041140033E-2</v>
      </c>
      <c r="AE8" s="3">
        <f t="shared" si="17"/>
        <v>0.16916039699104993</v>
      </c>
      <c r="AF8" s="3">
        <f t="shared" si="18"/>
        <v>0.65714138228074226</v>
      </c>
      <c r="AG8" s="35">
        <f t="shared" si="19"/>
        <v>1.2754684103839171</v>
      </c>
      <c r="AI8" s="133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Hazarika et al. (A)</v>
      </c>
      <c r="AN8" s="6">
        <f t="shared" si="21"/>
        <v>10996</v>
      </c>
      <c r="AO8" s="3">
        <f t="shared" si="22"/>
        <v>0.91448434886983176</v>
      </c>
      <c r="AP8" s="3">
        <f t="shared" si="23"/>
        <v>34.074556226536743</v>
      </c>
      <c r="AQ8" s="3">
        <f t="shared" si="24"/>
        <v>34.074556226536743</v>
      </c>
      <c r="AR8" s="3">
        <f t="shared" si="25"/>
        <v>0.17131086018515415</v>
      </c>
      <c r="AS8" s="3">
        <f t="shared" si="26"/>
        <v>0.65364230521356326</v>
      </c>
      <c r="AT8" s="3">
        <f t="shared" si="27"/>
        <v>1.2794178370303673</v>
      </c>
      <c r="AU8" s="80">
        <f t="shared" si="28"/>
        <v>8.6132308289821366E-2</v>
      </c>
      <c r="AW8" s="44">
        <f t="shared" si="29"/>
        <v>0.91448434886983176</v>
      </c>
      <c r="AX8" s="3">
        <f t="shared" si="30"/>
        <v>0.26084204365626851</v>
      </c>
      <c r="AY8" s="35">
        <f t="shared" si="31"/>
        <v>0.3649334881605355</v>
      </c>
      <c r="BA8" s="2" t="s">
        <v>300</v>
      </c>
      <c r="BB8" s="9">
        <f>IF(BB2&lt;&gt;"",MAX(Weight_lookup),"")</f>
        <v>9.1784354378924876E-2</v>
      </c>
      <c r="BD8" s="133"/>
      <c r="BE8" s="120"/>
      <c r="BF8" s="3">
        <f t="shared" si="32"/>
        <v>-8.9394925710100992E-2</v>
      </c>
      <c r="BG8" s="3">
        <f t="shared" si="33"/>
        <v>0.17131086018515415</v>
      </c>
      <c r="BH8" s="3">
        <f t="shared" si="34"/>
        <v>34.074556226536743</v>
      </c>
      <c r="BI8" s="3">
        <f t="shared" si="99"/>
        <v>34.074556226536743</v>
      </c>
      <c r="BJ8" s="35">
        <f t="shared" si="35"/>
        <v>-0.10401877186769869</v>
      </c>
      <c r="BO8" s="116"/>
      <c r="BP8" s="3">
        <f t="shared" si="36"/>
        <v>32.615985813022917</v>
      </c>
      <c r="BQ8" s="3">
        <f t="shared" si="37"/>
        <v>35.665985813022914</v>
      </c>
      <c r="BR8" s="3">
        <f t="shared" si="38"/>
        <v>16.2898992803329</v>
      </c>
      <c r="BS8" s="3">
        <f>IF(AND(Sufficient_data="Yes",Include_study?="Yes"),IF(Add_0_5="Yes",(a_+d_+1)*(ab_+0.5)*(c_+0.5)/(Number_of_subjects+2)^2,(a_+d_)*b_*c_/Number_of_subjects^2),"")</f>
        <v>17.813207301431483</v>
      </c>
      <c r="BT8" s="3">
        <f t="shared" si="39"/>
        <v>16.326086532690017</v>
      </c>
      <c r="BU8" s="3">
        <f t="shared" si="40"/>
        <v>17.852778511591435</v>
      </c>
      <c r="BV8" s="3">
        <f t="shared" si="41"/>
        <v>35.665985813022914</v>
      </c>
      <c r="BW8" s="3">
        <f t="shared" si="42"/>
        <v>0.36994601687927597</v>
      </c>
      <c r="BX8" s="3">
        <f t="shared" si="43"/>
        <v>34.074556226536743</v>
      </c>
      <c r="BY8" s="35">
        <f t="shared" si="44"/>
        <v>-0.1040187718676987</v>
      </c>
      <c r="CA8" s="3" t="s">
        <v>301</v>
      </c>
      <c r="CB8" s="3">
        <f>lnCES_OddsRatio_MH+ABS(TINV((1-Confidence_level),k_-1))*SQRT(T2_MH+SElnCES_MH^2)</f>
        <v>0.11236527792884117</v>
      </c>
      <c r="CD8" s="116"/>
      <c r="CE8" s="76">
        <f t="shared" si="45"/>
        <v>69.150000000000006</v>
      </c>
      <c r="CF8" s="3">
        <f t="shared" si="46"/>
        <v>34.143244884038204</v>
      </c>
      <c r="CG8" s="3">
        <f t="shared" si="47"/>
        <v>-8.9329529467946714E-2</v>
      </c>
      <c r="CH8" s="3">
        <f t="shared" si="48"/>
        <v>2.9288370317359466E-2</v>
      </c>
      <c r="CI8" s="3">
        <f t="shared" si="49"/>
        <v>34.143244884038204</v>
      </c>
      <c r="CJ8" s="3">
        <f t="shared" si="50"/>
        <v>34.143244884038204</v>
      </c>
      <c r="CK8" s="35">
        <f t="shared" si="51"/>
        <v>-0.10412891930523269</v>
      </c>
      <c r="CM8" s="3" t="s">
        <v>301</v>
      </c>
      <c r="CN8" s="3">
        <f>lnCES_PetoOddsRatio+ABS(TINV((1-Confidence_level),k_-1))*SQRT(T2_Peto+SElnCES_Peto^2)</f>
        <v>0.11241390646542018</v>
      </c>
      <c r="CP8" s="116"/>
      <c r="CQ8" s="52">
        <f t="shared" si="52"/>
        <v>1.3132048017460896E-2</v>
      </c>
      <c r="CX8" s="133"/>
      <c r="CY8" s="48">
        <f t="shared" si="53"/>
        <v>7</v>
      </c>
      <c r="CZ8" s="6" t="str">
        <f t="shared" si="54"/>
        <v>Hazarika et al. (A)</v>
      </c>
      <c r="DA8" s="17" t="str">
        <f t="shared" si="55"/>
        <v>Acted</v>
      </c>
      <c r="DB8" s="3">
        <f t="shared" si="56"/>
        <v>-8.9394925710100992E-2</v>
      </c>
      <c r="DC8" s="3">
        <f t="shared" si="57"/>
        <v>0.17131086018515415</v>
      </c>
      <c r="DD8" s="3">
        <f t="shared" si="58"/>
        <v>34.074556226536743</v>
      </c>
      <c r="DE8" s="3">
        <f t="shared" si="59"/>
        <v>29.91295614739867</v>
      </c>
      <c r="DF8" s="80">
        <f t="shared" si="60"/>
        <v>0.15902847448999977</v>
      </c>
      <c r="DG8" s="3">
        <f t="shared" si="61"/>
        <v>0.91448434886983176</v>
      </c>
      <c r="DH8" s="3">
        <f t="shared" si="62"/>
        <v>0.65364230741158846</v>
      </c>
      <c r="DI8" s="3">
        <f t="shared" si="63"/>
        <v>1.2794178327280252</v>
      </c>
      <c r="DJ8" s="35">
        <f t="shared" si="64"/>
        <v>-0.11901103520007963</v>
      </c>
      <c r="DL8" s="44">
        <f t="shared" si="65"/>
        <v>0.91448434886983176</v>
      </c>
      <c r="DM8" s="3">
        <f t="shared" si="100"/>
        <v>0.2608420414582433</v>
      </c>
      <c r="DN8" s="35">
        <f t="shared" si="101"/>
        <v>0.36493348385819346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302</v>
      </c>
      <c r="FP8" s="6">
        <f>COUNTIFS(Include_study?,"Yes",Sufficient_data,"Yes",Moderator,"&lt;&gt;")</f>
        <v>0</v>
      </c>
      <c r="FR8" s="133"/>
      <c r="FS8" s="120"/>
      <c r="FT8" s="76">
        <f>IF(AND(Include_study?="Yes",Sufficient_data="Yes"),IF(Additional_weighting_method="Inverse Variance",1/'Publication Bias Analysis'!F:F^2,IF(Additional_weighting_method="Mantel-Haenszel",Weightf_MH,Weightf_Peto)),"")</f>
        <v>34.074556226536743</v>
      </c>
      <c r="FU8" s="3">
        <f>IF(AND(Include_study?="Yes",Sufficient_data="Yes"),1/('Publication Bias Analysis'!F:F^2+IF(Additional_model="Fixed effect",0,Calculations!GH$12)),"")</f>
        <v>34.074556226536743</v>
      </c>
      <c r="FV8" s="3">
        <f>IF(AND(Include_study?="Yes",Sufficient_data="Yes"),1/('Publication Bias Analysis'!F:F^2+IF(Additional_model="Fixed effect",0,'Publication Bias Analysis'!L$32)),"")</f>
        <v>34.074556226536743</v>
      </c>
      <c r="FW8" s="3">
        <f>IF(AND(Include_study?="Yes",Sufficient_data="Yes"),'Publication Bias Analysis'!E:E-'Publication Bias Analysis'!I$37,"")</f>
        <v>-0.10401877186769869</v>
      </c>
      <c r="FX8" s="3">
        <f>IF(AND(Include_study?="Yes",Sufficient_data="Yes"),IF(Additional_model="Fixed effect",1/'Publication Bias Analysis'!F:F,1/SQRT('Publication Bias Analysis'!F:F^2+GH$12)),"")</f>
        <v>5.8373415375954094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-0.5218287130978283</v>
      </c>
      <c r="FZ8" s="6">
        <f t="shared" si="80"/>
        <v>-6</v>
      </c>
      <c r="GA8" s="83">
        <f>IF(AND(Include_study?="Yes",Sufficient_data="Yes"),FZ:FZ+IF(GL:GL&lt;0,-1,1)*COUNTIF(FZ$2:FZ7,FZ:FZ),"")</f>
        <v>-6</v>
      </c>
      <c r="GB8" s="83">
        <f>IF(AND(Include_study?="Yes",Sufficient_data="Yes"),RANK(GP:GP,GP:GP,1)*IF(GO:GO&lt;0,-1,1)+IF(GO:GO&lt;0,-1,1)*COUNTIF(FZ$2:FZ7,FZ:FZ),"")</f>
        <v>-6</v>
      </c>
      <c r="GC8" s="83">
        <f>IF(AND(Include_study?="Yes",Sufficient_data="Yes"),RANK(GS:GS,GS:GS,1)*IF(GR:GR&lt;0,-1,1)+IF(GR:GR&lt;0,-1,1)*COUNTIF(FZ$2:FZ7,FZ:FZ),"")</f>
        <v>-6</v>
      </c>
      <c r="GD8" s="3">
        <f>IF(AND(Include_study?="Yes",Sufficient_data="Yes"),'Publication Bias Analysis'!E8,NA())</f>
        <v>-8.9394925710100992E-2</v>
      </c>
      <c r="GE8" s="35">
        <f>IF(AND(Include_study?="Yes",Sufficient_data="Yes"),'Publication Bias Analysis'!F8,NA())</f>
        <v>0.17131086018515415</v>
      </c>
      <c r="GG8" s="2" t="s">
        <v>246</v>
      </c>
      <c r="GH8" s="3">
        <f>IF(Trim_and_fill="Off",'Publication Bias Analysis'!I29,'Publication Bias Analysis'!I37)</f>
        <v>1.4623846157597693E-2</v>
      </c>
      <c r="GI8" s="3">
        <f>IF(Trim_and_fill="Off",GH17,GH22)</f>
        <v>0.25467715746891151</v>
      </c>
      <c r="GK8" s="116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-0.10401877186769869</v>
      </c>
      <c r="GM8" s="3">
        <f t="shared" si="81"/>
        <v>0.10401877186769869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34.074556226536743</v>
      </c>
      <c r="GO8" s="3">
        <f>IF(AND(Include_study?="Yes",Sufficient_data="Yes"),IF('Publication Bias Analysis'!L$38="Left",'Publication Bias Analysis'!E:E-GW$3,GW$3-'Publication Bias Analysis'!E:E),"")</f>
        <v>-0.10401877186769869</v>
      </c>
      <c r="GP8" s="3">
        <f t="shared" si="82"/>
        <v>0.10401877186769869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34.074556226536743</v>
      </c>
      <c r="GR8" s="3">
        <f>IF(AND(Include_study?="Yes",Sufficient_data="Yes"),IF('Publication Bias Analysis'!L$38="Left",'Publication Bias Analysis'!E:E-GW$10,GW$10-'Publication Bias Analysis'!E:E),"")</f>
        <v>-0.10401877186769869</v>
      </c>
      <c r="GS8" s="3">
        <f t="shared" si="83"/>
        <v>0.10401877186769869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34.074556226536743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6"/>
      <c r="HL8" s="3">
        <f t="shared" si="89"/>
        <v>0.33561294795174135</v>
      </c>
      <c r="HM8" s="35">
        <f>IF(AND(Include_study?="Yes",Sufficient_data="Yes"),Z_score-('Publication Bias Analysis'!P$3+'Publication Bias Analysis'!P$4*Inverse_standard_error),"")</f>
        <v>-0.62906908006331141</v>
      </c>
      <c r="HO8" s="116"/>
      <c r="HP8" s="3">
        <f>IF(AND(Include_study?="Yes",Sufficient_data="Yes"),(GD:GD-SUMPRODUCT(Calculations!FT:FT,'Publication Bias Analysis'!E:E)/SUM(Calculations!FT:FT))/SQRT(Calculations!HQ:HQ),"")</f>
        <v>-0.63516296028032171</v>
      </c>
      <c r="HQ8" s="3">
        <f>IF(AND(Include_study?="Yes",Sufficient_data="Yes"),GE:GE^2-1/SUM(Calculations!FT:FT),"")</f>
        <v>2.6819650581347044E-2</v>
      </c>
      <c r="HR8" s="6">
        <f t="shared" si="90"/>
        <v>10</v>
      </c>
      <c r="HS8" s="6">
        <f t="shared" si="91"/>
        <v>10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6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6</v>
      </c>
      <c r="HW8" s="116"/>
      <c r="HX8" s="20">
        <v>7</v>
      </c>
      <c r="HY8" s="3">
        <f t="shared" si="123"/>
        <v>0.60000000000000009</v>
      </c>
      <c r="HZ8" s="35">
        <f>HZ7+HY14</f>
        <v>1</v>
      </c>
      <c r="IB8" s="116"/>
      <c r="IC8" s="76">
        <f t="shared" si="92"/>
        <v>1.2022553655874863E-2</v>
      </c>
      <c r="ID8" s="3">
        <f t="shared" si="93"/>
        <v>1.3132048017460896E-2</v>
      </c>
      <c r="IE8" s="3">
        <f t="shared" si="94"/>
        <v>34.946413279750573</v>
      </c>
      <c r="IF8" s="35">
        <f t="shared" si="95"/>
        <v>34.074556226536743</v>
      </c>
      <c r="IK8" s="116"/>
      <c r="IL8" s="3">
        <f>IF(AND(Include_study?="Yes",Sufficient_data="Yes"),'Publication Bias Analysis'!AV:AV,NA())</f>
        <v>-0.5218287130978283</v>
      </c>
      <c r="IM8" s="3">
        <f>IF(AND(Sufficient_data="Yes",Include_study?="Yes"),'Publication Bias Analysis'!AU:AU,NA())</f>
        <v>5.8373415375954094</v>
      </c>
      <c r="IN8" s="3">
        <f t="shared" si="96"/>
        <v>0.33561294795174135</v>
      </c>
      <c r="IO8" s="35">
        <f>IF(AND(Include_study?="Yes",Sufficient_data="Yes"),Z_score-('Publication Bias Analysis'!AY$30+'Publication Bias Analysis'!AY$31*Inverse_standard_error),"")</f>
        <v>-0.60719309771297836</v>
      </c>
      <c r="IQ8" s="24" t="s">
        <v>246</v>
      </c>
      <c r="IR8" s="2" t="s">
        <v>242</v>
      </c>
      <c r="IS8" s="2" t="s">
        <v>243</v>
      </c>
      <c r="IU8" s="116"/>
      <c r="IV8" s="6">
        <f>IF('Publication Bias Analysis'!BG:BG&lt;&gt;"",RANK('Publication Bias Analysis'!BG:BG,'Publication Bias Analysis'!BG:BG,1)+COUNTIF('Publication Bias Analysis'!BG$2:BG7,'Publication Bias Analysis'!BG8),"")</f>
        <v>4</v>
      </c>
      <c r="IW8" s="3">
        <f t="shared" si="97"/>
        <v>0.27499999999999997</v>
      </c>
      <c r="IX8" s="3">
        <f>IF('Publication Bias Analysis'!BF8&lt;&gt;"",'Publication Bias Analysis'!BF8,NA())</f>
        <v>-0.59776012604247875</v>
      </c>
      <c r="IY8" s="3">
        <f>IF('Publication Bias Analysis'!BG8&lt;&gt;"",'Publication Bias Analysis'!BG8,NA())</f>
        <v>-0.5218287130978283</v>
      </c>
      <c r="IZ8" s="3">
        <f>IF(AND(Include_study?="Yes",Sufficient_data="Yes"),'Publication Bias Analysis'!BF:BF-AVERAGE('Publication Bias Analysis'!BF:BF),"")</f>
        <v>-0.59776012604247841</v>
      </c>
      <c r="JA8" s="35">
        <f>IF(AND(Include_study?="Yes",Sufficient_data="Yes"),'Publication Bias Analysis'!BG:BG-('Publication Bias Analysis'!BJ$30+'Publication Bias Analysis'!BJ$31*'Publication Bias Analysis'!BF:BF),"")</f>
        <v>-4.001449098077775E-2</v>
      </c>
      <c r="JG8" s="116"/>
      <c r="JH8" s="3">
        <f t="shared" si="98"/>
        <v>-0.5218287130978283</v>
      </c>
      <c r="JI8" s="10">
        <f t="shared" si="124"/>
        <v>0.30089479799400598</v>
      </c>
      <c r="JJ8" s="35">
        <f t="shared" si="125"/>
        <v>-1.2009945836510929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45.62</v>
      </c>
      <c r="C9" s="6">
        <f>IF(AND(Include_study?="Yes",Sufficient_data="Yes"),IF(Input!b_&lt;&gt;"",Input!b_,Input!n1_-Input!a_),"")</f>
        <v>1092.3800000000001</v>
      </c>
      <c r="D9" s="6">
        <f>IF(AND(Include_study?="Yes",Sufficient_data="Yes"),IF(Input!c_&lt;&gt;"",Input!c_,Input!n2_-Input!d_),"")</f>
        <v>54.39</v>
      </c>
      <c r="E9" s="6">
        <f>IF(AND(Include_study?="Yes",Sufficient_data="Yes"),IF(Input!d_&lt;&gt;"",Input!d_,Input!n2_-Input!c_),"")</f>
        <v>1083.6099999999999</v>
      </c>
      <c r="F9" s="35" t="str">
        <f t="shared" si="1"/>
        <v>No</v>
      </c>
      <c r="H9" s="133"/>
      <c r="I9" s="120"/>
      <c r="J9" s="76">
        <f t="shared" si="2"/>
        <v>0.83202329560085742</v>
      </c>
      <c r="K9" s="3">
        <f t="shared" si="3"/>
        <v>-0.18389483903264639</v>
      </c>
      <c r="L9" s="3">
        <f t="shared" si="4"/>
        <v>0.20529056653385463</v>
      </c>
      <c r="M9" s="3">
        <f t="shared" si="5"/>
        <v>0.55628683352033848</v>
      </c>
      <c r="N9" s="35">
        <f t="shared" si="6"/>
        <v>1.2444349258487382</v>
      </c>
      <c r="P9" s="116"/>
      <c r="Q9" s="76">
        <f t="shared" si="7"/>
        <v>0.83246628068127371</v>
      </c>
      <c r="R9" s="3">
        <f t="shared" si="8"/>
        <v>0.20448927488386676</v>
      </c>
      <c r="S9" s="3">
        <f t="shared" si="9"/>
        <v>0.55745827940370563</v>
      </c>
      <c r="T9" s="35">
        <f t="shared" si="10"/>
        <v>1.243142552681417</v>
      </c>
      <c r="V9" s="116"/>
      <c r="W9" s="76">
        <f t="shared" si="11"/>
        <v>-7.7065026362038713E-3</v>
      </c>
      <c r="X9" s="3">
        <f t="shared" si="12"/>
        <v>8.5910255609658107E-3</v>
      </c>
      <c r="Y9" s="3">
        <f t="shared" si="13"/>
        <v>-2.4553570304958829E-2</v>
      </c>
      <c r="Z9" s="35">
        <f t="shared" si="14"/>
        <v>9.1405650325510866E-3</v>
      </c>
      <c r="AB9" s="116"/>
      <c r="AC9" s="76">
        <f t="shared" si="15"/>
        <v>0.83875712447141004</v>
      </c>
      <c r="AD9" s="3">
        <f t="shared" si="16"/>
        <v>-0.17583409657862759</v>
      </c>
      <c r="AE9" s="3">
        <f t="shared" si="17"/>
        <v>0.19633765268327646</v>
      </c>
      <c r="AF9" s="3">
        <f t="shared" si="18"/>
        <v>0.57072159978977177</v>
      </c>
      <c r="AG9" s="35">
        <f t="shared" si="19"/>
        <v>1.2326737136121908</v>
      </c>
      <c r="AI9" s="133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Lubis et al.</v>
      </c>
      <c r="AN9" s="6">
        <f t="shared" si="21"/>
        <v>2276</v>
      </c>
      <c r="AO9" s="3">
        <f t="shared" si="22"/>
        <v>0.83202329560085742</v>
      </c>
      <c r="AP9" s="3">
        <f t="shared" si="23"/>
        <v>23.728048072017788</v>
      </c>
      <c r="AQ9" s="3">
        <f t="shared" si="24"/>
        <v>23.728048072017788</v>
      </c>
      <c r="AR9" s="3">
        <f t="shared" si="25"/>
        <v>0.20529056653385463</v>
      </c>
      <c r="AS9" s="3">
        <f t="shared" si="26"/>
        <v>0.55628683352033848</v>
      </c>
      <c r="AT9" s="3">
        <f t="shared" si="27"/>
        <v>1.2444349258487382</v>
      </c>
      <c r="AU9" s="80">
        <f t="shared" si="28"/>
        <v>5.9978816395064166E-2</v>
      </c>
      <c r="AW9" s="44">
        <f t="shared" si="29"/>
        <v>0.83202329560085742</v>
      </c>
      <c r="AX9" s="3">
        <f t="shared" si="30"/>
        <v>0.27573646208051894</v>
      </c>
      <c r="AY9" s="35">
        <f t="shared" si="31"/>
        <v>0.41241163024788074</v>
      </c>
      <c r="BD9" s="133"/>
      <c r="BE9" s="120"/>
      <c r="BF9" s="3">
        <f t="shared" si="32"/>
        <v>-0.18389483903264639</v>
      </c>
      <c r="BG9" s="3">
        <f t="shared" si="33"/>
        <v>0.20529056653385463</v>
      </c>
      <c r="BH9" s="3">
        <f t="shared" si="34"/>
        <v>23.728048072017788</v>
      </c>
      <c r="BI9" s="3">
        <f t="shared" si="99"/>
        <v>23.728048072017788</v>
      </c>
      <c r="BJ9" s="35">
        <f t="shared" si="35"/>
        <v>-0.19851868519024407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1.0147312977420306</v>
      </c>
      <c r="BO9" s="116"/>
      <c r="BP9" s="3">
        <f t="shared" si="36"/>
        <v>21.719810281195077</v>
      </c>
      <c r="BQ9" s="3">
        <f t="shared" si="37"/>
        <v>26.104810281195082</v>
      </c>
      <c r="BR9" s="3">
        <f t="shared" si="38"/>
        <v>10.776213253002597</v>
      </c>
      <c r="BS9" s="3">
        <f>IF(AND(Sufficient_data="Yes",Include_study?="Yes"),IF(Add_0_5="Yes",(a_+d_+1)*(ab_+0.5)*(c_+0.5)/(Number_of_subjects+2)^2,(a_+d_)*b_*c_/Number_of_subjects^2),"")</f>
        <v>12.951816745972721</v>
      </c>
      <c r="BT9" s="3">
        <f t="shared" si="39"/>
        <v>10.94359702819248</v>
      </c>
      <c r="BU9" s="3">
        <f t="shared" si="40"/>
        <v>13.152993535222359</v>
      </c>
      <c r="BV9" s="3">
        <f t="shared" si="41"/>
        <v>26.104810281195082</v>
      </c>
      <c r="BW9" s="3">
        <f t="shared" si="42"/>
        <v>0.93679175024512484</v>
      </c>
      <c r="BX9" s="3">
        <f t="shared" si="43"/>
        <v>23.728048072017788</v>
      </c>
      <c r="BY9" s="35">
        <f t="shared" si="44"/>
        <v>-0.1985186851902441</v>
      </c>
      <c r="CD9" s="116"/>
      <c r="CE9" s="76">
        <f t="shared" si="45"/>
        <v>50.004999999999995</v>
      </c>
      <c r="CF9" s="3">
        <f t="shared" si="46"/>
        <v>23.914369219780216</v>
      </c>
      <c r="CG9" s="3">
        <f t="shared" si="47"/>
        <v>-0.18336256163399228</v>
      </c>
      <c r="CH9" s="3">
        <f t="shared" si="48"/>
        <v>4.181586354252962E-2</v>
      </c>
      <c r="CI9" s="3">
        <f t="shared" si="49"/>
        <v>23.914369219780216</v>
      </c>
      <c r="CJ9" s="3">
        <f t="shared" si="50"/>
        <v>23.914369219780216</v>
      </c>
      <c r="CK9" s="35">
        <f t="shared" si="51"/>
        <v>-0.19816195147127827</v>
      </c>
      <c r="CP9" s="116"/>
      <c r="CQ9" s="52">
        <f t="shared" si="52"/>
        <v>4.779437609841828E-2</v>
      </c>
      <c r="CS9" s="114" t="s">
        <v>149</v>
      </c>
      <c r="CT9" s="114"/>
      <c r="CU9" s="114"/>
      <c r="CV9" s="114"/>
      <c r="CX9" s="133"/>
      <c r="CY9" s="48">
        <f t="shared" si="53"/>
        <v>9</v>
      </c>
      <c r="CZ9" s="6" t="str">
        <f t="shared" si="54"/>
        <v>Lubis et al.</v>
      </c>
      <c r="DA9" s="17" t="str">
        <f t="shared" si="55"/>
        <v>Spontaneous</v>
      </c>
      <c r="DB9" s="3">
        <f t="shared" si="56"/>
        <v>-0.18389483903264639</v>
      </c>
      <c r="DC9" s="3">
        <f t="shared" si="57"/>
        <v>0.20529056653385463</v>
      </c>
      <c r="DD9" s="3">
        <f t="shared" si="58"/>
        <v>23.728048072017788</v>
      </c>
      <c r="DE9" s="3">
        <f t="shared" si="59"/>
        <v>23.728048072017788</v>
      </c>
      <c r="DF9" s="80">
        <f t="shared" si="60"/>
        <v>0.12898301991245872</v>
      </c>
      <c r="DG9" s="3">
        <f t="shared" si="61"/>
        <v>0.83202329560085742</v>
      </c>
      <c r="DH9" s="3">
        <f t="shared" si="62"/>
        <v>0.55628688594247866</v>
      </c>
      <c r="DI9" s="3">
        <f t="shared" si="63"/>
        <v>1.2444348085784163</v>
      </c>
      <c r="DJ9" s="35">
        <f t="shared" si="64"/>
        <v>-0.18168208707572242</v>
      </c>
      <c r="DL9" s="44">
        <f t="shared" si="65"/>
        <v>0.83202329560085742</v>
      </c>
      <c r="DM9" s="3">
        <f t="shared" si="100"/>
        <v>0.27573640965837876</v>
      </c>
      <c r="DN9" s="35">
        <f t="shared" si="101"/>
        <v>0.41241151297755885</v>
      </c>
      <c r="DP9" s="48">
        <f t="shared" si="102"/>
        <v>15</v>
      </c>
      <c r="DQ9" s="17" t="str">
        <f>IF(AND(Sufficient_data="Yes",Subgroup&lt;&gt;""),IF(COUNTIFS(Input!J$2:J8,"="&amp;"Yes",Input!C$2:C8,"="&amp;"Yes",Input!K$2:K8,"="&amp;Subgroup)&gt;0,"",Subgroup),"")</f>
        <v>Spontaneous</v>
      </c>
      <c r="DR9" s="6">
        <f t="shared" si="103"/>
        <v>2</v>
      </c>
      <c r="DS9" s="6">
        <f t="shared" si="66"/>
        <v>6</v>
      </c>
      <c r="DT9" s="3">
        <f t="shared" si="67"/>
        <v>2.7172684059288117</v>
      </c>
      <c r="DU9" s="10">
        <f t="shared" si="104"/>
        <v>0.74347607090048906</v>
      </c>
      <c r="DV9" s="9">
        <f t="shared" si="105"/>
        <v>0</v>
      </c>
      <c r="DW9" s="10">
        <f t="shared" si="68"/>
        <v>152.51358914865136</v>
      </c>
      <c r="DX9" s="3">
        <f t="shared" si="69"/>
        <v>0</v>
      </c>
      <c r="DY9" s="3">
        <f t="shared" si="106"/>
        <v>0</v>
      </c>
      <c r="DZ9" s="3">
        <f t="shared" si="70"/>
        <v>-2.2127519569239643E-3</v>
      </c>
      <c r="EA9" s="3">
        <f t="shared" si="71"/>
        <v>5.4352125353275008E-2</v>
      </c>
      <c r="EB9" s="6">
        <f t="shared" si="72"/>
        <v>20208</v>
      </c>
      <c r="EC9" s="3">
        <f t="shared" si="107"/>
        <v>-0.14192933811828073</v>
      </c>
      <c r="ED9" s="3">
        <f t="shared" si="108"/>
        <v>0.1375038342044328</v>
      </c>
      <c r="EE9" s="3">
        <f t="shared" si="109"/>
        <v>0.99778969437398035</v>
      </c>
      <c r="EF9" s="3">
        <f t="shared" si="110"/>
        <v>0.86768256640262853</v>
      </c>
      <c r="EG9" s="3">
        <f t="shared" si="111"/>
        <v>1.1474061053532134</v>
      </c>
      <c r="EH9" s="3">
        <f t="shared" si="112"/>
        <v>0.13010712797135182</v>
      </c>
      <c r="EI9" s="3">
        <f t="shared" si="113"/>
        <v>0.14961641097923306</v>
      </c>
      <c r="EJ9" s="3">
        <f t="shared" si="114"/>
        <v>-0.14192933811828073</v>
      </c>
      <c r="EK9" s="3">
        <f t="shared" si="73"/>
        <v>0.1375038342044328</v>
      </c>
      <c r="EL9" s="3">
        <f t="shared" si="115"/>
        <v>0.86768256640262853</v>
      </c>
      <c r="EM9" s="3">
        <f t="shared" si="116"/>
        <v>1.1474061053532134</v>
      </c>
      <c r="EN9" s="3">
        <f t="shared" si="117"/>
        <v>0.13010712797135182</v>
      </c>
      <c r="EO9" s="3">
        <f t="shared" si="118"/>
        <v>0.14961641097923306</v>
      </c>
      <c r="EP9" s="3">
        <f t="shared" si="74"/>
        <v>2.7172684059288117</v>
      </c>
      <c r="EQ9" s="3">
        <f t="shared" si="119"/>
        <v>0.99778969437398035</v>
      </c>
      <c r="ER9" s="9">
        <f t="shared" si="120"/>
        <v>0.64248121538023761</v>
      </c>
      <c r="ES9" s="3">
        <f t="shared" si="121"/>
        <v>338.50644176183482</v>
      </c>
      <c r="ET9" s="3">
        <f t="shared" si="122"/>
        <v>338.50644176183482</v>
      </c>
      <c r="EU9" s="3">
        <f t="shared" si="75"/>
        <v>4.3833573302449115E-2</v>
      </c>
      <c r="EV9" s="35">
        <f t="shared" si="76"/>
        <v>-1.1379415860327431E-2</v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1.0092088064373523</v>
      </c>
      <c r="FA9" s="13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3"/>
      <c r="FS9" s="120"/>
      <c r="FT9" s="76">
        <f>IF(AND(Include_study?="Yes",Sufficient_data="Yes"),IF(Additional_weighting_method="Inverse Variance",1/'Publication Bias Analysis'!F:F^2,IF(Additional_weighting_method="Mantel-Haenszel",Weightf_MH,Weightf_Peto)),"")</f>
        <v>23.728048072017788</v>
      </c>
      <c r="FU9" s="3">
        <f>IF(AND(Include_study?="Yes",Sufficient_data="Yes"),1/('Publication Bias Analysis'!F:F^2+IF(Additional_model="Fixed effect",0,Calculations!GH$12)),"")</f>
        <v>23.728048072017788</v>
      </c>
      <c r="FV9" s="3">
        <f>IF(AND(Include_study?="Yes",Sufficient_data="Yes"),1/('Publication Bias Analysis'!F:F^2+IF(Additional_model="Fixed effect",0,'Publication Bias Analysis'!L$32)),"")</f>
        <v>23.728048072017788</v>
      </c>
      <c r="FW9" s="3">
        <f>IF(AND(Include_study?="Yes",Sufficient_data="Yes"),'Publication Bias Analysis'!E:E-'Publication Bias Analysis'!I$37,"")</f>
        <v>-0.19851868519024407</v>
      </c>
      <c r="FX9" s="3">
        <f>IF(AND(Include_study?="Yes",Sufficient_data="Yes"),IF(Additional_model="Fixed effect",1/'Publication Bias Analysis'!F:F,1/SQRT('Publication Bias Analysis'!F:F^2+GH$12)),"")</f>
        <v>4.8711444314470684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-0.89577832112573053</v>
      </c>
      <c r="FZ9" s="6">
        <f t="shared" si="80"/>
        <v>-11</v>
      </c>
      <c r="GA9" s="83">
        <f>IF(AND(Include_study?="Yes",Sufficient_data="Yes"),FZ:FZ+IF(GL:GL&lt;0,-1,1)*COUNTIF(FZ$2:FZ8,FZ:FZ),"")</f>
        <v>-11</v>
      </c>
      <c r="GB9" s="83">
        <f>IF(AND(Include_study?="Yes",Sufficient_data="Yes"),RANK(GP:GP,GP:GP,1)*IF(GO:GO&lt;0,-1,1)+IF(GO:GO&lt;0,-1,1)*COUNTIF(FZ$2:FZ8,FZ:FZ),"")</f>
        <v>-11</v>
      </c>
      <c r="GC9" s="83">
        <f>IF(AND(Include_study?="Yes",Sufficient_data="Yes"),RANK(GS:GS,GS:GS,1)*IF(GR:GR&lt;0,-1,1)+IF(GR:GR&lt;0,-1,1)*COUNTIF(FZ$2:FZ8,FZ:FZ),"")</f>
        <v>-11</v>
      </c>
      <c r="GD9" s="3">
        <f>IF(AND(Include_study?="Yes",Sufficient_data="Yes"),'Publication Bias Analysis'!E9,NA())</f>
        <v>-0.18389483903264639</v>
      </c>
      <c r="GE9" s="35">
        <f>IF(AND(Include_study?="Yes",Sufficient_data="Yes"),'Publication Bias Analysis'!F9,NA())</f>
        <v>0.20529056653385463</v>
      </c>
      <c r="GK9" s="116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-0.19851868519024407</v>
      </c>
      <c r="GM9" s="3">
        <f t="shared" si="81"/>
        <v>0.19851868519024407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23.728048072017788</v>
      </c>
      <c r="GO9" s="3">
        <f>IF(AND(Include_study?="Yes",Sufficient_data="Yes"),IF('Publication Bias Analysis'!L$38="Left",'Publication Bias Analysis'!E:E-GW$3,GW$3-'Publication Bias Analysis'!E:E),"")</f>
        <v>-0.19851868519024407</v>
      </c>
      <c r="GP9" s="3">
        <f t="shared" si="82"/>
        <v>0.19851868519024407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23.728048072017788</v>
      </c>
      <c r="GR9" s="3">
        <f>IF(AND(Include_study?="Yes",Sufficient_data="Yes"),IF('Publication Bias Analysis'!L$38="Left",'Publication Bias Analysis'!E:E-GW$10,GW$10-'Publication Bias Analysis'!E:E),"")</f>
        <v>-0.19851868519024407</v>
      </c>
      <c r="GS9" s="3">
        <f t="shared" si="83"/>
        <v>0.19851868519024407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23.728048072017788</v>
      </c>
      <c r="GV9" s="114" t="s">
        <v>102</v>
      </c>
      <c r="GW9" s="114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6"/>
      <c r="HL9" s="3">
        <f t="shared" si="89"/>
        <v>-0.63058415819659963</v>
      </c>
      <c r="HM9" s="35">
        <f>IF(AND(Include_study?="Yes",Sufficient_data="Yes"),Z_score-('Publication Bias Analysis'!P$3+'Publication Bias Analysis'!P$4*Inverse_standard_error),"")</f>
        <v>-0.91984108904215389</v>
      </c>
      <c r="HO9" s="116"/>
      <c r="HP9" s="3">
        <f>IF(AND(Include_study?="Yes",Sufficient_data="Yes"),(GD:GD-SUMPRODUCT(Calculations!FT:FT,'Publication Bias Analysis'!E:E)/SUM(Calculations!FT:FT))/SQRT(Calculations!HQ:HQ),"")</f>
        <v>-0.99738670904982685</v>
      </c>
      <c r="HQ9" s="3">
        <f>IF(AND(Include_study?="Yes",Sufficient_data="Yes"),GE:GE^2-1/SUM(Calculations!FT:FT),"")</f>
        <v>3.9616456471760604E-2</v>
      </c>
      <c r="HR9" s="6">
        <f t="shared" si="90"/>
        <v>12</v>
      </c>
      <c r="HS9" s="6">
        <f t="shared" si="91"/>
        <v>2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2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10</v>
      </c>
      <c r="HW9" s="116"/>
      <c r="HX9" s="20">
        <v>8</v>
      </c>
      <c r="HY9" s="3">
        <f t="shared" si="123"/>
        <v>1</v>
      </c>
      <c r="HZ9" s="35">
        <f>HZ8+HY14</f>
        <v>1.4</v>
      </c>
      <c r="IB9" s="116"/>
      <c r="IC9" s="76">
        <f t="shared" si="92"/>
        <v>4.0087873462214409E-2</v>
      </c>
      <c r="ID9" s="3">
        <f t="shared" si="93"/>
        <v>4.779437609841828E-2</v>
      </c>
      <c r="IE9" s="3">
        <f t="shared" si="94"/>
        <v>25.941364205524938</v>
      </c>
      <c r="IF9" s="35">
        <f t="shared" si="95"/>
        <v>23.728048072017788</v>
      </c>
      <c r="IK9" s="116"/>
      <c r="IL9" s="3">
        <f>IF(AND(Include_study?="Yes",Sufficient_data="Yes"),'Publication Bias Analysis'!AV:AV,NA())</f>
        <v>-0.89577832112573053</v>
      </c>
      <c r="IM9" s="3">
        <f>IF(AND(Sufficient_data="Yes",Include_study?="Yes"),'Publication Bias Analysis'!AU:AU,NA())</f>
        <v>4.8711444314470684</v>
      </c>
      <c r="IN9" s="3">
        <f t="shared" si="96"/>
        <v>-0.63058415819659963</v>
      </c>
      <c r="IO9" s="35">
        <f>IF(AND(Include_study?="Yes",Sufficient_data="Yes"),Z_score-('Publication Bias Analysis'!AY$30+'Publication Bias Analysis'!AY$31*Inverse_standard_error),"")</f>
        <v>-0.96701318790265112</v>
      </c>
      <c r="IQ9" s="2" t="s">
        <v>98</v>
      </c>
      <c r="IR9" s="3">
        <v>0</v>
      </c>
      <c r="IS9" s="3">
        <f>ABS(TINV((1-Additional_confidence_level),k_-1))</f>
        <v>2.178812829667228</v>
      </c>
      <c r="IU9" s="116"/>
      <c r="IV9" s="6">
        <f>IF('Publication Bias Analysis'!BG:BG&lt;&gt;"",RANK('Publication Bias Analysis'!BG:BG,'Publication Bias Analysis'!BG:BG,1)+COUNTIF('Publication Bias Analysis'!BG$2:BG8,'Publication Bias Analysis'!BG9),"")</f>
        <v>2</v>
      </c>
      <c r="IW9" s="3">
        <f t="shared" si="97"/>
        <v>0.125</v>
      </c>
      <c r="IX9" s="3">
        <f>IF('Publication Bias Analysis'!BF9&lt;&gt;"",'Publication Bias Analysis'!BF9,NA())</f>
        <v>-1.1503493803760083</v>
      </c>
      <c r="IY9" s="3">
        <f>IF('Publication Bias Analysis'!BG9&lt;&gt;"",'Publication Bias Analysis'!BG9,NA())</f>
        <v>-0.89577832112573053</v>
      </c>
      <c r="IZ9" s="3">
        <f>IF(AND(Include_study?="Yes",Sufficient_data="Yes"),'Publication Bias Analysis'!BF:BF-AVERAGE('Publication Bias Analysis'!BF:BF),"")</f>
        <v>-1.1503493803760081</v>
      </c>
      <c r="JA9" s="35">
        <f>IF(AND(Include_study?="Yes",Sufficient_data="Yes"),'Publication Bias Analysis'!BG:BG-('Publication Bias Analysis'!BJ$30+'Publication Bias Analysis'!BJ$31*'Publication Bias Analysis'!BF:BF),"")</f>
        <v>0.10386863961017678</v>
      </c>
      <c r="JG9" s="116"/>
      <c r="JH9" s="3">
        <f t="shared" si="98"/>
        <v>-0.89577832112573053</v>
      </c>
      <c r="JI9" s="10">
        <f t="shared" si="124"/>
        <v>0.18518558522973028</v>
      </c>
      <c r="JJ9" s="35">
        <f t="shared" si="125"/>
        <v>-1.6863967933320185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75</v>
      </c>
      <c r="C10" s="6">
        <f>IF(AND(Include_study?="Yes",Sufficient_data="Yes"),IF(Input!b_&lt;&gt;"",Input!b_,Input!n1_-Input!a_),"")</f>
        <v>1936</v>
      </c>
      <c r="D10" s="6">
        <f>IF(AND(Include_study?="Yes",Sufficient_data="Yes"),IF(Input!c_&lt;&gt;"",Input!c_,Input!n2_-Input!d_),"")</f>
        <v>68</v>
      </c>
      <c r="E10" s="6">
        <f>IF(AND(Include_study?="Yes",Sufficient_data="Yes"),IF(Input!d_&lt;&gt;"",Input!d_,Input!n2_-Input!c_),"")</f>
        <v>1943</v>
      </c>
      <c r="F10" s="35" t="str">
        <f t="shared" si="1"/>
        <v>No</v>
      </c>
      <c r="H10" s="133"/>
      <c r="I10" s="120"/>
      <c r="J10" s="76">
        <f t="shared" si="2"/>
        <v>1.1069290836169179</v>
      </c>
      <c r="K10" s="3">
        <f t="shared" si="3"/>
        <v>0.10158958990112155</v>
      </c>
      <c r="L10" s="3">
        <f t="shared" si="4"/>
        <v>0.17050047698176424</v>
      </c>
      <c r="M10" s="3">
        <f t="shared" si="5"/>
        <v>0.79240246815113036</v>
      </c>
      <c r="N10" s="35">
        <f t="shared" si="6"/>
        <v>1.5463000752835827</v>
      </c>
      <c r="P10" s="116"/>
      <c r="Q10" s="76">
        <f t="shared" si="7"/>
        <v>1.1068144633033394</v>
      </c>
      <c r="R10" s="3">
        <f t="shared" si="8"/>
        <v>0.1702821494887985</v>
      </c>
      <c r="S10" s="3">
        <f t="shared" si="9"/>
        <v>0.79265963616935231</v>
      </c>
      <c r="T10" s="35">
        <f t="shared" si="10"/>
        <v>1.5454782863646779</v>
      </c>
      <c r="V10" s="116"/>
      <c r="W10" s="76">
        <f t="shared" si="11"/>
        <v>3.4808552958726993E-3</v>
      </c>
      <c r="X10" s="3">
        <f t="shared" si="12"/>
        <v>5.8394994507837529E-3</v>
      </c>
      <c r="Y10" s="3">
        <f t="shared" si="13"/>
        <v>-7.9678003247242446E-3</v>
      </c>
      <c r="Z10" s="35">
        <f t="shared" si="14"/>
        <v>1.4929510916469643E-2</v>
      </c>
      <c r="AB10" s="116"/>
      <c r="AC10" s="76">
        <f t="shared" si="15"/>
        <v>1.1029411764705881</v>
      </c>
      <c r="AD10" s="3">
        <f t="shared" si="16"/>
        <v>9.7980408360203608E-2</v>
      </c>
      <c r="AE10" s="3">
        <f t="shared" si="17"/>
        <v>0.16445268499401114</v>
      </c>
      <c r="AF10" s="3">
        <f t="shared" si="18"/>
        <v>0.79896510582434033</v>
      </c>
      <c r="AG10" s="35">
        <f t="shared" si="19"/>
        <v>1.5225686702540158</v>
      </c>
      <c r="AI10" s="133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Alhussein et al.</v>
      </c>
      <c r="AN10" s="6">
        <f t="shared" si="21"/>
        <v>4022</v>
      </c>
      <c r="AO10" s="3">
        <f t="shared" si="22"/>
        <v>1.1069290836169179</v>
      </c>
      <c r="AP10" s="3">
        <f t="shared" si="23"/>
        <v>34.399236502247838</v>
      </c>
      <c r="AQ10" s="3">
        <f t="shared" si="24"/>
        <v>34.399236502247838</v>
      </c>
      <c r="AR10" s="3">
        <f t="shared" si="25"/>
        <v>0.17050047698176424</v>
      </c>
      <c r="AS10" s="3">
        <f t="shared" si="26"/>
        <v>0.79240246815113036</v>
      </c>
      <c r="AT10" s="3">
        <f t="shared" si="27"/>
        <v>1.5463000752835827</v>
      </c>
      <c r="AU10" s="80">
        <f t="shared" si="28"/>
        <v>8.6953022180187259E-2</v>
      </c>
      <c r="AW10" s="44">
        <f t="shared" si="29"/>
        <v>1.1069290836169179</v>
      </c>
      <c r="AX10" s="3">
        <f t="shared" si="30"/>
        <v>0.31452661546578753</v>
      </c>
      <c r="AY10" s="35">
        <f t="shared" si="31"/>
        <v>0.43937099166666482</v>
      </c>
      <c r="BD10" s="133"/>
      <c r="BE10" s="120"/>
      <c r="BF10" s="3">
        <f t="shared" si="32"/>
        <v>0.10158958990112155</v>
      </c>
      <c r="BG10" s="3">
        <f t="shared" si="33"/>
        <v>0.17050047698176424</v>
      </c>
      <c r="BH10" s="3">
        <f t="shared" si="34"/>
        <v>34.399236502247838</v>
      </c>
      <c r="BI10" s="3">
        <f t="shared" si="99"/>
        <v>34.399236502247838</v>
      </c>
      <c r="BJ10" s="35">
        <f t="shared" si="35"/>
        <v>8.6965743743523852E-2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6"/>
      <c r="BP10" s="3">
        <f t="shared" si="36"/>
        <v>36.231974142217801</v>
      </c>
      <c r="BQ10" s="3">
        <f t="shared" si="37"/>
        <v>32.731974142217801</v>
      </c>
      <c r="BR10" s="3">
        <f t="shared" si="38"/>
        <v>18.179046200645331</v>
      </c>
      <c r="BS10" s="3">
        <f>IF(AND(Sufficient_data="Yes",Include_study?="Yes"),IF(Add_0_5="Yes",(a_+d_+1)*(ab_+0.5)*(c_+0.5)/(Number_of_subjects+2)^2,(a_+d_)*b_*c_/Number_of_subjects^2),"")</f>
        <v>16.422954703877554</v>
      </c>
      <c r="BT10" s="3">
        <f t="shared" si="39"/>
        <v>18.05292794157247</v>
      </c>
      <c r="BU10" s="3">
        <f t="shared" si="40"/>
        <v>16.309019438340247</v>
      </c>
      <c r="BV10" s="3">
        <f t="shared" si="41"/>
        <v>32.731974142217801</v>
      </c>
      <c r="BW10" s="3">
        <f t="shared" si="42"/>
        <v>0.25909919106741119</v>
      </c>
      <c r="BX10" s="3">
        <f t="shared" si="43"/>
        <v>34.399236502247838</v>
      </c>
      <c r="BY10" s="35">
        <f t="shared" si="44"/>
        <v>8.6965743743523838E-2</v>
      </c>
      <c r="CA10" s="3" t="s">
        <v>303</v>
      </c>
      <c r="CB10" s="3">
        <f>IF(Meta_analysis_model="Fixed effect model",SUMPRODUCT(Weightf_MH,OddsRatio)/SUM(Weightf_MH),EXP(SUMPRODUCT(Weight_MH,LogOddsRatio)/SUM(Weight_MH)))</f>
        <v>1.0147312977420306</v>
      </c>
      <c r="CD10" s="116"/>
      <c r="CE10" s="76">
        <f t="shared" si="45"/>
        <v>71.5</v>
      </c>
      <c r="CF10" s="3">
        <f t="shared" si="46"/>
        <v>34.487503108679434</v>
      </c>
      <c r="CG10" s="3">
        <f t="shared" si="47"/>
        <v>0.1014860365208393</v>
      </c>
      <c r="CH10" s="3">
        <f t="shared" si="48"/>
        <v>2.8996010434525515E-2</v>
      </c>
      <c r="CI10" s="3">
        <f t="shared" si="49"/>
        <v>34.487503108679434</v>
      </c>
      <c r="CJ10" s="3">
        <f t="shared" si="50"/>
        <v>34.487503108679434</v>
      </c>
      <c r="CK10" s="35">
        <f t="shared" si="51"/>
        <v>8.6686646683553331E-2</v>
      </c>
      <c r="CM10" s="3" t="s">
        <v>304</v>
      </c>
      <c r="CN10" s="3">
        <f>EXP(lnCES_PetoOddsRatio)</f>
        <v>1.0149094430436145</v>
      </c>
      <c r="CP10" s="116"/>
      <c r="CQ10" s="52">
        <f t="shared" si="52"/>
        <v>3.3814022874191947E-2</v>
      </c>
      <c r="CS10" s="2"/>
      <c r="CT10" s="2" t="s">
        <v>37</v>
      </c>
      <c r="CU10" s="2" t="s">
        <v>61</v>
      </c>
      <c r="CV10" s="2" t="s">
        <v>62</v>
      </c>
      <c r="CX10" s="133"/>
      <c r="CY10" s="48">
        <f t="shared" si="53"/>
        <v>10</v>
      </c>
      <c r="CZ10" s="6" t="str">
        <f t="shared" si="54"/>
        <v>Alhussein et al.</v>
      </c>
      <c r="DA10" s="17" t="str">
        <f t="shared" si="55"/>
        <v>Spontaneous</v>
      </c>
      <c r="DB10" s="3">
        <f t="shared" si="56"/>
        <v>0.10158958990112155</v>
      </c>
      <c r="DC10" s="3">
        <f t="shared" si="57"/>
        <v>0.17050047698176424</v>
      </c>
      <c r="DD10" s="3">
        <f t="shared" si="58"/>
        <v>34.399236502247838</v>
      </c>
      <c r="DE10" s="3">
        <f t="shared" si="59"/>
        <v>34.399236502247838</v>
      </c>
      <c r="DF10" s="80">
        <f t="shared" si="60"/>
        <v>0.18699040870433903</v>
      </c>
      <c r="DG10" s="3">
        <f t="shared" si="61"/>
        <v>1.1069290836169179</v>
      </c>
      <c r="DH10" s="3">
        <f t="shared" si="62"/>
        <v>0.79240248799072066</v>
      </c>
      <c r="DI10" s="3">
        <f t="shared" si="63"/>
        <v>1.5463000365684596</v>
      </c>
      <c r="DJ10" s="35">
        <f t="shared" si="64"/>
        <v>0.10380234185804552</v>
      </c>
      <c r="DL10" s="44">
        <f t="shared" si="65"/>
        <v>1.1069290836169179</v>
      </c>
      <c r="DM10" s="3">
        <f t="shared" si="100"/>
        <v>0.31452659562619723</v>
      </c>
      <c r="DN10" s="35">
        <f t="shared" si="101"/>
        <v>0.43937095295154172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305</v>
      </c>
      <c r="FP10" s="1"/>
      <c r="FR10" s="133"/>
      <c r="FS10" s="120"/>
      <c r="FT10" s="76">
        <f>IF(AND(Include_study?="Yes",Sufficient_data="Yes"),IF(Additional_weighting_method="Inverse Variance",1/'Publication Bias Analysis'!F:F^2,IF(Additional_weighting_method="Mantel-Haenszel",Weightf_MH,Weightf_Peto)),"")</f>
        <v>34.399236502247838</v>
      </c>
      <c r="FU10" s="3">
        <f>IF(AND(Include_study?="Yes",Sufficient_data="Yes"),1/('Publication Bias Analysis'!F:F^2+IF(Additional_model="Fixed effect",0,Calculations!GH$12)),"")</f>
        <v>34.399236502247838</v>
      </c>
      <c r="FV10" s="3">
        <f>IF(AND(Include_study?="Yes",Sufficient_data="Yes"),1/('Publication Bias Analysis'!F:F^2+IF(Additional_model="Fixed effect",0,'Publication Bias Analysis'!L$32)),"")</f>
        <v>34.399236502247838</v>
      </c>
      <c r="FW10" s="3">
        <f>IF(AND(Include_study?="Yes",Sufficient_data="Yes"),'Publication Bias Analysis'!E:E-'Publication Bias Analysis'!I$37,"")</f>
        <v>8.6965743743523852E-2</v>
      </c>
      <c r="FX10" s="3">
        <f>IF(AND(Include_study?="Yes",Sufficient_data="Yes"),IF(Additional_model="Fixed effect",1/'Publication Bias Analysis'!F:F,1/SQRT('Publication Bias Analysis'!F:F^2+GH$12)),"")</f>
        <v>5.8650862314417704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0.59583170498688398</v>
      </c>
      <c r="FZ10" s="6">
        <f t="shared" si="80"/>
        <v>5</v>
      </c>
      <c r="GA10" s="83">
        <f>IF(AND(Include_study?="Yes",Sufficient_data="Yes"),FZ:FZ+IF(GL:GL&lt;0,-1,1)*COUNTIF(FZ$2:FZ9,FZ:FZ),"")</f>
        <v>5</v>
      </c>
      <c r="GB10" s="83">
        <f>IF(AND(Include_study?="Yes",Sufficient_data="Yes"),RANK(GP:GP,GP:GP,1)*IF(GO:GO&lt;0,-1,1)+IF(GO:GO&lt;0,-1,1)*COUNTIF(FZ$2:FZ9,FZ:FZ),"")</f>
        <v>5</v>
      </c>
      <c r="GC10" s="83">
        <f>IF(AND(Include_study?="Yes",Sufficient_data="Yes"),RANK(GS:GS,GS:GS,1)*IF(GR:GR&lt;0,-1,1)+IF(GR:GR&lt;0,-1,1)*COUNTIF(FZ$2:FZ9,FZ:FZ),"")</f>
        <v>5</v>
      </c>
      <c r="GD10" s="3">
        <f>IF(AND(Include_study?="Yes",Sufficient_data="Yes"),'Publication Bias Analysis'!E10,NA())</f>
        <v>0.10158958990112155</v>
      </c>
      <c r="GE10" s="35">
        <f>IF(AND(Include_study?="Yes",Sufficient_data="Yes"),'Publication Bias Analysis'!F10,NA())</f>
        <v>0.17050047698176424</v>
      </c>
      <c r="GG10" s="114" t="s">
        <v>56</v>
      </c>
      <c r="GH10" s="114"/>
      <c r="GK10" s="116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8.6965743743523852E-2</v>
      </c>
      <c r="GM10" s="3">
        <f t="shared" si="81"/>
        <v>8.6965743743523852E-2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34.399236502247838</v>
      </c>
      <c r="GO10" s="3">
        <f>IF(AND(Include_study?="Yes",Sufficient_data="Yes"),IF('Publication Bias Analysis'!L$38="Left",'Publication Bias Analysis'!E:E-GW$3,GW$3-'Publication Bias Analysis'!E:E),"")</f>
        <v>8.6965743743523852E-2</v>
      </c>
      <c r="GP10" s="3">
        <f t="shared" si="82"/>
        <v>8.6965743743523852E-2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34.399236502247838</v>
      </c>
      <c r="GR10" s="3">
        <f>IF(AND(Include_study?="Yes",Sufficient_data="Yes"),IF('Publication Bias Analysis'!L$38="Left",'Publication Bias Analysis'!E:E-GW$10,GW$10-'Publication Bias Analysis'!E:E),"")</f>
        <v>8.6965743743523852E-2</v>
      </c>
      <c r="GS10" s="3">
        <f t="shared" si="83"/>
        <v>8.6965743743523852E-2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34.399236502247838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1.4623846157597693E-2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6"/>
      <c r="HL10" s="3">
        <f t="shared" si="89"/>
        <v>0.36335764179810237</v>
      </c>
      <c r="HM10" s="35">
        <f>IF(AND(Include_study?="Yes",Sufficient_data="Yes"),Z_score-('Publication Bias Analysis'!P$3+'Publication Bias Analysis'!P$4*Inverse_standard_error),"")</f>
        <v>0.48620286365544974</v>
      </c>
      <c r="HO10" s="116"/>
      <c r="HP10" s="3">
        <f>IF(AND(Include_study?="Yes",Sufficient_data="Yes"),(GD:GD-SUMPRODUCT(Calculations!FT:FT,'Publication Bias Analysis'!E:E)/SUM(Calculations!FT:FT))/SQRT(Calculations!HQ:HQ),"")</f>
        <v>0.5337969100898573</v>
      </c>
      <c r="HQ10" s="3">
        <f>IF(AND(Include_study?="Yes",Sufficient_data="Yes"),GE:GE^2-1/SUM(Calculations!FT:FT),"")</f>
        <v>2.6542652414978725E-2</v>
      </c>
      <c r="HR10" s="6">
        <f t="shared" si="90"/>
        <v>5</v>
      </c>
      <c r="HS10" s="6">
        <f t="shared" si="91"/>
        <v>11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6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6</v>
      </c>
      <c r="HW10" s="116"/>
      <c r="HX10" s="54">
        <v>9</v>
      </c>
      <c r="HY10" s="32">
        <f t="shared" si="123"/>
        <v>1.4</v>
      </c>
      <c r="HZ10" s="39"/>
      <c r="IB10" s="116"/>
      <c r="IC10" s="76">
        <f t="shared" si="92"/>
        <v>3.7294878170064646E-2</v>
      </c>
      <c r="ID10" s="3">
        <f t="shared" si="93"/>
        <v>3.3814022874191947E-2</v>
      </c>
      <c r="IE10" s="3">
        <f t="shared" si="94"/>
        <v>36.975841195790501</v>
      </c>
      <c r="IF10" s="35">
        <f t="shared" si="95"/>
        <v>34.399236502247838</v>
      </c>
      <c r="IK10" s="116"/>
      <c r="IL10" s="3">
        <f>IF(AND(Include_study?="Yes",Sufficient_data="Yes"),'Publication Bias Analysis'!AV:AV,NA())</f>
        <v>0.59583170498688398</v>
      </c>
      <c r="IM10" s="3">
        <f>IF(AND(Sufficient_data="Yes",Include_study?="Yes"),'Publication Bias Analysis'!AU:AU,NA())</f>
        <v>5.8650862314417704</v>
      </c>
      <c r="IN10" s="3">
        <f t="shared" si="96"/>
        <v>0.36335764179810237</v>
      </c>
      <c r="IO10" s="35">
        <f>IF(AND(Include_study?="Yes",Sufficient_data="Yes"),Z_score-('Publication Bias Analysis'!AY$30+'Publication Bias Analysis'!AY$31*Inverse_standard_error),"")</f>
        <v>0.51006158623723508</v>
      </c>
      <c r="IQ10" s="2" t="s">
        <v>285</v>
      </c>
      <c r="IR10" s="3">
        <f>MAX(Inverse_standard_error)</f>
        <v>6.0258232649491505</v>
      </c>
      <c r="IS10" s="3">
        <f>IR10*'Publication Bias Analysis'!AY31+IS9</f>
        <v>2.2669335420667176</v>
      </c>
      <c r="IU10" s="116"/>
      <c r="IV10" s="6">
        <f>IF('Publication Bias Analysis'!BG:BG&lt;&gt;"",RANK('Publication Bias Analysis'!BG:BG,'Publication Bias Analysis'!BG:BG,1)+COUNTIF('Publication Bias Analysis'!BG$2:BG9,'Publication Bias Analysis'!BG10),"")</f>
        <v>9</v>
      </c>
      <c r="IW10" s="3">
        <f t="shared" si="97"/>
        <v>0.64999999999999991</v>
      </c>
      <c r="IX10" s="3">
        <f>IF('Publication Bias Analysis'!BF10&lt;&gt;"",'Publication Bias Analysis'!BF10,NA())</f>
        <v>0.38532046640756745</v>
      </c>
      <c r="IY10" s="3">
        <f>IF('Publication Bias Analysis'!BG10&lt;&gt;"",'Publication Bias Analysis'!BG10,NA())</f>
        <v>0.59583170498688398</v>
      </c>
      <c r="IZ10" s="3">
        <f>IF(AND(Include_study?="Yes",Sufficient_data="Yes"),'Publication Bias Analysis'!BF:BF-AVERAGE('Publication Bias Analysis'!BF:BF),"")</f>
        <v>0.38532046640756773</v>
      </c>
      <c r="JA10" s="35">
        <f>IF(AND(Include_study?="Yes",Sufficient_data="Yes"),'Publication Bias Analysis'!BG:BG-('Publication Bias Analysis'!BJ$30+'Publication Bias Analysis'!BJ$31*'Publication Bias Analysis'!BF:BF),"")</f>
        <v>0.15639870508648912</v>
      </c>
      <c r="JG10" s="116"/>
      <c r="JH10" s="3">
        <f t="shared" si="98"/>
        <v>0.59583170498688398</v>
      </c>
      <c r="JI10" s="10">
        <f t="shared" si="124"/>
        <v>0.27564383052131058</v>
      </c>
      <c r="JJ10" s="35">
        <f t="shared" si="125"/>
        <v>-1.2886457157629936</v>
      </c>
    </row>
    <row r="11" spans="1:270" ht="13.5" customHeight="1" x14ac:dyDescent="0.35">
      <c r="A11" s="2">
        <f t="shared" si="0"/>
        <v>10</v>
      </c>
      <c r="B11" s="6">
        <f>IF(AND(Include_study?="Yes",Sufficient_data="Yes"),IF(Input!a_&lt;&gt;"",Input!a_,Input!n1_-Input!b_),"")</f>
        <v>65</v>
      </c>
      <c r="C11" s="6">
        <f>IF(AND(Include_study?="Yes",Sufficient_data="Yes"),IF(Input!b_&lt;&gt;"",Input!b_,Input!n1_-Input!a_),"")</f>
        <v>3935</v>
      </c>
      <c r="D11" s="6">
        <f>IF(AND(Include_study?="Yes",Sufficient_data="Yes"),IF(Input!c_&lt;&gt;"",Input!c_,Input!n2_-Input!d_),"")</f>
        <v>53</v>
      </c>
      <c r="E11" s="6">
        <f>IF(AND(Include_study?="Yes",Sufficient_data="Yes"),IF(Input!d_&lt;&gt;"",Input!d_,Input!n2_-Input!c_),"")</f>
        <v>3947</v>
      </c>
      <c r="F11" s="35" t="str">
        <f t="shared" si="1"/>
        <v>No</v>
      </c>
      <c r="H11" s="133"/>
      <c r="I11" s="120"/>
      <c r="J11" s="76">
        <f t="shared" si="2"/>
        <v>1.230155114957685</v>
      </c>
      <c r="K11" s="3">
        <f t="shared" si="3"/>
        <v>0.20714027115485881</v>
      </c>
      <c r="L11" s="3">
        <f t="shared" si="4"/>
        <v>0.18644041004836151</v>
      </c>
      <c r="M11" s="3">
        <f t="shared" si="5"/>
        <v>0.85356675569039764</v>
      </c>
      <c r="N11" s="35">
        <f t="shared" si="6"/>
        <v>1.7728919229434552</v>
      </c>
      <c r="P11" s="116"/>
      <c r="Q11" s="76">
        <f t="shared" si="7"/>
        <v>1.2292557913969411</v>
      </c>
      <c r="R11" s="3">
        <f t="shared" si="8"/>
        <v>0.18547638601915989</v>
      </c>
      <c r="S11" s="3">
        <f t="shared" si="9"/>
        <v>0.85455610531731441</v>
      </c>
      <c r="T11" s="35">
        <f t="shared" si="10"/>
        <v>1.7682511321147583</v>
      </c>
      <c r="V11" s="116"/>
      <c r="W11" s="76">
        <f t="shared" si="11"/>
        <v>3.0000000000000009E-3</v>
      </c>
      <c r="X11" s="3">
        <f t="shared" si="12"/>
        <v>2.6953837852892121E-3</v>
      </c>
      <c r="Y11" s="3">
        <f t="shared" si="13"/>
        <v>-2.2836547351676112E-3</v>
      </c>
      <c r="Z11" s="35">
        <f t="shared" si="14"/>
        <v>8.2836547351676122E-3</v>
      </c>
      <c r="AB11" s="116"/>
      <c r="AC11" s="76">
        <f t="shared" si="15"/>
        <v>1.2264150943396228</v>
      </c>
      <c r="AD11" s="3">
        <f t="shared" si="16"/>
        <v>0.20409535634351542</v>
      </c>
      <c r="AE11" s="3">
        <f t="shared" si="17"/>
        <v>0.18371864334606128</v>
      </c>
      <c r="AF11" s="3">
        <f t="shared" si="18"/>
        <v>0.85552405461108316</v>
      </c>
      <c r="AG11" s="35">
        <f t="shared" si="19"/>
        <v>1.7580966607745696</v>
      </c>
      <c r="AI11" s="133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Latif et al.</v>
      </c>
      <c r="AN11" s="6">
        <f t="shared" si="21"/>
        <v>8000</v>
      </c>
      <c r="AO11" s="3">
        <f t="shared" si="22"/>
        <v>1.230155114957685</v>
      </c>
      <c r="AP11" s="3">
        <f t="shared" si="23"/>
        <v>28.768677723209869</v>
      </c>
      <c r="AQ11" s="3">
        <f t="shared" si="24"/>
        <v>28.768677723209869</v>
      </c>
      <c r="AR11" s="3">
        <f t="shared" si="25"/>
        <v>0.18644041004836151</v>
      </c>
      <c r="AS11" s="3">
        <f t="shared" si="26"/>
        <v>0.85356675569039764</v>
      </c>
      <c r="AT11" s="3">
        <f t="shared" si="27"/>
        <v>1.7728919229434552</v>
      </c>
      <c r="AU11" s="80">
        <f t="shared" si="28"/>
        <v>7.2720319591903254E-2</v>
      </c>
      <c r="AW11" s="44">
        <f t="shared" si="29"/>
        <v>1.230155114957685</v>
      </c>
      <c r="AX11" s="3">
        <f t="shared" si="30"/>
        <v>0.3765883592672874</v>
      </c>
      <c r="AY11" s="35">
        <f t="shared" si="31"/>
        <v>0.54273680798577018</v>
      </c>
      <c r="BD11" s="133"/>
      <c r="BE11" s="120"/>
      <c r="BF11" s="3">
        <f t="shared" si="32"/>
        <v>0.20714027115485881</v>
      </c>
      <c r="BG11" s="3">
        <f t="shared" si="33"/>
        <v>0.18644041004836151</v>
      </c>
      <c r="BH11" s="3">
        <f t="shared" si="34"/>
        <v>28.768677723209869</v>
      </c>
      <c r="BI11" s="3">
        <f t="shared" si="99"/>
        <v>28.768677723209869</v>
      </c>
      <c r="BJ11" s="35">
        <f t="shared" si="35"/>
        <v>0.19251642499726113</v>
      </c>
      <c r="BL11" s="3" t="s">
        <v>306</v>
      </c>
      <c r="BM11" s="3">
        <f>IF(Model_effect_size_measure="Risk Difference",CES_IV-ABS(TINV((1-Confidence_level),k_-1))*SECES_Risk_Difference,EXP(CIlnCES_LL))</f>
        <v>0.92024293352802067</v>
      </c>
      <c r="BO11" s="116"/>
      <c r="BP11" s="3">
        <f t="shared" si="36"/>
        <v>32.069375000000001</v>
      </c>
      <c r="BQ11" s="3">
        <f t="shared" si="37"/>
        <v>26.069375000000001</v>
      </c>
      <c r="BR11" s="3">
        <f t="shared" si="38"/>
        <v>16.082791562499999</v>
      </c>
      <c r="BS11" s="3">
        <f>IF(AND(Sufficient_data="Yes",Include_study?="Yes"),IF(Add_0_5="Yes",(a_+d_+1)*(ab_+0.5)*(c_+0.5)/(Number_of_subjects+2)^2,(a_+d_)*b_*c_/Number_of_subjects^2),"")</f>
        <v>13.0737915625</v>
      </c>
      <c r="BT11" s="3">
        <f t="shared" si="39"/>
        <v>15.9865834375</v>
      </c>
      <c r="BU11" s="3">
        <f t="shared" si="40"/>
        <v>12.995583437500001</v>
      </c>
      <c r="BV11" s="3">
        <f t="shared" si="41"/>
        <v>26.069375000000001</v>
      </c>
      <c r="BW11" s="3">
        <f t="shared" si="42"/>
        <v>1.0642709758332545</v>
      </c>
      <c r="BX11" s="3">
        <f t="shared" si="43"/>
        <v>28.768677723209869</v>
      </c>
      <c r="BY11" s="35">
        <f t="shared" si="44"/>
        <v>0.1925164249972611</v>
      </c>
      <c r="CA11" s="3" t="s">
        <v>306</v>
      </c>
      <c r="CB11" s="3">
        <f>EXP(CIlnCES_LL_MH)</f>
        <v>0.92024293352802067</v>
      </c>
      <c r="CD11" s="116"/>
      <c r="CE11" s="76">
        <f t="shared" si="45"/>
        <v>59</v>
      </c>
      <c r="CF11" s="3">
        <f t="shared" si="46"/>
        <v>29.068508563570447</v>
      </c>
      <c r="CG11" s="3">
        <f t="shared" si="47"/>
        <v>0.20640893862437049</v>
      </c>
      <c r="CH11" s="3">
        <f t="shared" si="48"/>
        <v>3.4401489770728412E-2</v>
      </c>
      <c r="CI11" s="3">
        <f t="shared" si="49"/>
        <v>29.068508563570447</v>
      </c>
      <c r="CJ11" s="3">
        <f t="shared" si="50"/>
        <v>29.068508563570447</v>
      </c>
      <c r="CK11" s="35">
        <f t="shared" si="51"/>
        <v>0.1916095487870845</v>
      </c>
      <c r="CM11" s="3" t="s">
        <v>306</v>
      </c>
      <c r="CN11" s="3">
        <f>EXP(CIlnCES_LL_Peto)</f>
        <v>0.92052131121915548</v>
      </c>
      <c r="CP11" s="116"/>
      <c r="CQ11" s="52">
        <f t="shared" si="52"/>
        <v>1.325E-2</v>
      </c>
      <c r="CS11" s="2" t="s">
        <v>280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1.0145332713021546</v>
      </c>
      <c r="CU11" s="3">
        <f>IF(Model_effect_size_measure="Odds Ratio",CES_OddsRatio_MH/(1-MEDIAN(Control_group_risk)+(MEDIAN(Control_group_risk)*CES_OddsRatio_MH)),NA())</f>
        <v>1.0145332713021546</v>
      </c>
      <c r="CV11" s="3" t="e">
        <f>IF(Model_effect_size_measure="Peto Odds Ratio",CES_PetoOddsRatio/(1-MEDIAN(Control_group_risk)+(MEDIAN(Control_group_risk)*CES_PetoOddsRatio)),NA())</f>
        <v>#N/A</v>
      </c>
      <c r="CX11" s="133"/>
      <c r="CY11" s="48">
        <f t="shared" si="53"/>
        <v>11</v>
      </c>
      <c r="CZ11" s="6" t="str">
        <f t="shared" si="54"/>
        <v>Latif et al.</v>
      </c>
      <c r="DA11" s="17" t="str">
        <f t="shared" si="55"/>
        <v>Spontaneous</v>
      </c>
      <c r="DB11" s="3">
        <f t="shared" si="56"/>
        <v>0.20714027115485881</v>
      </c>
      <c r="DC11" s="3">
        <f t="shared" si="57"/>
        <v>0.18644041004836151</v>
      </c>
      <c r="DD11" s="3">
        <f t="shared" si="58"/>
        <v>28.768677723209869</v>
      </c>
      <c r="DE11" s="3">
        <f t="shared" si="59"/>
        <v>28.768677723209869</v>
      </c>
      <c r="DF11" s="80">
        <f t="shared" si="60"/>
        <v>0.15638331987382637</v>
      </c>
      <c r="DG11" s="3">
        <f t="shared" si="61"/>
        <v>1.230155114957685</v>
      </c>
      <c r="DH11" s="3">
        <f t="shared" si="62"/>
        <v>0.85356676159311928</v>
      </c>
      <c r="DI11" s="3">
        <f t="shared" si="63"/>
        <v>1.7728919106832688</v>
      </c>
      <c r="DJ11" s="35">
        <f t="shared" si="64"/>
        <v>0.20935302311178278</v>
      </c>
      <c r="DL11" s="44">
        <f t="shared" si="65"/>
        <v>1.230155114957685</v>
      </c>
      <c r="DM11" s="3">
        <f t="shared" si="100"/>
        <v>0.37658835336456575</v>
      </c>
      <c r="DN11" s="35">
        <f t="shared" si="101"/>
        <v>0.54273679572558375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195</v>
      </c>
      <c r="EY11" s="3">
        <f>IF(Subgroup_valid_options="Yes",IF(Subgroup_effect_size_measure="Risk Difference",EY9-ABS(TINV((1-Subgroup_confidence_level),Subgroup_k-1))*EY10,EXP(EY4)),"")</f>
        <v>0.97621712918844117</v>
      </c>
      <c r="FA11" s="13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242</v>
      </c>
      <c r="FP11" s="2" t="s">
        <v>243</v>
      </c>
      <c r="FR11" s="133"/>
      <c r="FS11" s="120"/>
      <c r="FT11" s="76">
        <f>IF(AND(Include_study?="Yes",Sufficient_data="Yes"),IF(Additional_weighting_method="Inverse Variance",1/'Publication Bias Analysis'!F:F^2,IF(Additional_weighting_method="Mantel-Haenszel",Weightf_MH,Weightf_Peto)),"")</f>
        <v>28.768677723209869</v>
      </c>
      <c r="FU11" s="3">
        <f>IF(AND(Include_study?="Yes",Sufficient_data="Yes"),1/('Publication Bias Analysis'!F:F^2+IF(Additional_model="Fixed effect",0,Calculations!GH$12)),"")</f>
        <v>28.768677723209869</v>
      </c>
      <c r="FV11" s="3">
        <f>IF(AND(Include_study?="Yes",Sufficient_data="Yes"),1/('Publication Bias Analysis'!F:F^2+IF(Additional_model="Fixed effect",0,'Publication Bias Analysis'!L$32)),"")</f>
        <v>28.768677723209869</v>
      </c>
      <c r="FW11" s="3">
        <f>IF(AND(Include_study?="Yes",Sufficient_data="Yes"),'Publication Bias Analysis'!E:E-'Publication Bias Analysis'!I$37,"")</f>
        <v>0.19251642499726113</v>
      </c>
      <c r="FX11" s="3">
        <f>IF(AND(Include_study?="Yes",Sufficient_data="Yes"),IF(Additional_model="Fixed effect",1/'Publication Bias Analysis'!F:F,1/SQRT('Publication Bias Analysis'!F:F^2+GH$12)),"")</f>
        <v>5.3636440712644111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1.1110266872998611</v>
      </c>
      <c r="FZ11" s="6">
        <f t="shared" si="80"/>
        <v>10</v>
      </c>
      <c r="GA11" s="83">
        <f>IF(AND(Include_study?="Yes",Sufficient_data="Yes"),FZ:FZ+IF(GL:GL&lt;0,-1,1)*COUNTIF(FZ$2:FZ10,FZ:FZ),"")</f>
        <v>10</v>
      </c>
      <c r="GB11" s="83">
        <f>IF(AND(Include_study?="Yes",Sufficient_data="Yes"),RANK(GP:GP,GP:GP,1)*IF(GO:GO&lt;0,-1,1)+IF(GO:GO&lt;0,-1,1)*COUNTIF(FZ$2:FZ10,FZ:FZ),"")</f>
        <v>10</v>
      </c>
      <c r="GC11" s="83">
        <f>IF(AND(Include_study?="Yes",Sufficient_data="Yes"),RANK(GS:GS,GS:GS,1)*IF(GR:GR&lt;0,-1,1)+IF(GR:GR&lt;0,-1,1)*COUNTIF(FZ$2:FZ10,FZ:FZ),"")</f>
        <v>10</v>
      </c>
      <c r="GD11" s="3">
        <f>IF(AND(Include_study?="Yes",Sufficient_data="Yes"),'Publication Bias Analysis'!E11,NA())</f>
        <v>0.20714027115485881</v>
      </c>
      <c r="GE11" s="35">
        <f>IF(AND(Include_study?="Yes",Sufficient_data="Yes"),'Publication Bias Analysis'!F11,NA())</f>
        <v>0.18644041004836151</v>
      </c>
      <c r="GG11" s="2" t="s">
        <v>57</v>
      </c>
      <c r="GH11" s="3">
        <f>SUMPRODUCT(Calculations!FT:FT,'Publication Bias Analysis'!E:E,'Publication Bias Analysis'!E:E)-SUMPRODUCT(Calculations!FT:FT,'Publication Bias Analysis'!E:E)^2/SUM(Calculations!FT:FT)</f>
        <v>9.5535089233882786</v>
      </c>
      <c r="GK11" s="116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0.19251642499726113</v>
      </c>
      <c r="GM11" s="3">
        <f t="shared" si="81"/>
        <v>0.19251642499726113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28.768677723209869</v>
      </c>
      <c r="GO11" s="3">
        <f>IF(AND(Include_study?="Yes",Sufficient_data="Yes"),IF('Publication Bias Analysis'!L$38="Left",'Publication Bias Analysis'!E:E-GW$3,GW$3-'Publication Bias Analysis'!E:E),"")</f>
        <v>0.19251642499726113</v>
      </c>
      <c r="GP11" s="3">
        <f t="shared" si="82"/>
        <v>0.19251642499726113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28.768677723209869</v>
      </c>
      <c r="GR11" s="3">
        <f>IF(AND(Include_study?="Yes",Sufficient_data="Yes"),IF('Publication Bias Analysis'!L$38="Left",'Publication Bias Analysis'!E:E-GW$10,GW$10-'Publication Bias Analysis'!E:E),"")</f>
        <v>0.19251642499726113</v>
      </c>
      <c r="GS11" s="3">
        <f t="shared" si="83"/>
        <v>0.19251642499726113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28.768677723209869</v>
      </c>
      <c r="GV11" s="114" t="s">
        <v>56</v>
      </c>
      <c r="GW11" s="114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6"/>
      <c r="HL11" s="3">
        <f t="shared" si="89"/>
        <v>-0.13808451837925695</v>
      </c>
      <c r="HM11" s="35">
        <f>IF(AND(Include_study?="Yes",Sufficient_data="Yes"),Z_score-('Publication Bias Analysis'!P$3+'Publication Bias Analysis'!P$4*Inverse_standard_error),"")</f>
        <v>1.044565802775703</v>
      </c>
      <c r="HO11" s="116"/>
      <c r="HP11" s="3">
        <f>IF(AND(Include_study?="Yes",Sufficient_data="Yes"),(GD:GD-SUMPRODUCT(Calculations!FT:FT,'Publication Bias Analysis'!E:E)/SUM(Calculations!FT:FT))/SQRT(Calculations!HQ:HQ),"")</f>
        <v>1.0723149658449784</v>
      </c>
      <c r="HQ11" s="3">
        <f>IF(AND(Include_study?="Yes",Sufficient_data="Yes"),GE:GE^2-1/SUM(Calculations!FT:FT),"")</f>
        <v>3.2232266262970787E-2</v>
      </c>
      <c r="HR11" s="6">
        <f t="shared" si="90"/>
        <v>2</v>
      </c>
      <c r="HS11" s="6">
        <f t="shared" si="91"/>
        <v>4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8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4</v>
      </c>
      <c r="HW11" s="116"/>
      <c r="IB11" s="116"/>
      <c r="IC11" s="76">
        <f t="shared" si="92"/>
        <v>1.6250000000000001E-2</v>
      </c>
      <c r="ID11" s="3">
        <f t="shared" si="93"/>
        <v>1.325E-2</v>
      </c>
      <c r="IE11" s="3">
        <f t="shared" si="94"/>
        <v>29.627399969899596</v>
      </c>
      <c r="IF11" s="35">
        <f t="shared" si="95"/>
        <v>28.768677723209869</v>
      </c>
      <c r="IK11" s="116"/>
      <c r="IL11" s="3">
        <f>IF(AND(Include_study?="Yes",Sufficient_data="Yes"),'Publication Bias Analysis'!AV:AV,NA())</f>
        <v>1.1110266872998611</v>
      </c>
      <c r="IM11" s="3">
        <f>IF(AND(Sufficient_data="Yes",Include_study?="Yes"),'Publication Bias Analysis'!AU:AU,NA())</f>
        <v>5.3636440712644111</v>
      </c>
      <c r="IN11" s="3">
        <f t="shared" si="96"/>
        <v>-0.13808451837925695</v>
      </c>
      <c r="IO11" s="35">
        <f>IF(AND(Include_study?="Yes",Sufficient_data="Yes"),Z_score-('Publication Bias Analysis'!AY$30+'Publication Bias Analysis'!AY$31*Inverse_standard_error),"")</f>
        <v>1.0325895815575794</v>
      </c>
      <c r="IU11" s="116"/>
      <c r="IV11" s="6">
        <f>IF('Publication Bias Analysis'!BG:BG&lt;&gt;"",RANK('Publication Bias Analysis'!BG:BG,'Publication Bias Analysis'!BG:BG,1)+COUNTIF('Publication Bias Analysis'!BG$2:BG10,'Publication Bias Analysis'!BG11),"")</f>
        <v>12</v>
      </c>
      <c r="IW11" s="3">
        <f t="shared" si="97"/>
        <v>0.87499999999999989</v>
      </c>
      <c r="IX11" s="3">
        <f>IF('Publication Bias Analysis'!BF11&lt;&gt;"",'Publication Bias Analysis'!BF11,NA())</f>
        <v>1.1503493803760076</v>
      </c>
      <c r="IY11" s="3">
        <f>IF('Publication Bias Analysis'!BG11&lt;&gt;"",'Publication Bias Analysis'!BG11,NA())</f>
        <v>1.1110266872998611</v>
      </c>
      <c r="IZ11" s="3">
        <f>IF(AND(Include_study?="Yes",Sufficient_data="Yes"),'Publication Bias Analysis'!BF:BF-AVERAGE('Publication Bias Analysis'!BF:BF),"")</f>
        <v>1.1503493803760079</v>
      </c>
      <c r="JA11" s="35">
        <f>IF(AND(Include_study?="Yes",Sufficient_data="Yes"),'Publication Bias Analysis'!BG:BG-('Publication Bias Analysis'!BJ$30+'Publication Bias Analysis'!BJ$31*'Publication Bias Analysis'!BF:BF),"")</f>
        <v>-4.5316774641072088E-2</v>
      </c>
      <c r="JG11" s="116"/>
      <c r="JH11" s="3">
        <f t="shared" si="98"/>
        <v>1.1110266872998611</v>
      </c>
      <c r="JI11" s="10">
        <f t="shared" si="124"/>
        <v>0.13327843112230853</v>
      </c>
      <c r="JJ11" s="35">
        <f t="shared" si="125"/>
        <v>-2.0153148719240894</v>
      </c>
    </row>
    <row r="12" spans="1:270" ht="14" x14ac:dyDescent="0.35">
      <c r="A12" s="2">
        <f t="shared" si="0"/>
        <v>11</v>
      </c>
      <c r="B12" s="6">
        <f>IF(AND(Include_study?="Yes",Sufficient_data="Yes"),IF(Input!a_&lt;&gt;"",Input!a_,Input!n1_-Input!b_),"")</f>
        <v>53</v>
      </c>
      <c r="C12" s="6">
        <f>IF(AND(Include_study?="Yes",Sufficient_data="Yes"),IF(Input!b_&lt;&gt;"",Input!b_,Input!n1_-Input!a_),"")</f>
        <v>932</v>
      </c>
      <c r="D12" s="6">
        <f>IF(AND(Include_study?="Yes",Sufficient_data="Yes"),IF(Input!c_&lt;&gt;"",Input!c_,Input!n2_-Input!d_),"")</f>
        <v>55</v>
      </c>
      <c r="E12" s="6">
        <f>IF(AND(Include_study?="Yes",Sufficient_data="Yes"),IF(Input!d_&lt;&gt;"",Input!d_,Input!n2_-Input!c_),"")</f>
        <v>930</v>
      </c>
      <c r="F12" s="35" t="str">
        <f t="shared" si="1"/>
        <v>No</v>
      </c>
      <c r="H12" s="133"/>
      <c r="I12" s="120"/>
      <c r="J12" s="76">
        <f t="shared" si="2"/>
        <v>0.96156847444401095</v>
      </c>
      <c r="K12" s="3">
        <f t="shared" si="3"/>
        <v>-3.9189500218638623E-2</v>
      </c>
      <c r="L12" s="3">
        <f t="shared" si="4"/>
        <v>0.19798477946729875</v>
      </c>
      <c r="M12" s="3">
        <f t="shared" si="5"/>
        <v>0.65215609441719358</v>
      </c>
      <c r="N12" s="35">
        <f t="shared" si="6"/>
        <v>1.4177800973720469</v>
      </c>
      <c r="P12" s="116"/>
      <c r="Q12" s="76">
        <f t="shared" si="7"/>
        <v>0.96159167397374457</v>
      </c>
      <c r="R12" s="3">
        <f t="shared" si="8"/>
        <v>0.19790243493155893</v>
      </c>
      <c r="S12" s="3">
        <f t="shared" si="9"/>
        <v>0.6522771576350328</v>
      </c>
      <c r="T12" s="35">
        <f t="shared" si="10"/>
        <v>1.4175853571328036</v>
      </c>
      <c r="V12" s="116"/>
      <c r="W12" s="76">
        <f t="shared" si="11"/>
        <v>-2.0304568527918787E-3</v>
      </c>
      <c r="X12" s="3">
        <f t="shared" si="12"/>
        <v>1.0257181801826045E-2</v>
      </c>
      <c r="Y12" s="3">
        <f t="shared" si="13"/>
        <v>-2.2146535482127021E-2</v>
      </c>
      <c r="Z12" s="35">
        <f t="shared" si="14"/>
        <v>1.8085621776543263E-2</v>
      </c>
      <c r="AB12" s="116"/>
      <c r="AC12" s="76">
        <f t="shared" si="15"/>
        <v>0.96363636363636362</v>
      </c>
      <c r="AD12" s="3">
        <f t="shared" si="16"/>
        <v>-3.7041271680349097E-2</v>
      </c>
      <c r="AE12" s="3">
        <f t="shared" si="17"/>
        <v>0.18713440586201188</v>
      </c>
      <c r="AF12" s="3">
        <f t="shared" si="18"/>
        <v>0.66761495929318004</v>
      </c>
      <c r="AG12" s="35">
        <f t="shared" si="19"/>
        <v>1.3909140716460877</v>
      </c>
      <c r="AI12" s="133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Quan et al.</v>
      </c>
      <c r="AN12" s="6">
        <f t="shared" si="21"/>
        <v>1970</v>
      </c>
      <c r="AO12" s="3">
        <f t="shared" si="22"/>
        <v>0.96156847444401095</v>
      </c>
      <c r="AP12" s="3">
        <f t="shared" si="23"/>
        <v>25.511523326293265</v>
      </c>
      <c r="AQ12" s="3">
        <f t="shared" si="24"/>
        <v>25.511523326293265</v>
      </c>
      <c r="AR12" s="3">
        <f t="shared" si="25"/>
        <v>0.19798477946729875</v>
      </c>
      <c r="AS12" s="3">
        <f t="shared" si="26"/>
        <v>0.65215609441719358</v>
      </c>
      <c r="AT12" s="3">
        <f t="shared" si="27"/>
        <v>1.4177800973720469</v>
      </c>
      <c r="AU12" s="80">
        <f t="shared" si="28"/>
        <v>6.4487014224765909E-2</v>
      </c>
      <c r="AW12" s="44">
        <f t="shared" si="29"/>
        <v>0.96156847444401095</v>
      </c>
      <c r="AX12" s="3">
        <f t="shared" si="30"/>
        <v>0.30941238002681737</v>
      </c>
      <c r="AY12" s="35">
        <f t="shared" si="31"/>
        <v>0.45621162292803596</v>
      </c>
      <c r="BD12" s="133"/>
      <c r="BE12" s="120"/>
      <c r="BF12" s="3">
        <f t="shared" si="32"/>
        <v>-3.9189500218638623E-2</v>
      </c>
      <c r="BG12" s="3">
        <f t="shared" si="33"/>
        <v>0.19798477946729875</v>
      </c>
      <c r="BH12" s="3">
        <f t="shared" si="34"/>
        <v>25.511523326293265</v>
      </c>
      <c r="BI12" s="3">
        <f t="shared" si="99"/>
        <v>25.511523326293265</v>
      </c>
      <c r="BJ12" s="35">
        <f t="shared" si="35"/>
        <v>-5.3813346376236318E-2</v>
      </c>
      <c r="BL12" s="3" t="s">
        <v>307</v>
      </c>
      <c r="BM12" s="3">
        <f>IF(Model_effect_size_measure="Risk Difference",CES_IV+ABS(TINV((1-Confidence_level),k_-1))*SECES_Risk_Difference,EXP(CIlnCES_UL))</f>
        <v>1.1189215033356978</v>
      </c>
      <c r="BO12" s="116"/>
      <c r="BP12" s="3">
        <f t="shared" si="36"/>
        <v>25.020304568527919</v>
      </c>
      <c r="BQ12" s="3">
        <f t="shared" si="37"/>
        <v>26.020304568527919</v>
      </c>
      <c r="BR12" s="3">
        <f t="shared" si="38"/>
        <v>12.484750959828906</v>
      </c>
      <c r="BS12" s="3">
        <f>IF(AND(Sufficient_data="Yes",Include_study?="Yes"),IF(Add_0_5="Yes",(a_+d_+1)*(ab_+0.5)*(c_+0.5)/(Number_of_subjects+2)^2,(a_+d_)*b_*c_/Number_of_subjects^2),"")</f>
        <v>12.983735731402509</v>
      </c>
      <c r="BT12" s="3">
        <f t="shared" si="39"/>
        <v>12.535553608699013</v>
      </c>
      <c r="BU12" s="3">
        <f t="shared" si="40"/>
        <v>13.03656883712541</v>
      </c>
      <c r="BV12" s="3">
        <f t="shared" si="41"/>
        <v>26.020304568527919</v>
      </c>
      <c r="BW12" s="3">
        <f t="shared" si="42"/>
        <v>7.4367635100649754E-2</v>
      </c>
      <c r="BX12" s="3">
        <f t="shared" si="43"/>
        <v>25.511523326293265</v>
      </c>
      <c r="BY12" s="35">
        <f t="shared" si="44"/>
        <v>-5.3813346376236332E-2</v>
      </c>
      <c r="CA12" s="3" t="s">
        <v>307</v>
      </c>
      <c r="CB12" s="3">
        <f>EXP(CIlnCES_UL_MH)</f>
        <v>1.1189215033356981</v>
      </c>
      <c r="CD12" s="116"/>
      <c r="CE12" s="76">
        <f t="shared" si="45"/>
        <v>54</v>
      </c>
      <c r="CF12" s="3">
        <f t="shared" si="46"/>
        <v>25.532757745048247</v>
      </c>
      <c r="CG12" s="3">
        <f t="shared" si="47"/>
        <v>-3.916537375183992E-2</v>
      </c>
      <c r="CH12" s="3">
        <f t="shared" si="48"/>
        <v>3.916537375183992E-2</v>
      </c>
      <c r="CI12" s="3">
        <f t="shared" si="49"/>
        <v>25.532757745048247</v>
      </c>
      <c r="CJ12" s="3">
        <f t="shared" si="50"/>
        <v>25.532757745048247</v>
      </c>
      <c r="CK12" s="35">
        <f t="shared" si="51"/>
        <v>-5.39647635891259E-2</v>
      </c>
      <c r="CM12" s="3" t="s">
        <v>307</v>
      </c>
      <c r="CN12" s="3">
        <f>EXP(CIlnCES_UL_Peto)</f>
        <v>1.1189759161739496</v>
      </c>
      <c r="CP12" s="116"/>
      <c r="CQ12" s="52">
        <f t="shared" si="52"/>
        <v>5.5837563451776651E-2</v>
      </c>
      <c r="CS12" s="2" t="s">
        <v>94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0.92121645769785554</v>
      </c>
      <c r="CU12" s="3">
        <f>IF(Model_effect_size_measure="Odds Ratio",CICES_LL_MH/(1-MEDIAN(Control_group_risk)+(MEDIAN(Control_group_risk)*CICES_LL_MH)),"")</f>
        <v>0.92121645769785554</v>
      </c>
      <c r="CV12" s="3" t="str">
        <f>IF(Model_effect_size_measure="Peto Odds Ratio",CICES_LL_Peto/(1-MEDIAN(Control_group_risk)+(MEDIAN(Control_group_risk)*CICES_LL_Peto)),"")</f>
        <v/>
      </c>
      <c r="CX12" s="133"/>
      <c r="CY12" s="48">
        <f t="shared" si="53"/>
        <v>12</v>
      </c>
      <c r="CZ12" s="6" t="str">
        <f t="shared" si="54"/>
        <v>Quan et al.</v>
      </c>
      <c r="DA12" s="17" t="str">
        <f t="shared" si="55"/>
        <v>Spontaneous</v>
      </c>
      <c r="DB12" s="3">
        <f t="shared" si="56"/>
        <v>-3.9189500218638623E-2</v>
      </c>
      <c r="DC12" s="3">
        <f t="shared" si="57"/>
        <v>0.19798477946729875</v>
      </c>
      <c r="DD12" s="3">
        <f t="shared" si="58"/>
        <v>25.511523326293265</v>
      </c>
      <c r="DE12" s="3">
        <f t="shared" si="59"/>
        <v>25.511523326293265</v>
      </c>
      <c r="DF12" s="80">
        <f t="shared" si="60"/>
        <v>0.13867779225687557</v>
      </c>
      <c r="DG12" s="3">
        <f t="shared" si="61"/>
        <v>0.96156847444401095</v>
      </c>
      <c r="DH12" s="3">
        <f t="shared" si="62"/>
        <v>0.65215617355826305</v>
      </c>
      <c r="DI12" s="3">
        <f t="shared" si="63"/>
        <v>1.4177799253202628</v>
      </c>
      <c r="DJ12" s="35">
        <f t="shared" si="64"/>
        <v>-3.6976748261714661E-2</v>
      </c>
      <c r="DL12" s="44">
        <f t="shared" si="65"/>
        <v>0.96156847444401095</v>
      </c>
      <c r="DM12" s="3">
        <f t="shared" si="100"/>
        <v>0.30941230088574789</v>
      </c>
      <c r="DN12" s="35">
        <f t="shared" si="101"/>
        <v>0.45621145087625181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196</v>
      </c>
      <c r="EY12" s="3">
        <f>IF(Subgroup_valid_options="Yes",IF(Subgroup_effect_size_measure="Risk Difference",EY9+ABS(TINV((1-Subgroup_confidence_level),Subgroup_k-1))*EY10,EXP(EY5)),"")</f>
        <v>1.0433154515916117</v>
      </c>
      <c r="FA12" s="13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3"/>
      <c r="FS12" s="120"/>
      <c r="FT12" s="76">
        <f>IF(AND(Include_study?="Yes",Sufficient_data="Yes"),IF(Additional_weighting_method="Inverse Variance",1/'Publication Bias Analysis'!F:F^2,IF(Additional_weighting_method="Mantel-Haenszel",Weightf_MH,Weightf_Peto)),"")</f>
        <v>25.511523326293265</v>
      </c>
      <c r="FU12" s="3">
        <f>IF(AND(Include_study?="Yes",Sufficient_data="Yes"),1/('Publication Bias Analysis'!F:F^2+IF(Additional_model="Fixed effect",0,Calculations!GH$12)),"")</f>
        <v>25.511523326293265</v>
      </c>
      <c r="FV12" s="3">
        <f>IF(AND(Include_study?="Yes",Sufficient_data="Yes"),1/('Publication Bias Analysis'!F:F^2+IF(Additional_model="Fixed effect",0,'Publication Bias Analysis'!L$32)),"")</f>
        <v>25.511523326293265</v>
      </c>
      <c r="FW12" s="3">
        <f>IF(AND(Include_study?="Yes",Sufficient_data="Yes"),'Publication Bias Analysis'!E:E-'Publication Bias Analysis'!I$37,"")</f>
        <v>-5.3813346376236318E-2</v>
      </c>
      <c r="FX12" s="3">
        <f>IF(AND(Include_study?="Yes",Sufficient_data="Yes"),IF(Additional_model="Fixed effect",1/'Publication Bias Analysis'!F:F,1/SQRT('Publication Bias Analysis'!F:F^2+GH$12)),"")</f>
        <v>5.0508933196310197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-0.19794198485400022</v>
      </c>
      <c r="FZ12" s="6">
        <f t="shared" si="80"/>
        <v>-2</v>
      </c>
      <c r="GA12" s="83">
        <f>IF(AND(Include_study?="Yes",Sufficient_data="Yes"),FZ:FZ+IF(GL:GL&lt;0,-1,1)*COUNTIF(FZ$2:FZ11,FZ:FZ),"")</f>
        <v>-2</v>
      </c>
      <c r="GB12" s="83">
        <f>IF(AND(Include_study?="Yes",Sufficient_data="Yes"),RANK(GP:GP,GP:GP,1)*IF(GO:GO&lt;0,-1,1)+IF(GO:GO&lt;0,-1,1)*COUNTIF(FZ$2:FZ11,FZ:FZ),"")</f>
        <v>-2</v>
      </c>
      <c r="GC12" s="83">
        <f>IF(AND(Include_study?="Yes",Sufficient_data="Yes"),RANK(GS:GS,GS:GS,1)*IF(GR:GR&lt;0,-1,1)+IF(GR:GR&lt;0,-1,1)*COUNTIF(FZ$2:FZ11,FZ:FZ),"")</f>
        <v>-2</v>
      </c>
      <c r="GD12" s="3">
        <f>IF(AND(Include_study?="Yes",Sufficient_data="Yes"),'Publication Bias Analysis'!E12,NA())</f>
        <v>-3.9189500218638623E-2</v>
      </c>
      <c r="GE12" s="35">
        <f>IF(AND(Include_study?="Yes",Sufficient_data="Yes"),'Publication Bias Analysis'!F12,NA())</f>
        <v>0.19798477946729875</v>
      </c>
      <c r="GG12" s="2" t="s">
        <v>145</v>
      </c>
      <c r="GH12" s="3">
        <f>MAX(0,(GH11-(k_-1))/((SUM(Calculations!FT:FT))-SUMPRODUCT(Calculations!FT:FT,Calculations!FT:FT)/SUM(Calculations!FT:FT)))</f>
        <v>0</v>
      </c>
      <c r="GK12" s="116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-5.3813346376236318E-2</v>
      </c>
      <c r="GM12" s="3">
        <f t="shared" si="81"/>
        <v>5.3813346376236318E-2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25.511523326293265</v>
      </c>
      <c r="GO12" s="3">
        <f>IF(AND(Include_study?="Yes",Sufficient_data="Yes"),IF('Publication Bias Analysis'!L$38="Left",'Publication Bias Analysis'!E:E-GW$3,GW$3-'Publication Bias Analysis'!E:E),"")</f>
        <v>-5.3813346376236318E-2</v>
      </c>
      <c r="GP12" s="3">
        <f t="shared" si="82"/>
        <v>5.3813346376236318E-2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25.511523326293265</v>
      </c>
      <c r="GR12" s="3">
        <f>IF(AND(Include_study?="Yes",Sufficient_data="Yes"),IF('Publication Bias Analysis'!L$38="Left",'Publication Bias Analysis'!E:E-GW$10,GW$10-'Publication Bias Analysis'!E:E),"")</f>
        <v>-5.3813346376236318E-2</v>
      </c>
      <c r="GS12" s="3">
        <f t="shared" si="83"/>
        <v>5.3813346376236318E-2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25.511523326293265</v>
      </c>
      <c r="GV12" s="2" t="s">
        <v>57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9.5535089233882786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6"/>
      <c r="HL12" s="3">
        <f t="shared" si="89"/>
        <v>-0.45083527001264834</v>
      </c>
      <c r="HM12" s="35">
        <f>IF(AND(Include_study?="Yes",Sufficient_data="Yes"),Z_score-('Publication Bias Analysis'!P$3+'Publication Bias Analysis'!P$4*Inverse_standard_error),"")</f>
        <v>-0.23747890484119527</v>
      </c>
      <c r="HO12" s="116"/>
      <c r="HP12" s="3">
        <f>IF(AND(Include_study?="Yes",Sufficient_data="Yes"),(GD:GD-SUMPRODUCT(Calculations!FT:FT,'Publication Bias Analysis'!E:E)/SUM(Calculations!FT:FT))/SQRT(Calculations!HQ:HQ),"")</f>
        <v>-0.28101744775437854</v>
      </c>
      <c r="HQ12" s="3">
        <f>IF(AND(Include_study?="Yes",Sufficient_data="Yes"),GE:GE^2-1/SUM(Calculations!FT:FT),"")</f>
        <v>3.667021266468453E-2</v>
      </c>
      <c r="HR12" s="6">
        <f t="shared" si="90"/>
        <v>7</v>
      </c>
      <c r="HS12" s="6">
        <f t="shared" si="91"/>
        <v>3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4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8</v>
      </c>
      <c r="HW12" s="116"/>
      <c r="HX12" s="135" t="s">
        <v>308</v>
      </c>
      <c r="HY12" s="114"/>
      <c r="IB12" s="116"/>
      <c r="IC12" s="76">
        <f t="shared" si="92"/>
        <v>5.3807106598984772E-2</v>
      </c>
      <c r="ID12" s="3">
        <f t="shared" si="93"/>
        <v>5.5837563451776651E-2</v>
      </c>
      <c r="IE12" s="3">
        <f t="shared" si="94"/>
        <v>28.555693684733967</v>
      </c>
      <c r="IF12" s="35">
        <f t="shared" si="95"/>
        <v>25.511523326293265</v>
      </c>
      <c r="IK12" s="116"/>
      <c r="IL12" s="3">
        <f>IF(AND(Include_study?="Yes",Sufficient_data="Yes"),'Publication Bias Analysis'!AV:AV,NA())</f>
        <v>-0.19794198485400022</v>
      </c>
      <c r="IM12" s="3">
        <f>IF(AND(Sufficient_data="Yes",Include_study?="Yes"),'Publication Bias Analysis'!AU:AU,NA())</f>
        <v>5.0508933196310197</v>
      </c>
      <c r="IN12" s="3">
        <f t="shared" si="96"/>
        <v>-0.45083527001264834</v>
      </c>
      <c r="IO12" s="35">
        <f>IF(AND(Include_study?="Yes",Sufficient_data="Yes"),Z_score-('Publication Bias Analysis'!AY$30+'Publication Bias Analysis'!AY$31*Inverse_standard_error),"")</f>
        <v>-0.27180547171872216</v>
      </c>
      <c r="IU12" s="116"/>
      <c r="IV12" s="6">
        <f>IF('Publication Bias Analysis'!BG:BG&lt;&gt;"",RANK('Publication Bias Analysis'!BG:BG,'Publication Bias Analysis'!BG:BG,1)+COUNTIF('Publication Bias Analysis'!BG$2:BG11,'Publication Bias Analysis'!BG12),"")</f>
        <v>7</v>
      </c>
      <c r="IW12" s="3">
        <f t="shared" si="97"/>
        <v>0.5</v>
      </c>
      <c r="IX12" s="3">
        <f>IF('Publication Bias Analysis'!BF12&lt;&gt;"",'Publication Bias Analysis'!BF12,NA())</f>
        <v>0</v>
      </c>
      <c r="IY12" s="3">
        <f>IF('Publication Bias Analysis'!BG12&lt;&gt;"",'Publication Bias Analysis'!BG12,NA())</f>
        <v>-0.19794198485400022</v>
      </c>
      <c r="IZ12" s="3">
        <f>IF(AND(Include_study?="Yes",Sufficient_data="Yes"),'Publication Bias Analysis'!BF:BF-AVERAGE('Publication Bias Analysis'!BF:BF),"")</f>
        <v>2.9677115465941683E-16</v>
      </c>
      <c r="JA12" s="35">
        <f>IF(AND(Include_study?="Yes",Sufficient_data="Yes"),'Publication Bias Analysis'!BG:BG-('Publication Bias Analysis'!BJ$30+'Publication Bias Analysis'!BJ$31*'Publication Bias Analysis'!BF:BF),"")</f>
        <v>-0.27629023545651343</v>
      </c>
      <c r="JG12" s="116"/>
      <c r="JH12" s="3">
        <f t="shared" si="98"/>
        <v>-0.19794198485400022</v>
      </c>
      <c r="JI12" s="10">
        <f t="shared" si="124"/>
        <v>0.42154522742554268</v>
      </c>
      <c r="JJ12" s="35">
        <f t="shared" si="125"/>
        <v>-0.86382820616836609</v>
      </c>
    </row>
    <row r="13" spans="1:270" ht="14" x14ac:dyDescent="0.35">
      <c r="A13" s="2">
        <f t="shared" si="0"/>
        <v>12</v>
      </c>
      <c r="B13" s="6">
        <f>IF(AND(Include_study?="Yes",Sufficient_data="Yes"),IF(Input!a_&lt;&gt;"",Input!a_,Input!n1_-Input!b_),"")</f>
        <v>74</v>
      </c>
      <c r="C13" s="6">
        <f>IF(AND(Include_study?="Yes",Sufficient_data="Yes"),IF(Input!b_&lt;&gt;"",Input!b_,Input!n1_-Input!a_),"")</f>
        <v>911</v>
      </c>
      <c r="D13" s="6">
        <f>IF(AND(Include_study?="Yes",Sufficient_data="Yes"),IF(Input!c_&lt;&gt;"",Input!c_,Input!n2_-Input!d_),"")</f>
        <v>79</v>
      </c>
      <c r="E13" s="6">
        <f>IF(AND(Include_study?="Yes",Sufficient_data="Yes"),IF(Input!d_&lt;&gt;"",Input!d_,Input!n2_-Input!c_),"")</f>
        <v>906</v>
      </c>
      <c r="F13" s="35" t="str">
        <f t="shared" si="1"/>
        <v>No</v>
      </c>
      <c r="H13" s="133"/>
      <c r="I13" s="120"/>
      <c r="J13" s="76">
        <f t="shared" si="2"/>
        <v>0.93156775834039651</v>
      </c>
      <c r="K13" s="3">
        <f t="shared" si="3"/>
        <v>-7.0886350479830787E-2</v>
      </c>
      <c r="L13" s="3">
        <f t="shared" si="4"/>
        <v>0.16844342955969202</v>
      </c>
      <c r="M13" s="3">
        <f t="shared" si="5"/>
        <v>0.6694943358611587</v>
      </c>
      <c r="N13" s="35">
        <f t="shared" si="6"/>
        <v>1.2962297690884748</v>
      </c>
      <c r="P13" s="116"/>
      <c r="Q13" s="76">
        <f t="shared" si="7"/>
        <v>0.93162297131839999</v>
      </c>
      <c r="R13" s="3">
        <f t="shared" si="8"/>
        <v>0.1683176560623576</v>
      </c>
      <c r="S13" s="3">
        <f t="shared" si="9"/>
        <v>0.66969918583156074</v>
      </c>
      <c r="T13" s="35">
        <f t="shared" si="10"/>
        <v>1.2959868834399617</v>
      </c>
      <c r="V13" s="116"/>
      <c r="W13" s="76">
        <f t="shared" si="11"/>
        <v>-5.0761421319796829E-3</v>
      </c>
      <c r="X13" s="3">
        <f t="shared" si="12"/>
        <v>1.2059638985087259E-2</v>
      </c>
      <c r="Y13" s="3">
        <f t="shared" si="13"/>
        <v>-2.8727145960557917E-2</v>
      </c>
      <c r="Z13" s="35">
        <f t="shared" si="14"/>
        <v>1.8574861696598551E-2</v>
      </c>
      <c r="AB13" s="116"/>
      <c r="AC13" s="76">
        <f t="shared" si="15"/>
        <v>0.93670886075949378</v>
      </c>
      <c r="AD13" s="3">
        <f t="shared" si="16"/>
        <v>-6.5382759262851628E-2</v>
      </c>
      <c r="AE13" s="3">
        <f t="shared" si="17"/>
        <v>0.15537465851554719</v>
      </c>
      <c r="AF13" s="3">
        <f t="shared" si="18"/>
        <v>0.69066602077971206</v>
      </c>
      <c r="AG13" s="35">
        <f t="shared" si="19"/>
        <v>1.2704019937665398</v>
      </c>
      <c r="AI13" s="133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12</v>
      </c>
      <c r="AK13" s="6">
        <f>IF(AJ13&lt;&gt;"",IF(AJ13=0,COUNTIF(AJ$2:AJ12,0)+1,COUNTIF(AJ$2:AJ12,AJ13)+AJ13+COUNTIF(AJ:AJ,0)),"")</f>
        <v>12</v>
      </c>
      <c r="AL13" s="6">
        <f t="shared" si="20"/>
        <v>12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0.93156775834039651</v>
      </c>
      <c r="AP13" s="3">
        <f t="shared" si="23"/>
        <v>35.244540236391877</v>
      </c>
      <c r="AQ13" s="3">
        <f t="shared" si="24"/>
        <v>35.244540236391877</v>
      </c>
      <c r="AR13" s="3">
        <f t="shared" si="25"/>
        <v>0.16844342955969202</v>
      </c>
      <c r="AS13" s="3">
        <f t="shared" si="26"/>
        <v>0.6694943358611587</v>
      </c>
      <c r="AT13" s="3">
        <f t="shared" si="27"/>
        <v>1.2962297690884748</v>
      </c>
      <c r="AU13" s="80">
        <f t="shared" si="28"/>
        <v>8.9089747346724563E-2</v>
      </c>
      <c r="AW13" s="44">
        <f t="shared" si="29"/>
        <v>0.93156775834039651</v>
      </c>
      <c r="AX13" s="3">
        <f t="shared" si="30"/>
        <v>0.26207342247923782</v>
      </c>
      <c r="AY13" s="35">
        <f t="shared" si="31"/>
        <v>0.36466201074807825</v>
      </c>
      <c r="BD13" s="133"/>
      <c r="BE13" s="120"/>
      <c r="BF13" s="3">
        <f t="shared" si="32"/>
        <v>-7.0886350479830787E-2</v>
      </c>
      <c r="BG13" s="3">
        <f t="shared" si="33"/>
        <v>0.16844342955969202</v>
      </c>
      <c r="BH13" s="3">
        <f t="shared" si="34"/>
        <v>35.244540236391877</v>
      </c>
      <c r="BI13" s="3">
        <f t="shared" si="99"/>
        <v>35.244540236391877</v>
      </c>
      <c r="BJ13" s="35">
        <f t="shared" si="35"/>
        <v>-8.5510196637428482E-2</v>
      </c>
      <c r="BL13" s="3" t="s">
        <v>309</v>
      </c>
      <c r="BM13" s="3">
        <f>IF(Model_effect_size_measure="Risk Difference",CES_IV-ABS(TINV((1-Confidence_level),k_-1))*SQRT(T2_+SECES_Risk_Difference^2),EXP(PIlnCES_LL))</f>
        <v>0.92024293352802067</v>
      </c>
      <c r="BO13" s="116"/>
      <c r="BP13" s="3">
        <f t="shared" si="36"/>
        <v>34.032487309644672</v>
      </c>
      <c r="BQ13" s="3">
        <f t="shared" si="37"/>
        <v>36.532487309644672</v>
      </c>
      <c r="BR13" s="3">
        <f t="shared" si="38"/>
        <v>16.929866783478058</v>
      </c>
      <c r="BS13" s="3">
        <f>IF(AND(Sufficient_data="Yes",Include_study?="Yes"),IF(Add_0_5="Yes",(a_+d_+1)*(ab_+0.5)*(c_+0.5)/(Number_of_subjects+2)^2,(a_+d_)*b_*c_/Number_of_subjects^2),"")</f>
        <v>18.173521605813086</v>
      </c>
      <c r="BT13" s="3">
        <f t="shared" si="39"/>
        <v>17.102620526166611</v>
      </c>
      <c r="BU13" s="3">
        <f t="shared" si="40"/>
        <v>18.358965703831586</v>
      </c>
      <c r="BV13" s="3">
        <f t="shared" si="41"/>
        <v>36.532487309644672</v>
      </c>
      <c r="BW13" s="3">
        <f t="shared" si="42"/>
        <v>0.25878159891164376</v>
      </c>
      <c r="BX13" s="3">
        <f t="shared" si="43"/>
        <v>35.244540236391877</v>
      </c>
      <c r="BY13" s="35">
        <f t="shared" si="44"/>
        <v>-8.5510196637428496E-2</v>
      </c>
      <c r="CA13" s="3" t="s">
        <v>309</v>
      </c>
      <c r="CB13" s="3">
        <f>EXP(PIlnCES_LL_MH)</f>
        <v>0.92024293352802067</v>
      </c>
      <c r="CD13" s="116"/>
      <c r="CE13" s="76">
        <f t="shared" si="45"/>
        <v>76.5</v>
      </c>
      <c r="CF13" s="3">
        <f t="shared" si="46"/>
        <v>35.297232097511426</v>
      </c>
      <c r="CG13" s="3">
        <f t="shared" si="47"/>
        <v>-7.0827083355815265E-2</v>
      </c>
      <c r="CH13" s="3">
        <f t="shared" si="48"/>
        <v>2.8330833342326108E-2</v>
      </c>
      <c r="CI13" s="3">
        <f t="shared" si="49"/>
        <v>35.297232097511426</v>
      </c>
      <c r="CJ13" s="3">
        <f t="shared" si="50"/>
        <v>35.297232097511426</v>
      </c>
      <c r="CK13" s="35">
        <f t="shared" si="51"/>
        <v>-8.5626473193101238E-2</v>
      </c>
      <c r="CM13" s="3" t="s">
        <v>309</v>
      </c>
      <c r="CN13" s="3">
        <f>EXP(PIlnCES_LL_Peto)</f>
        <v>0.92052131121915548</v>
      </c>
      <c r="CP13" s="116"/>
      <c r="CQ13" s="52">
        <f t="shared" si="52"/>
        <v>8.0203045685279181E-2</v>
      </c>
      <c r="CS13" s="2" t="s">
        <v>95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1.1171611813808531</v>
      </c>
      <c r="CU13" s="3">
        <f>IF(Model_effect_size_measure="Odds Ratio",CICES_UL_MH/(1-MEDIAN(Control_group_risk)+(MEDIAN(Control_group_risk)*CICES_UL_MH)),"")</f>
        <v>1.1171611813808533</v>
      </c>
      <c r="CV13" s="3" t="str">
        <f>IF(Model_effect_size_measure="Peto Odds Ratio",CICES_UL_Peto/(1-MEDIAN(Control_group_risk)+(MEDIAN(Control_group_risk)*CICES_UL_Peto)),"")</f>
        <v/>
      </c>
      <c r="CX13" s="133"/>
      <c r="CY13" s="48">
        <f t="shared" si="53"/>
        <v>13</v>
      </c>
      <c r="CZ13" s="6" t="str">
        <f t="shared" si="54"/>
        <v>Quan et al.</v>
      </c>
      <c r="DA13" s="17" t="str">
        <f t="shared" si="55"/>
        <v>Spontaneous</v>
      </c>
      <c r="DB13" s="3">
        <f t="shared" si="56"/>
        <v>-7.0886350479830787E-2</v>
      </c>
      <c r="DC13" s="3">
        <f t="shared" si="57"/>
        <v>0.16844342955969202</v>
      </c>
      <c r="DD13" s="3">
        <f t="shared" si="58"/>
        <v>35.244540236391877</v>
      </c>
      <c r="DE13" s="3">
        <f t="shared" si="59"/>
        <v>35.244540236391877</v>
      </c>
      <c r="DF13" s="80">
        <f t="shared" si="60"/>
        <v>0.19158538541891143</v>
      </c>
      <c r="DG13" s="3">
        <f t="shared" si="61"/>
        <v>0.93156775834039651</v>
      </c>
      <c r="DH13" s="3">
        <f t="shared" si="62"/>
        <v>0.66949440498367374</v>
      </c>
      <c r="DI13" s="3">
        <f t="shared" si="63"/>
        <v>1.2962296352581377</v>
      </c>
      <c r="DJ13" s="35">
        <f t="shared" si="64"/>
        <v>-6.8673598522906817E-2</v>
      </c>
      <c r="DL13" s="44">
        <f t="shared" si="65"/>
        <v>0.93156775834039651</v>
      </c>
      <c r="DM13" s="3">
        <f t="shared" si="100"/>
        <v>0.26207335335672277</v>
      </c>
      <c r="DN13" s="35">
        <f t="shared" si="101"/>
        <v>0.36466187691774121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310</v>
      </c>
      <c r="EY13" s="3">
        <f>IF(Subgroup_valid_options="Yes",IF(Subgroup_effect_size_measure="Risk Difference",EY9-ABS(TINV((1-Subgroup_confidence_level),Subgroup_k-1))*SQRT(EY10^2+EY35),EXP(EY6)),"")</f>
        <v>0.97621712918844117</v>
      </c>
      <c r="FA13" s="13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3"/>
      <c r="FS13" s="120"/>
      <c r="FT13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13" s="3">
        <f>IF(AND(Include_study?="Yes",Sufficient_data="Yes"),1/('Publication Bias Analysis'!F:F^2+IF(Additional_model="Fixed effect",0,Calculations!GH$12)),"")</f>
        <v>35.244540236391877</v>
      </c>
      <c r="FV13" s="3">
        <f>IF(AND(Include_study?="Yes",Sufficient_data="Yes"),1/('Publication Bias Analysis'!F:F^2+IF(Additional_model="Fixed effect",0,'Publication Bias Analysis'!L$32)),"")</f>
        <v>35.244540236391877</v>
      </c>
      <c r="FW13" s="3">
        <f>IF(AND(Include_study?="Yes",Sufficient_data="Yes"),'Publication Bias Analysis'!E:E-'Publication Bias Analysis'!I$37,"")</f>
        <v>-8.5510196637428482E-2</v>
      </c>
      <c r="FX13" s="3">
        <f>IF(AND(Include_study?="Yes",Sufficient_data="Yes"),IF(Additional_model="Fixed effect",1/'Publication Bias Analysis'!F:F,1/SQRT('Publication Bias Analysis'!F:F^2+GH$12)),"")</f>
        <v>5.9367112306724064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13" s="6">
        <f t="shared" si="80"/>
        <v>-4</v>
      </c>
      <c r="GA13" s="83">
        <f>IF(AND(Include_study?="Yes",Sufficient_data="Yes"),FZ:FZ+IF(GL:GL&lt;0,-1,1)*COUNTIF(FZ$2:FZ12,FZ:FZ),"")</f>
        <v>-4</v>
      </c>
      <c r="GB13" s="83">
        <f>IF(AND(Include_study?="Yes",Sufficient_data="Yes"),RANK(GP:GP,GP:GP,1)*IF(GO:GO&lt;0,-1,1)+IF(GO:GO&lt;0,-1,1)*COUNTIF(FZ$2:FZ12,FZ:FZ),"")</f>
        <v>-4</v>
      </c>
      <c r="GC13" s="83">
        <f>IF(AND(Include_study?="Yes",Sufficient_data="Yes"),RANK(GS:GS,GS:GS,1)*IF(GR:GR&lt;0,-1,1)+IF(GR:GR&lt;0,-1,1)*COUNTIF(FZ$2:FZ12,FZ:FZ),"")</f>
        <v>-4</v>
      </c>
      <c r="GD13" s="3">
        <f>IF(AND(Include_study?="Yes",Sufficient_data="Yes"),'Publication Bias Analysis'!E13,NA())</f>
        <v>-7.0886350479830787E-2</v>
      </c>
      <c r="GE13" s="35">
        <f>IF(AND(Include_study?="Yes",Sufficient_data="Yes"),'Publication Bias Analysis'!F13,NA())</f>
        <v>0.16844342955969202</v>
      </c>
      <c r="GK13" s="116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-8.5510196637428482E-2</v>
      </c>
      <c r="GM13" s="3">
        <f t="shared" si="81"/>
        <v>8.5510196637428482E-2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13" s="3">
        <f>IF(AND(Include_study?="Yes",Sufficient_data="Yes"),IF('Publication Bias Analysis'!L$38="Left",'Publication Bias Analysis'!E:E-GW$3,GW$3-'Publication Bias Analysis'!E:E),"")</f>
        <v>-8.5510196637428482E-2</v>
      </c>
      <c r="GP13" s="3">
        <f t="shared" si="82"/>
        <v>8.5510196637428482E-2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13" s="3">
        <f>IF(AND(Include_study?="Yes",Sufficient_data="Yes"),IF('Publication Bias Analysis'!L$38="Left",'Publication Bias Analysis'!E:E-GW$10,GW$10-'Publication Bias Analysis'!E:E),"")</f>
        <v>-8.5510196637428482E-2</v>
      </c>
      <c r="GS13" s="3">
        <f t="shared" si="83"/>
        <v>8.5510196637428482E-2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13" s="2" t="s">
        <v>145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6"/>
      <c r="HL13" s="3">
        <f t="shared" si="89"/>
        <v>0.43498264102873829</v>
      </c>
      <c r="HM13" s="35">
        <f>IF(AND(Include_study?="Yes",Sufficient_data="Yes"),Z_score-('Publication Bias Analysis'!P$3+'Publication Bias Analysis'!P$4*Inverse_standard_error),"")</f>
        <v>-0.53662665928135933</v>
      </c>
      <c r="HO13" s="116"/>
      <c r="HP13" s="3">
        <f>IF(AND(Include_study?="Yes",Sufficient_data="Yes"),(GD:GD-SUMPRODUCT(Calculations!FT:FT,'Publication Bias Analysis'!E:E)/SUM(Calculations!FT:FT))/SQRT(Calculations!HQ:HQ),"")</f>
        <v>-0.53189515551082389</v>
      </c>
      <c r="HQ13" s="3">
        <f>IF(AND(Include_study?="Yes",Sufficient_data="Yes"),GE:GE^2-1/SUM(Calculations!FT:FT),"")</f>
        <v>2.5845428725800538E-2</v>
      </c>
      <c r="HR13" s="6">
        <f t="shared" si="90"/>
        <v>9</v>
      </c>
      <c r="HS13" s="6">
        <f t="shared" si="91"/>
        <v>12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7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5</v>
      </c>
      <c r="HW13" s="116"/>
      <c r="HX13" s="2" t="s">
        <v>311</v>
      </c>
      <c r="HY13" s="3">
        <f>MAX(MAX(Standardized_residual),ABS(MIN(Standardized_residual)))</f>
        <v>1.5273664738857093</v>
      </c>
      <c r="IB13" s="116"/>
      <c r="IC13" s="76">
        <f t="shared" si="92"/>
        <v>7.5126903553299498E-2</v>
      </c>
      <c r="ID13" s="3">
        <f t="shared" si="93"/>
        <v>8.0203045685279181E-2</v>
      </c>
      <c r="IE13" s="3">
        <f t="shared" si="94"/>
        <v>41.422816571112058</v>
      </c>
      <c r="IF13" s="35">
        <f t="shared" si="95"/>
        <v>35.244540236391877</v>
      </c>
      <c r="IK13" s="116"/>
      <c r="IL13" s="3">
        <f>IF(AND(Include_study?="Yes",Sufficient_data="Yes"),'Publication Bias Analysis'!AV:AV,NA())</f>
        <v>-0.42083179299499174</v>
      </c>
      <c r="IM13" s="3">
        <f>IF(AND(Sufficient_data="Yes",Include_study?="Yes"),'Publication Bias Analysis'!AU:AU,NA())</f>
        <v>5.9367112306724064</v>
      </c>
      <c r="IN13" s="3">
        <f t="shared" si="96"/>
        <v>0.43498264102873829</v>
      </c>
      <c r="IO13" s="35">
        <f>IF(AND(Include_study?="Yes",Sufficient_data="Yes"),Z_score-('Publication Bias Analysis'!AY$30+'Publication Bias Analysis'!AY$31*Inverse_standard_error),"")</f>
        <v>-0.50764934471442746</v>
      </c>
      <c r="IU13" s="116"/>
      <c r="IV13" s="6">
        <f>IF('Publication Bias Analysis'!BG:BG&lt;&gt;"",RANK('Publication Bias Analysis'!BG:BG,'Publication Bias Analysis'!BG:BG,1)+COUNTIF('Publication Bias Analysis'!BG$2:BG12,'Publication Bias Analysis'!BG13),"")</f>
        <v>5</v>
      </c>
      <c r="IW13" s="3">
        <f t="shared" si="97"/>
        <v>0.35000000000000003</v>
      </c>
      <c r="IX13" s="3">
        <f>IF('Publication Bias Analysis'!BF13&lt;&gt;"",'Publication Bias Analysis'!BF13,NA())</f>
        <v>-0.38532046640756762</v>
      </c>
      <c r="IY13" s="3">
        <f>IF('Publication Bias Analysis'!BG13&lt;&gt;"",'Publication Bias Analysis'!BG13,NA())</f>
        <v>-0.42083179299499174</v>
      </c>
      <c r="IZ13" s="3">
        <f>IF(AND(Include_study?="Yes",Sufficient_data="Yes"),'Publication Bias Analysis'!BF:BF-AVERAGE('Publication Bias Analysis'!BF:BF),"")</f>
        <v>-0.38532046640756734</v>
      </c>
      <c r="JA13" s="35">
        <f>IF(AND(Include_study?="Yes",Sufficient_data="Yes"),'Publication Bias Analysis'!BG:BG-('Publication Bias Analysis'!BJ$30+'Publication Bias Analysis'!BJ$31*'Publication Bias Analysis'!BF:BF),"")</f>
        <v>-0.13809529429962314</v>
      </c>
      <c r="JG13" s="116"/>
      <c r="JH13" s="3">
        <f t="shared" si="98"/>
        <v>-0.42083179299499174</v>
      </c>
      <c r="JI13" s="10">
        <f t="shared" si="124"/>
        <v>0.33693895701541166</v>
      </c>
      <c r="JJ13" s="35">
        <f t="shared" si="125"/>
        <v>-1.0878535014897484</v>
      </c>
    </row>
    <row r="14" spans="1:270" ht="13.5" customHeight="1" x14ac:dyDescent="0.35">
      <c r="A14" s="2">
        <f t="shared" si="0"/>
        <v>13</v>
      </c>
      <c r="B14" s="6">
        <f>IF(AND(Include_study?="Yes",Sufficient_data="Yes"),IF(Input!a_&lt;&gt;"",Input!a_,Input!n1_-Input!b_),"")</f>
        <v>77</v>
      </c>
      <c r="C14" s="6">
        <f>IF(AND(Include_study?="Yes",Sufficient_data="Yes"),IF(Input!b_&lt;&gt;"",Input!b_,Input!n1_-Input!a_),"")</f>
        <v>908</v>
      </c>
      <c r="D14" s="6">
        <f>IF(AND(Include_study?="Yes",Sufficient_data="Yes"),IF(Input!c_&lt;&gt;"",Input!c_,Input!n2_-Input!d_),"")</f>
        <v>81</v>
      </c>
      <c r="E14" s="6">
        <f>IF(AND(Include_study?="Yes",Sufficient_data="Yes"),IF(Input!d_&lt;&gt;"",Input!d_,Input!n2_-Input!c_),"")</f>
        <v>904</v>
      </c>
      <c r="F14" s="35" t="str">
        <f t="shared" si="1"/>
        <v>No</v>
      </c>
      <c r="H14" s="133"/>
      <c r="I14" s="120"/>
      <c r="J14" s="76">
        <f t="shared" si="2"/>
        <v>0.94642954261162782</v>
      </c>
      <c r="K14" s="3">
        <f t="shared" si="3"/>
        <v>-5.5058751027871673E-2</v>
      </c>
      <c r="L14" s="3">
        <f t="shared" si="4"/>
        <v>0.16595242774821717</v>
      </c>
      <c r="M14" s="3">
        <f t="shared" si="5"/>
        <v>0.68350610128492861</v>
      </c>
      <c r="N14" s="35">
        <f t="shared" si="6"/>
        <v>1.310491416893232</v>
      </c>
      <c r="P14" s="116"/>
      <c r="Q14" s="76">
        <f t="shared" si="7"/>
        <v>0.94646623801075436</v>
      </c>
      <c r="R14" s="3">
        <f t="shared" si="8"/>
        <v>0.1658613567442703</v>
      </c>
      <c r="S14" s="3">
        <f t="shared" si="9"/>
        <v>0.68365469624075548</v>
      </c>
      <c r="T14" s="35">
        <f t="shared" si="10"/>
        <v>1.3103081784122874</v>
      </c>
      <c r="V14" s="116"/>
      <c r="W14" s="76">
        <f t="shared" si="11"/>
        <v>-4.0609137055837435E-3</v>
      </c>
      <c r="X14" s="3">
        <f t="shared" si="12"/>
        <v>1.2238442752291778E-2</v>
      </c>
      <c r="Y14" s="3">
        <f t="shared" si="13"/>
        <v>-2.8062582142609017E-2</v>
      </c>
      <c r="Z14" s="35">
        <f t="shared" si="14"/>
        <v>1.994075473144153E-2</v>
      </c>
      <c r="AB14" s="116"/>
      <c r="AC14" s="76">
        <f t="shared" si="15"/>
        <v>0.9506172839506174</v>
      </c>
      <c r="AD14" s="3">
        <f t="shared" si="16"/>
        <v>-5.0643732818754797E-2</v>
      </c>
      <c r="AE14" s="3">
        <f t="shared" si="17"/>
        <v>0.15265069651517083</v>
      </c>
      <c r="AF14" s="3">
        <f t="shared" si="18"/>
        <v>0.70467560271061769</v>
      </c>
      <c r="AG14" s="35">
        <f t="shared" si="19"/>
        <v>1.2823960657493509</v>
      </c>
      <c r="AI14" s="133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13</v>
      </c>
      <c r="AK14" s="6">
        <f>IF(AJ14&lt;&gt;"",IF(AJ14=0,COUNTIF(AJ$2:AJ13,0)+1,COUNTIF(AJ$2:AJ13,AJ14)+AJ14+COUNTIF(AJ:AJ,0)),"")</f>
        <v>13</v>
      </c>
      <c r="AL14" s="6">
        <f t="shared" si="20"/>
        <v>13</v>
      </c>
      <c r="AM14" s="3" t="str">
        <f>IF(AND(Include_study?="Yes",Sufficient_data="Yes",Input!Study_name&lt;&gt;""),Input!Study_name,"")</f>
        <v>Quan et al.</v>
      </c>
      <c r="AN14" s="6">
        <f t="shared" si="21"/>
        <v>1970</v>
      </c>
      <c r="AO14" s="3">
        <f t="shared" si="22"/>
        <v>0.94642954261162782</v>
      </c>
      <c r="AP14" s="3">
        <f t="shared" si="23"/>
        <v>36.310546020402441</v>
      </c>
      <c r="AQ14" s="3">
        <f t="shared" si="24"/>
        <v>36.310546020402441</v>
      </c>
      <c r="AR14" s="3">
        <f t="shared" si="25"/>
        <v>0.16595242774821717</v>
      </c>
      <c r="AS14" s="3">
        <f t="shared" si="26"/>
        <v>0.68350610128492861</v>
      </c>
      <c r="AT14" s="3">
        <f t="shared" si="27"/>
        <v>1.310491416893232</v>
      </c>
      <c r="AU14" s="80">
        <f t="shared" si="28"/>
        <v>9.1784354378924876E-2</v>
      </c>
      <c r="AW14" s="44">
        <f t="shared" si="29"/>
        <v>0.94642954261162782</v>
      </c>
      <c r="AX14" s="3">
        <f t="shared" si="30"/>
        <v>0.2629234413266992</v>
      </c>
      <c r="AY14" s="35">
        <f t="shared" si="31"/>
        <v>0.36406187428160419</v>
      </c>
      <c r="BD14" s="133"/>
      <c r="BE14" s="120"/>
      <c r="BF14" s="3">
        <f t="shared" si="32"/>
        <v>-5.5058751027871673E-2</v>
      </c>
      <c r="BG14" s="3">
        <f t="shared" si="33"/>
        <v>0.16595242774821717</v>
      </c>
      <c r="BH14" s="3">
        <f t="shared" si="34"/>
        <v>36.310546020402441</v>
      </c>
      <c r="BI14" s="3">
        <f t="shared" si="99"/>
        <v>36.310546020402441</v>
      </c>
      <c r="BJ14" s="35">
        <f t="shared" si="35"/>
        <v>-6.9682597185469361E-2</v>
      </c>
      <c r="BL14" s="3" t="s">
        <v>312</v>
      </c>
      <c r="BM14" s="3">
        <f>IF(Model_effect_size_measure="Risk Difference",CES_IV+ABS(TINV((1-Confidence_level),k_-1))*SQRT(T2_+SECES_Risk_Difference^2),EXP(PIlnCES_UL))</f>
        <v>1.1189215033356978</v>
      </c>
      <c r="BO14" s="116"/>
      <c r="BP14" s="3">
        <f t="shared" si="36"/>
        <v>35.334010152284264</v>
      </c>
      <c r="BQ14" s="3">
        <f t="shared" si="37"/>
        <v>37.334010152284264</v>
      </c>
      <c r="BR14" s="3">
        <f t="shared" si="38"/>
        <v>17.595260893091808</v>
      </c>
      <c r="BS14" s="3">
        <f>IF(AND(Sufficient_data="Yes",Include_study?="Yes"),IF(Add_0_5="Yes",(a_+d_+1)*(ab_+0.5)*(c_+0.5)/(Number_of_subjects+2)^2,(a_+d_)*b_*c_/Number_of_subjects^2),"")</f>
        <v>18.591199979386225</v>
      </c>
      <c r="BT14" s="3">
        <f t="shared" si="39"/>
        <v>17.738749259192456</v>
      </c>
      <c r="BU14" s="3">
        <f t="shared" si="40"/>
        <v>18.742810172898039</v>
      </c>
      <c r="BV14" s="3">
        <f t="shared" si="41"/>
        <v>37.334010152284264</v>
      </c>
      <c r="BW14" s="3">
        <f t="shared" si="42"/>
        <v>0.17721349819496668</v>
      </c>
      <c r="BX14" s="3">
        <f t="shared" si="43"/>
        <v>36.310546020402441</v>
      </c>
      <c r="BY14" s="35">
        <f t="shared" si="44"/>
        <v>-6.9682597185469375E-2</v>
      </c>
      <c r="CA14" s="3" t="s">
        <v>312</v>
      </c>
      <c r="CB14" s="3">
        <f>EXP(PIlnCES_UL_MH)</f>
        <v>1.1189215033356981</v>
      </c>
      <c r="CD14" s="116"/>
      <c r="CE14" s="76">
        <f t="shared" si="45"/>
        <v>79</v>
      </c>
      <c r="CF14" s="3">
        <f t="shared" si="46"/>
        <v>36.350431691213814</v>
      </c>
      <c r="CG14" s="3">
        <f t="shared" si="47"/>
        <v>-5.5019979322100204E-2</v>
      </c>
      <c r="CH14" s="3">
        <f t="shared" si="48"/>
        <v>2.7509989661050102E-2</v>
      </c>
      <c r="CI14" s="3">
        <f t="shared" si="49"/>
        <v>36.350431691213814</v>
      </c>
      <c r="CJ14" s="3">
        <f t="shared" si="50"/>
        <v>36.350431691213814</v>
      </c>
      <c r="CK14" s="35">
        <f t="shared" si="51"/>
        <v>-6.9819369159386191E-2</v>
      </c>
      <c r="CM14" s="3" t="s">
        <v>312</v>
      </c>
      <c r="CN14" s="3">
        <f>EXP(PIlnCES_UL_Peto)</f>
        <v>1.1189759161739496</v>
      </c>
      <c r="CP14" s="116"/>
      <c r="CQ14" s="52">
        <f t="shared" si="52"/>
        <v>8.223350253807106E-2</v>
      </c>
      <c r="CS14" s="2" t="s">
        <v>293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0.92121645769785554</v>
      </c>
      <c r="CU14" s="3">
        <f>IF(Model_effect_size_measure="Odds Ratio",PICES_LL_MH/(1-MEDIAN(Control_group_risk)+(MEDIAN(Control_group_risk)*PICES_LL_MH)),"")</f>
        <v>0.92121645769785554</v>
      </c>
      <c r="CV14" s="3" t="str">
        <f>IF(Model_effect_size_measure="Peto Odds Ratio",PICES_LL_Peto/(1-MEDIAN(Control_group_risk)+(MEDIAN(Control_group_risk)*PICES_LL_Peto)),"")</f>
        <v/>
      </c>
      <c r="CX14" s="133"/>
      <c r="CY14" s="48">
        <f t="shared" si="53"/>
        <v>14</v>
      </c>
      <c r="CZ14" s="6" t="str">
        <f t="shared" si="54"/>
        <v>Quan et al.</v>
      </c>
      <c r="DA14" s="17" t="str">
        <f t="shared" si="55"/>
        <v>Spontaneous</v>
      </c>
      <c r="DB14" s="3">
        <f t="shared" si="56"/>
        <v>-5.5058751027871673E-2</v>
      </c>
      <c r="DC14" s="3">
        <f t="shared" si="57"/>
        <v>0.16595242774821717</v>
      </c>
      <c r="DD14" s="3">
        <f t="shared" si="58"/>
        <v>36.310546020402441</v>
      </c>
      <c r="DE14" s="3">
        <f t="shared" si="59"/>
        <v>36.310546020402441</v>
      </c>
      <c r="DF14" s="80">
        <f t="shared" si="60"/>
        <v>0.19738007383358888</v>
      </c>
      <c r="DG14" s="3">
        <f t="shared" si="61"/>
        <v>0.94642954261162782</v>
      </c>
      <c r="DH14" s="3">
        <f t="shared" si="62"/>
        <v>0.68350617081049814</v>
      </c>
      <c r="DI14" s="3">
        <f t="shared" si="63"/>
        <v>1.3104912835913454</v>
      </c>
      <c r="DJ14" s="35">
        <f t="shared" si="64"/>
        <v>-5.2845999070947711E-2</v>
      </c>
      <c r="DL14" s="44">
        <f t="shared" si="65"/>
        <v>0.94642954261162782</v>
      </c>
      <c r="DM14" s="3">
        <f t="shared" si="100"/>
        <v>0.26292337180112968</v>
      </c>
      <c r="DN14" s="35">
        <f t="shared" si="101"/>
        <v>0.36406174097971755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313</v>
      </c>
      <c r="EY14" s="3">
        <f>IF(Subgroup_valid_options="Yes",IF(Subgroup_effect_size_measure="Risk Difference",EY9+ABS(TINV((1-Subgroup_confidence_level),Subgroup_k-1))*SQRT(EY10^2+EY35),EXP(EY7)),"")</f>
        <v>1.0433154515916117</v>
      </c>
      <c r="FA14" s="13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3"/>
      <c r="FS14" s="120"/>
      <c r="FT14" s="76">
        <f>IF(AND(Include_study?="Yes",Sufficient_data="Yes"),IF(Additional_weighting_method="Inverse Variance",1/'Publication Bias Analysis'!F:F^2,IF(Additional_weighting_method="Mantel-Haenszel",Weightf_MH,Weightf_Peto)),"")</f>
        <v>36.310546020402441</v>
      </c>
      <c r="FU14" s="3">
        <f>IF(AND(Include_study?="Yes",Sufficient_data="Yes"),1/('Publication Bias Analysis'!F:F^2+IF(Additional_model="Fixed effect",0,Calculations!GH$12)),"")</f>
        <v>36.310546020402441</v>
      </c>
      <c r="FV14" s="3">
        <f>IF(AND(Include_study?="Yes",Sufficient_data="Yes"),1/('Publication Bias Analysis'!F:F^2+IF(Additional_model="Fixed effect",0,'Publication Bias Analysis'!L$32)),"")</f>
        <v>36.310546020402441</v>
      </c>
      <c r="FW14" s="3">
        <f>IF(AND(Include_study?="Yes",Sufficient_data="Yes"),'Publication Bias Analysis'!E:E-'Publication Bias Analysis'!I$37,"")</f>
        <v>-6.9682597185469361E-2</v>
      </c>
      <c r="FX14" s="3">
        <f>IF(AND(Include_study?="Yes",Sufficient_data="Yes"),IF(Additional_model="Fixed effect",1/'Publication Bias Analysis'!F:F,1/SQRT('Publication Bias Analysis'!F:F^2+GH$12)),"")</f>
        <v>6.0258232649491505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-0.33177430288279208</v>
      </c>
      <c r="FZ14" s="6">
        <f t="shared" si="80"/>
        <v>-3</v>
      </c>
      <c r="GA14" s="83">
        <f>IF(AND(Include_study?="Yes",Sufficient_data="Yes"),FZ:FZ+IF(GL:GL&lt;0,-1,1)*COUNTIF(FZ$2:FZ13,FZ:FZ),"")</f>
        <v>-3</v>
      </c>
      <c r="GB14" s="83">
        <f>IF(AND(Include_study?="Yes",Sufficient_data="Yes"),RANK(GP:GP,GP:GP,1)*IF(GO:GO&lt;0,-1,1)+IF(GO:GO&lt;0,-1,1)*COUNTIF(FZ$2:FZ13,FZ:FZ),"")</f>
        <v>-3</v>
      </c>
      <c r="GC14" s="83">
        <f>IF(AND(Include_study?="Yes",Sufficient_data="Yes"),RANK(GS:GS,GS:GS,1)*IF(GR:GR&lt;0,-1,1)+IF(GR:GR&lt;0,-1,1)*COUNTIF(FZ$2:FZ13,FZ:FZ),"")</f>
        <v>-3</v>
      </c>
      <c r="GD14" s="3">
        <f>IF(AND(Include_study?="Yes",Sufficient_data="Yes"),'Publication Bias Analysis'!E14,NA())</f>
        <v>-5.5058751027871673E-2</v>
      </c>
      <c r="GE14" s="35">
        <f>IF(AND(Include_study?="Yes",Sufficient_data="Yes"),'Publication Bias Analysis'!F14,NA())</f>
        <v>0.16595242774821717</v>
      </c>
      <c r="GG14" s="114" t="s">
        <v>314</v>
      </c>
      <c r="GH14" s="114"/>
      <c r="GK14" s="116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-6.9682597185469361E-2</v>
      </c>
      <c r="GM14" s="3">
        <f t="shared" si="81"/>
        <v>6.9682597185469361E-2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36.310546020402441</v>
      </c>
      <c r="GO14" s="3">
        <f>IF(AND(Include_study?="Yes",Sufficient_data="Yes"),IF('Publication Bias Analysis'!L$38="Left",'Publication Bias Analysis'!E:E-GW$3,GW$3-'Publication Bias Analysis'!E:E),"")</f>
        <v>-6.9682597185469361E-2</v>
      </c>
      <c r="GP14" s="3">
        <f t="shared" si="82"/>
        <v>6.9682597185469361E-2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36.310546020402441</v>
      </c>
      <c r="GR14" s="3">
        <f>IF(AND(Include_study?="Yes",Sufficient_data="Yes"),IF('Publication Bias Analysis'!L$38="Left",'Publication Bias Analysis'!E:E-GW$10,GW$10-'Publication Bias Analysis'!E:E),"")</f>
        <v>-6.9682597185469361E-2</v>
      </c>
      <c r="GS14" s="3">
        <f t="shared" si="83"/>
        <v>6.9682597185469361E-2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36.310546020402441</v>
      </c>
      <c r="GV14" s="36" t="s">
        <v>299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6"/>
      <c r="HL14" s="3">
        <f t="shared" si="89"/>
        <v>0.52409467530548248</v>
      </c>
      <c r="HM14" s="35">
        <f>IF(AND(Include_study?="Yes",Sufficient_data="Yes"),Z_score-('Publication Bias Analysis'!P$3+'Publication Bias Analysis'!P$4*Inverse_standard_error),"")</f>
        <v>-0.45524061116619163</v>
      </c>
      <c r="HO14" s="116"/>
      <c r="HP14" s="3">
        <f>IF(AND(Include_study?="Yes",Sufficient_data="Yes"),(GD:GD-SUMPRODUCT(Calculations!FT:FT,'Publication Bias Analysis'!E:E)/SUM(Calculations!FT:FT))/SQRT(Calculations!HQ:HQ),"")</f>
        <v>-0.44060176185274014</v>
      </c>
      <c r="HQ14" s="3">
        <f>IF(AND(Include_study?="Yes",Sufficient_data="Yes"),GE:GE^2-1/SUM(Calculations!FT:FT),"")</f>
        <v>2.501244803949685E-2</v>
      </c>
      <c r="HR14" s="6">
        <f t="shared" si="90"/>
        <v>8</v>
      </c>
      <c r="HS14" s="6">
        <f t="shared" si="91"/>
        <v>13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7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5</v>
      </c>
      <c r="HW14" s="116"/>
      <c r="HX14" s="2" t="s">
        <v>308</v>
      </c>
      <c r="HY14" s="21">
        <f>ROUND(HY13/4,1)</f>
        <v>0.4</v>
      </c>
      <c r="IB14" s="116"/>
      <c r="IC14" s="76">
        <f t="shared" si="92"/>
        <v>7.8172588832487316E-2</v>
      </c>
      <c r="ID14" s="3">
        <f t="shared" si="93"/>
        <v>8.223350253807106E-2</v>
      </c>
      <c r="IE14" s="3">
        <f t="shared" si="94"/>
        <v>42.914338204476238</v>
      </c>
      <c r="IF14" s="35">
        <f t="shared" si="95"/>
        <v>36.310546020402441</v>
      </c>
      <c r="IK14" s="116"/>
      <c r="IL14" s="3">
        <f>IF(AND(Include_study?="Yes",Sufficient_data="Yes"),'Publication Bias Analysis'!AV:AV,NA())</f>
        <v>-0.33177430288279208</v>
      </c>
      <c r="IM14" s="3">
        <f>IF(AND(Sufficient_data="Yes",Include_study?="Yes"),'Publication Bias Analysis'!AU:AU,NA())</f>
        <v>6.0258232649491505</v>
      </c>
      <c r="IN14" s="3">
        <f t="shared" si="96"/>
        <v>0.52409467530548248</v>
      </c>
      <c r="IO14" s="35">
        <f>IF(AND(Include_study?="Yes",Sufficient_data="Yes"),Z_score-('Publication Bias Analysis'!AY$30+'Publication Bias Analysis'!AY$31*Inverse_standard_error),"")</f>
        <v>-0.41989501528228151</v>
      </c>
      <c r="IU14" s="116"/>
      <c r="IV14" s="6">
        <f>IF('Publication Bias Analysis'!BG:BG&lt;&gt;"",RANK('Publication Bias Analysis'!BG:BG,'Publication Bias Analysis'!BG:BG,1)+COUNTIF('Publication Bias Analysis'!BG$2:BG13,'Publication Bias Analysis'!BG14),"")</f>
        <v>6</v>
      </c>
      <c r="IW14" s="3">
        <f t="shared" si="97"/>
        <v>0.42499999999999999</v>
      </c>
      <c r="IX14" s="3">
        <f>IF('Publication Bias Analysis'!BF14&lt;&gt;"",'Publication Bias Analysis'!BF14,NA())</f>
        <v>-0.18911842627279254</v>
      </c>
      <c r="IY14" s="3">
        <f>IF('Publication Bias Analysis'!BG14&lt;&gt;"",'Publication Bias Analysis'!BG14,NA())</f>
        <v>-0.33177430288279208</v>
      </c>
      <c r="IZ14" s="3">
        <f>IF(AND(Include_study?="Yes",Sufficient_data="Yes"),'Publication Bias Analysis'!BF:BF-AVERAGE('Publication Bias Analysis'!BF:BF),"")</f>
        <v>-0.18911842627279224</v>
      </c>
      <c r="JA14" s="35">
        <f>IF(AND(Include_study?="Yes",Sufficient_data="Yes"),'Publication Bias Analysis'!BG:BG-('Publication Bias Analysis'!BJ$30+'Publication Bias Analysis'!BJ$31*'Publication Bias Analysis'!BF:BF),"")</f>
        <v>-0.23289921475382264</v>
      </c>
      <c r="JG14" s="116"/>
      <c r="JH14" s="3">
        <f t="shared" si="98"/>
        <v>-0.33177430288279208</v>
      </c>
      <c r="JI14" s="10">
        <f t="shared" si="124"/>
        <v>0.37002984478974688</v>
      </c>
      <c r="JJ14" s="35">
        <f t="shared" si="125"/>
        <v>-0.99417161500292794</v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3"/>
      <c r="I15" s="120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6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6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6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3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3"/>
      <c r="BE15" s="120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6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6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6"/>
      <c r="CQ15" s="52" t="str">
        <f t="shared" si="52"/>
        <v/>
      </c>
      <c r="CS15" s="2" t="s">
        <v>298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1.1171611813808531</v>
      </c>
      <c r="CU15" s="3">
        <f>IF(Model_effect_size_measure="Odds Ratio",PICES_UL_MH/(1-MEDIAN(Control_group_risk)+(MEDIAN(Control_group_risk)*PICES_UL_MH)),"")</f>
        <v>1.1171611813808533</v>
      </c>
      <c r="CV15" s="3" t="str">
        <f>IF(Model_effect_size_measure="Peto Odds Ratio",PICES_UL_Peto/(1-MEDIAN(Control_group_risk)+(MEDIAN(Control_group_risk)*PICES_UL_Peto)),"")</f>
        <v/>
      </c>
      <c r="CX15" s="13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3"/>
      <c r="FS15" s="120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315</v>
      </c>
      <c r="GH15" s="3">
        <f>IF(Additional_valid_options="Yes",'Publication Bias Analysis'!I29-'Publication Bias Analysis'!I31,NA())</f>
        <v>0.10954381526549437</v>
      </c>
      <c r="GK15" s="116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6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6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6"/>
      <c r="IB15" s="116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6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6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6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3"/>
      <c r="I16" s="120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6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6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6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3"/>
      <c r="BE16" s="120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51</v>
      </c>
      <c r="BM16" s="3">
        <f>IF(Model_effect_size_measure="Risk Difference",CES_IV/SECES_Risk_Difference,lnCES_IV/SElnCES)</f>
        <v>0.32598891841308147</v>
      </c>
      <c r="BO16" s="116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51</v>
      </c>
      <c r="CB16" s="3">
        <f>lnCES_OddsRatio_MH/SElnCES_MH</f>
        <v>0.32598891841308181</v>
      </c>
      <c r="CD16" s="116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51</v>
      </c>
      <c r="CN16" s="3">
        <f>lnCES_PetoOddsRatio/SElnCES_Peto</f>
        <v>0.33033099545597588</v>
      </c>
      <c r="CP16" s="116"/>
      <c r="CQ16" s="52" t="str">
        <f t="shared" si="52"/>
        <v/>
      </c>
      <c r="CX16" s="13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4" t="s">
        <v>316</v>
      </c>
      <c r="EY16" s="114"/>
      <c r="FA16" s="13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3"/>
      <c r="FS16" s="120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317</v>
      </c>
      <c r="GH16" s="3">
        <f>IF(Additional_valid_options="Yes",'Publication Bias Analysis'!I29-'Publication Bias Analysis'!I33,NA())</f>
        <v>0.10954381526549437</v>
      </c>
      <c r="GK16" s="116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4" t="s">
        <v>102</v>
      </c>
      <c r="GW16" s="114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6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6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6"/>
      <c r="IB16" s="116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6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6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6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3"/>
      <c r="I17" s="120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6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6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6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3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3"/>
      <c r="BE17" s="120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6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6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6"/>
      <c r="CQ17" s="52" t="str">
        <f t="shared" si="52"/>
        <v/>
      </c>
      <c r="CS17" s="114" t="s">
        <v>168</v>
      </c>
      <c r="CT17" s="114"/>
      <c r="CU17" s="114"/>
      <c r="CV17" s="114"/>
      <c r="CX17" s="13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57</v>
      </c>
      <c r="EY17" s="3">
        <f>SUMPRODUCT(Subgroup_weightf,Subgroup_effect_size,Subgroup_effect_size)-SUMPRODUCT(Subgroup_weightf,Subgroup_effect_size)^2/SUM(Subgroup_weightf)</f>
        <v>9.5535089233882786</v>
      </c>
      <c r="FA17" s="13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3"/>
      <c r="FS17" s="120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318</v>
      </c>
      <c r="GH17" s="3">
        <f>IF(Additional_valid_options="Yes",MAX('Publication Bias Analysis'!F:F)*1.1,NA())</f>
        <v>0.2334540610131689</v>
      </c>
      <c r="GK17" s="116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1.4623846157597693E-2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6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6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6"/>
      <c r="IB17" s="116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6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6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6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3"/>
      <c r="I18" s="120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6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6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6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3"/>
      <c r="BE18" s="120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56</v>
      </c>
      <c r="BM18" s="28"/>
      <c r="BO18" s="116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4" t="s">
        <v>56</v>
      </c>
      <c r="CB18" s="114"/>
      <c r="CD18" s="116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56</v>
      </c>
      <c r="CN18" s="1"/>
      <c r="CP18" s="116"/>
      <c r="CQ18" s="52" t="str">
        <f t="shared" si="52"/>
        <v/>
      </c>
      <c r="CS18" s="2"/>
      <c r="CT18" s="2" t="s">
        <v>37</v>
      </c>
      <c r="CU18" s="2" t="s">
        <v>61</v>
      </c>
      <c r="CV18" s="2" t="s">
        <v>62</v>
      </c>
      <c r="CX18" s="13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58</v>
      </c>
      <c r="EY18" s="3">
        <f>CHIDIST(EY17,Subgroup_k-1)</f>
        <v>0.65506649515070225</v>
      </c>
      <c r="FA18" s="13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3"/>
      <c r="FS18" s="120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6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4" t="s">
        <v>56</v>
      </c>
      <c r="GW18" s="114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6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6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6"/>
      <c r="IB18" s="116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6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6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6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3"/>
      <c r="I19" s="120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6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6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6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3"/>
      <c r="BE19" s="120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57</v>
      </c>
      <c r="BM19" s="3">
        <f>SUMPRODUCT(Weightf,Model_Effect_size,Model_Effect_size)-SUMPRODUCT(Weightf,Model_Effect_size)^2/SUM(Weightf)</f>
        <v>9.5535089233882786</v>
      </c>
      <c r="BO19" s="116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57</v>
      </c>
      <c r="CB19" s="3">
        <f>SUM(Weighted_squared_residual)</f>
        <v>9.5535214513651852</v>
      </c>
      <c r="CD19" s="116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57</v>
      </c>
      <c r="CN19" s="3">
        <f>SUMPRODUCT(Weightf_Peto,LogPetoOddsRatio,LogPetoOddsRatio)-SUMPRODUCT(Weightf_Peto,LogPetoOddsRatio)^2/SUM(Weightf_Peto)</f>
        <v>9.5860943438475843</v>
      </c>
      <c r="CP19" s="116"/>
      <c r="CQ19" s="52" t="str">
        <f t="shared" si="52"/>
        <v/>
      </c>
      <c r="CS19" s="2" t="s">
        <v>280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1.9256584475354881E-4</v>
      </c>
      <c r="CU19" s="3">
        <f>IF(Model_effect_size_measure="Odds Ratio",CU11*MEDIAN(Control_group_risk)-MEDIAN(Control_group_risk),NA())</f>
        <v>1.9256584475354881E-4</v>
      </c>
      <c r="CV19" s="3" t="e">
        <f>IF(Model_effect_size_measure="Peto Odds Ratio",CV11*MEDIAN(Control_group_risk)-MEDIAN(Control_group_risk),NA())</f>
        <v>#N/A</v>
      </c>
      <c r="CX19" s="13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59</v>
      </c>
      <c r="EY19" s="9">
        <f>MAX(0,(EY17-(Subgroup_k-1))/EY17)</f>
        <v>0</v>
      </c>
      <c r="FA19" s="13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3"/>
      <c r="FS19" s="120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4" t="s">
        <v>319</v>
      </c>
      <c r="GH19" s="114"/>
      <c r="GK19" s="116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9.5535089233882786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6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6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6"/>
      <c r="IB19" s="116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6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6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6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3"/>
      <c r="I20" s="120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6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6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6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3"/>
      <c r="BE20" s="120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145</v>
      </c>
      <c r="BM20" s="3">
        <f>MAX((Q_-(k_-1))/(SUM(Weightf)-SUMPRODUCT(Weightf,Weightf)/SUM(Weightf)),0)</f>
        <v>0</v>
      </c>
      <c r="BO20" s="116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145</v>
      </c>
      <c r="CB20" s="3">
        <f>MAX((Q_MH-(k_-1))/(SUM(Weightf_MH)-SUMPRODUCT(Weightf_MH,Weightf_MH)/SUM(Weightf_MH)),0)</f>
        <v>0</v>
      </c>
      <c r="CD20" s="116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145</v>
      </c>
      <c r="CN20" s="3">
        <f>MAX((Q_Peto-(k_-1))/(SUM(Weightf_Peto)-SUMPRODUCT(Weightf_Peto,Weightf_Peto)/SUM(Weightf_Peto)),0)</f>
        <v>0</v>
      </c>
      <c r="CP20" s="116"/>
      <c r="CQ20" s="52" t="str">
        <f t="shared" si="52"/>
        <v/>
      </c>
      <c r="CS20" s="2" t="s">
        <v>320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5.9071285518220063E-4</v>
      </c>
      <c r="CU20" s="3">
        <f>IF(Model_effect_size_measure="Odds Ratio",CU19/Z_value_MH,"")</f>
        <v>5.9071285518219998E-4</v>
      </c>
      <c r="CV20" s="3" t="str">
        <f>IF(Model_effect_size_measure="Peto Odds Ratio",CV19/Z_value_Peto,"")</f>
        <v/>
      </c>
      <c r="CX20" s="13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145</v>
      </c>
      <c r="EY20" s="3">
        <f>MAX(0,(EY17-(Subgroup_k-1))/(SUM(Subgroup_weightf)-(SUMPRODUCT(Subgroup_weightf,Subgroup_weightf)/SUM(Subgroup_weightf))))</f>
        <v>0</v>
      </c>
      <c r="FA20" s="13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3"/>
      <c r="FS20" s="120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321</v>
      </c>
      <c r="GH20" s="3">
        <f>IF(AND(Trim_and_fill="On",Additional_valid_options="Yes"),'Publication Bias Analysis'!I37-'Publication Bias Analysis'!I39,NA())</f>
        <v>0.10954381526549437</v>
      </c>
      <c r="GK20" s="116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6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6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6"/>
      <c r="IB20" s="116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6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6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6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3"/>
      <c r="I21" s="120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6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6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6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3"/>
      <c r="BE21" s="120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6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6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6"/>
      <c r="CQ21" s="52" t="str">
        <f t="shared" si="52"/>
        <v/>
      </c>
      <c r="CS21" s="2" t="s">
        <v>94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-1.0944869027667893E-3</v>
      </c>
      <c r="CU21" s="3">
        <f>IF(Model_effect_size_measure="Odds Ratio",CU19-CU20*ABS(TINV((1-Confidence_level),k_-1)),"")</f>
        <v>-1.0944869027667877E-3</v>
      </c>
      <c r="CV21" s="3" t="str">
        <f>IF(Model_effect_size_measure="Peto Odds Ratio",CV19-CV20*ABS(TINV((1-Confidence_level),k_-1)),"")</f>
        <v/>
      </c>
      <c r="CX21" s="13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69</v>
      </c>
      <c r="EY21" s="3">
        <f>SQRT(EY20)</f>
        <v>0</v>
      </c>
      <c r="FA21" s="13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3"/>
      <c r="FS21" s="120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322</v>
      </c>
      <c r="GH21" s="3">
        <f>IF(AND(Trim_and_fill="On",Additional_valid_options="Yes"),'Publication Bias Analysis'!I37-'Publication Bias Analysis'!I41,NA())</f>
        <v>0.10954381526549437</v>
      </c>
      <c r="GK21" s="116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299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6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6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6"/>
      <c r="IB21" s="116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6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6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6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3"/>
      <c r="I22" s="120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6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6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6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3"/>
      <c r="BE22" s="120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6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6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6"/>
      <c r="CQ22" s="52" t="str">
        <f t="shared" si="52"/>
        <v/>
      </c>
      <c r="CS22" s="2" t="s">
        <v>95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1.4796185922738869E-3</v>
      </c>
      <c r="CU22" s="3">
        <f>IF(Model_effect_size_measure="Odds Ratio",CU19+CU20*ABS(TINV((1-Confidence_level),k_-1)),"")</f>
        <v>1.4796185922738854E-3</v>
      </c>
      <c r="CV22" s="3" t="str">
        <f>IF(Model_effect_size_measure="Peto Odds Ratio",CV19+CV20*ABS(TINV((1-Confidence_level),k_-1)),"")</f>
        <v/>
      </c>
      <c r="CX22" s="13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3"/>
      <c r="FS22" s="120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323</v>
      </c>
      <c r="GH22" s="3">
        <f>IF(AND(Trim_and_fill="On",Additional_valid_options="Yes"),MAX('Publication Bias Analysis'!F:F)*1.2,NA())</f>
        <v>0.25467715746891151</v>
      </c>
      <c r="GK22" s="116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6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6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6"/>
      <c r="IB22" s="116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6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6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6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3"/>
      <c r="I23" s="120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6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6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6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3"/>
      <c r="BE23" s="120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6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6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6"/>
      <c r="CQ23" s="52" t="str">
        <f t="shared" si="52"/>
        <v/>
      </c>
      <c r="CS23" s="2" t="s">
        <v>293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-1.0944869027667893E-3</v>
      </c>
      <c r="CU23" s="3">
        <f>IF(Model_effect_size_measure="Odds Ratio",CU19-((lnCES_OddsRatio_MH-PIlnCES_LL_MH)/SElnCES_MH)*CU20,"")</f>
        <v>-1.0944869027667877E-3</v>
      </c>
      <c r="CV23" s="3" t="str">
        <f>IF(Model_effect_size_measure="Peto Odds Ratio",CV19-((lnCES_PetoOddsRatio-PIlnCES_LL_Peto)/SElnCES_Peto)*CV20,"")</f>
        <v/>
      </c>
      <c r="CX23" s="13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4" t="s">
        <v>324</v>
      </c>
      <c r="EY23" s="114"/>
      <c r="FA23" s="13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3"/>
      <c r="FS23" s="120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6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6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6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6"/>
      <c r="IB23" s="116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6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6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6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3"/>
      <c r="I24" s="120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6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6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6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3"/>
      <c r="BE24" s="120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6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6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6"/>
      <c r="CQ24" s="52" t="str">
        <f t="shared" si="52"/>
        <v/>
      </c>
      <c r="CS24" s="2" t="s">
        <v>298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1.4796185922738869E-3</v>
      </c>
      <c r="CU24" s="3">
        <f>IF(Model_effect_size_measure="Odds Ratio",CU19+((lnCES_OddsRatio_MH-PIlnCES_LL_MH)/SElnCES_MH)*CU20,"")</f>
        <v>1.4796185922738854E-3</v>
      </c>
      <c r="CV24" s="3" t="str">
        <f>IF(Model_effect_size_measure="Peto Odds Ratio",CV19+((lnCES_PetoOddsRatio-PIlnCES_LL_Peto)/SElnCES_Peto)*CV20,"")</f>
        <v/>
      </c>
      <c r="CX24" s="13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261</v>
      </c>
      <c r="EY24" s="3">
        <f>EY9</f>
        <v>1.0092088064373523</v>
      </c>
      <c r="FA24" s="13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3"/>
      <c r="FS24" s="120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6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6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6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6"/>
      <c r="IB24" s="116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6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6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6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3"/>
      <c r="I25" s="120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6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6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6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3"/>
      <c r="BE25" s="120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6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6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6"/>
      <c r="CQ25" s="52" t="str">
        <f t="shared" si="52"/>
        <v/>
      </c>
      <c r="CX25" s="13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278</v>
      </c>
      <c r="EY25" s="6">
        <f>IF(Subgroup_valid_options="Yes",MAX(DP:DP)+1,"")</f>
        <v>16</v>
      </c>
      <c r="FA25" s="13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3"/>
      <c r="FS25" s="120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6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6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6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6"/>
      <c r="IB25" s="116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6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6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6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3"/>
      <c r="I26" s="120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6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6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6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3"/>
      <c r="BE26" s="120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6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6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6"/>
      <c r="CQ26" s="52" t="str">
        <f t="shared" si="52"/>
        <v/>
      </c>
      <c r="CX26" s="13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325</v>
      </c>
      <c r="EY26" s="6">
        <f>IF(Subgroup_valid_options="Yes",MAX(DR:DR)+1,"")</f>
        <v>3</v>
      </c>
      <c r="FA26" s="13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3"/>
      <c r="FS26" s="120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6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6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6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6"/>
      <c r="IB26" s="116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6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6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6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3"/>
      <c r="I27" s="120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6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6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6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3"/>
      <c r="BE27" s="120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6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6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6"/>
      <c r="CQ27" s="52" t="str">
        <f t="shared" si="52"/>
        <v/>
      </c>
      <c r="CX27" s="13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283</v>
      </c>
      <c r="EY27" s="3">
        <f>IF(Subgroup_valid_options="Yes",EY9-EY11,"")</f>
        <v>3.2991677248911166E-2</v>
      </c>
      <c r="FA27" s="13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3"/>
      <c r="FS27" s="120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6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6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6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6"/>
      <c r="IB27" s="116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6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6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6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3"/>
      <c r="I28" s="120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6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6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6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3"/>
      <c r="BE28" s="120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6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6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6"/>
      <c r="CQ28" s="52" t="str">
        <f t="shared" si="52"/>
        <v/>
      </c>
      <c r="CX28" s="13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286</v>
      </c>
      <c r="EY28" s="3">
        <f>IF(Subgroup_valid_options="Yes",EY12-EY9,"")</f>
        <v>3.4106645154259319E-2</v>
      </c>
      <c r="FA28" s="13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3"/>
      <c r="FS28" s="120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6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6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6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6"/>
      <c r="IB28" s="116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6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6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6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3"/>
      <c r="I29" s="120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6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6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6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3"/>
      <c r="BE29" s="120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6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6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6"/>
      <c r="CQ29" s="52" t="str">
        <f t="shared" si="52"/>
        <v/>
      </c>
      <c r="CX29" s="13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291</v>
      </c>
      <c r="EY29" s="3">
        <f>IF(Subgroup_valid_options="Yes",EY9-EY13,"")</f>
        <v>3.2991677248911166E-2</v>
      </c>
      <c r="FA29" s="13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3"/>
      <c r="FS29" s="120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6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6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6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6"/>
      <c r="IB29" s="116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6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6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6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3"/>
      <c r="I30" s="120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6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6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6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3"/>
      <c r="BE30" s="120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6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6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6"/>
      <c r="CQ30" s="52" t="str">
        <f t="shared" si="52"/>
        <v/>
      </c>
      <c r="CX30" s="13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296</v>
      </c>
      <c r="EY30" s="3">
        <f>IF(Subgroup_valid_options="Yes",EY14-EY9,"")</f>
        <v>3.4106645154259319E-2</v>
      </c>
      <c r="FA30" s="13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3"/>
      <c r="FS30" s="120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6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6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6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6"/>
      <c r="IB30" s="116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6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6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6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3"/>
      <c r="I31" s="120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6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6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6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3"/>
      <c r="BE31" s="120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6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6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6"/>
      <c r="CQ31" s="52" t="str">
        <f t="shared" si="52"/>
        <v/>
      </c>
      <c r="CX31" s="13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326</v>
      </c>
      <c r="EY31" s="3">
        <f>IF(Subgroup_valid_options="Yes",MAX(ER:ER),"")</f>
        <v>0.64248121538023761</v>
      </c>
      <c r="FA31" s="13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3"/>
      <c r="FS31" s="120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6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6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6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6"/>
      <c r="IB31" s="116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6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6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6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3"/>
      <c r="I32" s="120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6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6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6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3"/>
      <c r="BE32" s="120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6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6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6"/>
      <c r="CQ32" s="52" t="str">
        <f t="shared" si="52"/>
        <v/>
      </c>
      <c r="CX32" s="13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3"/>
      <c r="FS32" s="120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6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6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6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6"/>
      <c r="IB32" s="116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6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6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6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3"/>
      <c r="I33" s="120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6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6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6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3"/>
      <c r="BE33" s="120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6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6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6"/>
      <c r="CQ33" s="52" t="str">
        <f t="shared" si="52"/>
        <v/>
      </c>
      <c r="CX33" s="13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4" t="s">
        <v>327</v>
      </c>
      <c r="EY33" s="114"/>
      <c r="FA33" s="13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3"/>
      <c r="FS33" s="120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6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6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6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6"/>
      <c r="IB33" s="116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6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6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6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3"/>
      <c r="I34" s="120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6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6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6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3"/>
      <c r="BE34" s="120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6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6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6"/>
      <c r="CQ34" s="52" t="str">
        <f t="shared" ref="CQ34:CQ97" si="175">IF(AND(Sufficient_data="Yes",Include_study?="Yes"),c_/(c_+d_),"")</f>
        <v/>
      </c>
      <c r="CX34" s="13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328</v>
      </c>
      <c r="EY34" s="3">
        <f>IF(Subgroup_valid_options="Yes",SUMPRODUCT(ES:ES,DZ:DZ,DZ:DZ)-SUMPRODUCT(ES:ES,DZ:DZ)^2/SUM(ES:ES),"")</f>
        <v>0.12260495165049336</v>
      </c>
      <c r="FA34" s="13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3"/>
      <c r="FS34" s="120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6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6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6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6"/>
      <c r="IB34" s="116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6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6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6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3"/>
      <c r="I35" s="120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6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6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6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3"/>
      <c r="BE35" s="120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6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6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6"/>
      <c r="CQ35" s="52" t="str">
        <f t="shared" si="175"/>
        <v/>
      </c>
      <c r="CX35" s="13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145</v>
      </c>
      <c r="EY35" s="3">
        <f>IF(Subgroup_valid_options="Yes",MAX(0,(EY34-(COUNT(DT:DT)-1))/(SUM(ES:ES)-(SUMPRODUCT(ES:ES,ES:ES)/SUM(ES:ES)))),"")</f>
        <v>0</v>
      </c>
      <c r="FA35" s="13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3"/>
      <c r="FS35" s="120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6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6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6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6"/>
      <c r="IB35" s="116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6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6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6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3"/>
      <c r="I36" s="120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6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6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6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3"/>
      <c r="BE36" s="120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6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6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6"/>
      <c r="CQ36" s="52" t="str">
        <f t="shared" si="175"/>
        <v/>
      </c>
      <c r="CX36" s="13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3"/>
      <c r="FS36" s="120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6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6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6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6"/>
      <c r="IB36" s="116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6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6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6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3"/>
      <c r="I37" s="120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6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6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6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3"/>
      <c r="BE37" s="120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6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6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6"/>
      <c r="CQ37" s="52" t="str">
        <f t="shared" si="175"/>
        <v/>
      </c>
      <c r="CX37" s="13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4" t="s">
        <v>329</v>
      </c>
      <c r="EY37" s="114"/>
      <c r="FA37" s="13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3"/>
      <c r="FS37" s="120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6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6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6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6"/>
      <c r="IB37" s="116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6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6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6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3"/>
      <c r="I38" s="120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6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6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6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3"/>
      <c r="BE38" s="120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6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6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6"/>
      <c r="CQ38" s="52" t="str">
        <f t="shared" si="175"/>
        <v/>
      </c>
      <c r="CX38" s="13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91</v>
      </c>
      <c r="EY38" s="3"/>
      <c r="FA38" s="13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3"/>
      <c r="FS38" s="120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6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6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6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6"/>
      <c r="IB38" s="116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6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6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6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3"/>
      <c r="I39" s="120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6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6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6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3"/>
      <c r="BE39" s="120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6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6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6"/>
      <c r="CQ39" s="52" t="str">
        <f t="shared" si="175"/>
        <v/>
      </c>
      <c r="CX39" s="13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79</v>
      </c>
      <c r="EY39" s="3"/>
      <c r="FA39" s="13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3"/>
      <c r="FS39" s="120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6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6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6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6"/>
      <c r="IB39" s="116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6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6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6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3"/>
      <c r="I40" s="120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6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6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6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3"/>
      <c r="BE40" s="120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6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6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6"/>
      <c r="CQ40" s="52" t="str">
        <f t="shared" si="175"/>
        <v/>
      </c>
      <c r="CX40" s="13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3"/>
      <c r="FS40" s="120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6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6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6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6"/>
      <c r="IB40" s="116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6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6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6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3"/>
      <c r="I41" s="120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6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6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6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3"/>
      <c r="BE41" s="120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6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6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6"/>
      <c r="CQ41" s="52" t="str">
        <f t="shared" si="175"/>
        <v/>
      </c>
      <c r="CX41" s="13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4" t="s">
        <v>330</v>
      </c>
      <c r="EY41" s="114"/>
      <c r="FA41" s="13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3"/>
      <c r="FS41" s="120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6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6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6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6"/>
      <c r="IB41" s="116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6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6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6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3"/>
      <c r="I42" s="120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6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6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6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3"/>
      <c r="BE42" s="120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6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6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6"/>
      <c r="CQ42" s="52" t="str">
        <f t="shared" si="175"/>
        <v/>
      </c>
      <c r="CX42" s="13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91</v>
      </c>
      <c r="EY42" s="30"/>
      <c r="FA42" s="13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3"/>
      <c r="FS42" s="120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6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6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6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6"/>
      <c r="IB42" s="116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6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6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6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3"/>
      <c r="I43" s="120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6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6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6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3"/>
      <c r="BE43" s="120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6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6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6"/>
      <c r="CQ43" s="52" t="str">
        <f t="shared" si="175"/>
        <v/>
      </c>
      <c r="CX43" s="13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81</v>
      </c>
      <c r="EY43" s="31"/>
      <c r="FA43" s="13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3"/>
      <c r="FS43" s="120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6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6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6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6"/>
      <c r="IB43" s="116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6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6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6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3"/>
      <c r="I44" s="120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6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6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6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3"/>
      <c r="BE44" s="120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6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6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6"/>
      <c r="CQ44" s="52" t="str">
        <f t="shared" si="175"/>
        <v/>
      </c>
      <c r="CX44" s="13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331</v>
      </c>
      <c r="EY44" s="31"/>
      <c r="FA44" s="13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3"/>
      <c r="FS44" s="120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6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6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6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6"/>
      <c r="IB44" s="116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6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6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6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3"/>
      <c r="I45" s="120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6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6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6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3"/>
      <c r="BE45" s="120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6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6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6"/>
      <c r="CQ45" s="52" t="str">
        <f t="shared" si="175"/>
        <v/>
      </c>
      <c r="CX45" s="13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3"/>
      <c r="FS45" s="120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6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6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6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6"/>
      <c r="IB45" s="116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6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6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6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3"/>
      <c r="I46" s="120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6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6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6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3"/>
      <c r="BE46" s="120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6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6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6"/>
      <c r="CQ46" s="52" t="str">
        <f t="shared" si="175"/>
        <v/>
      </c>
      <c r="CX46" s="13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3"/>
      <c r="FS46" s="120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6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6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6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6"/>
      <c r="IB46" s="116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6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6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6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3"/>
      <c r="I47" s="120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6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6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6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3"/>
      <c r="BE47" s="120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6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6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6"/>
      <c r="CQ47" s="52" t="str">
        <f t="shared" si="175"/>
        <v/>
      </c>
      <c r="CX47" s="13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3"/>
      <c r="FS47" s="120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6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6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6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6"/>
      <c r="IB47" s="116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6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6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6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3"/>
      <c r="I48" s="120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6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6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6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3"/>
      <c r="BE48" s="120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6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6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6"/>
      <c r="CQ48" s="52" t="str">
        <f t="shared" si="175"/>
        <v/>
      </c>
      <c r="CX48" s="13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3"/>
      <c r="FS48" s="120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6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6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6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6"/>
      <c r="IB48" s="116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6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6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6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3"/>
      <c r="I49" s="120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6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6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6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3"/>
      <c r="BE49" s="120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6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6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6"/>
      <c r="CQ49" s="52" t="str">
        <f t="shared" si="175"/>
        <v/>
      </c>
      <c r="CX49" s="13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3"/>
      <c r="FS49" s="120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6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6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6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6"/>
      <c r="IB49" s="116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6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6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6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3"/>
      <c r="I50" s="120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6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6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6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3"/>
      <c r="BE50" s="120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6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6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6"/>
      <c r="CQ50" s="52" t="str">
        <f t="shared" si="175"/>
        <v/>
      </c>
      <c r="CX50" s="13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3"/>
      <c r="FS50" s="120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6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6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6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6"/>
      <c r="IB50" s="116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6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6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6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3"/>
      <c r="I51" s="120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6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6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6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3"/>
      <c r="BE51" s="120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6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6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6"/>
      <c r="CQ51" s="52" t="str">
        <f t="shared" si="175"/>
        <v/>
      </c>
      <c r="CX51" s="13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3"/>
      <c r="FS51" s="120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6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6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6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6"/>
      <c r="IB51" s="116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6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6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6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3"/>
      <c r="I52" s="120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6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6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6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3"/>
      <c r="BE52" s="120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6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6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6"/>
      <c r="CQ52" s="52" t="str">
        <f t="shared" si="175"/>
        <v/>
      </c>
      <c r="CX52" s="13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3"/>
      <c r="FS52" s="120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6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6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6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6"/>
      <c r="IB52" s="116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6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6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6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3"/>
      <c r="I53" s="120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6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6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6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3"/>
      <c r="BE53" s="120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6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6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6"/>
      <c r="CQ53" s="52" t="str">
        <f t="shared" si="175"/>
        <v/>
      </c>
      <c r="CX53" s="13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3"/>
      <c r="FS53" s="120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6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6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6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6"/>
      <c r="IB53" s="116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6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6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6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3"/>
      <c r="I54" s="120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6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6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6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3"/>
      <c r="BE54" s="120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6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6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6"/>
      <c r="CQ54" s="52" t="str">
        <f t="shared" si="175"/>
        <v/>
      </c>
      <c r="CX54" s="13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3"/>
      <c r="FS54" s="120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6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6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6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6"/>
      <c r="IB54" s="116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6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6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6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3"/>
      <c r="I55" s="120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6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6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6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3"/>
      <c r="BE55" s="120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6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6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6"/>
      <c r="CQ55" s="52" t="str">
        <f t="shared" si="175"/>
        <v/>
      </c>
      <c r="CX55" s="13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3"/>
      <c r="FS55" s="120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6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6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6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6"/>
      <c r="IB55" s="116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6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6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6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3"/>
      <c r="I56" s="120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6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6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6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3"/>
      <c r="BE56" s="120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6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6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6"/>
      <c r="CQ56" s="52" t="str">
        <f t="shared" si="175"/>
        <v/>
      </c>
      <c r="CX56" s="13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3"/>
      <c r="FS56" s="120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6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6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6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6"/>
      <c r="IB56" s="116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6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6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6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3"/>
      <c r="I57" s="120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6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6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6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3"/>
      <c r="BE57" s="120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6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6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6"/>
      <c r="CQ57" s="52" t="str">
        <f t="shared" si="175"/>
        <v/>
      </c>
      <c r="CX57" s="13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3"/>
      <c r="FS57" s="120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6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6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6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6"/>
      <c r="IB57" s="116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6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6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6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3"/>
      <c r="I58" s="120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6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6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6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3"/>
      <c r="BE58" s="120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6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6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6"/>
      <c r="CQ58" s="52" t="str">
        <f t="shared" si="175"/>
        <v/>
      </c>
      <c r="CX58" s="13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3"/>
      <c r="FS58" s="120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6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6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6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6"/>
      <c r="IB58" s="116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6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6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6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3"/>
      <c r="I59" s="120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6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6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6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3"/>
      <c r="BE59" s="120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6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6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6"/>
      <c r="CQ59" s="52" t="str">
        <f t="shared" si="175"/>
        <v/>
      </c>
      <c r="CX59" s="13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3"/>
      <c r="FS59" s="120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6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6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6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6"/>
      <c r="IB59" s="116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6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6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6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3"/>
      <c r="I60" s="120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6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6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6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3"/>
      <c r="BE60" s="120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6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6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6"/>
      <c r="CQ60" s="52" t="str">
        <f t="shared" si="175"/>
        <v/>
      </c>
      <c r="CX60" s="13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3"/>
      <c r="FS60" s="120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6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6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6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6"/>
      <c r="IB60" s="116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6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6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6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3"/>
      <c r="I61" s="120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6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6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6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3"/>
      <c r="BE61" s="120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6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6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6"/>
      <c r="CQ61" s="52" t="str">
        <f t="shared" si="175"/>
        <v/>
      </c>
      <c r="CX61" s="13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3"/>
      <c r="FS61" s="120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6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6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6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6"/>
      <c r="IB61" s="116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6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6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6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3"/>
      <c r="I62" s="120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6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6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6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3"/>
      <c r="BE62" s="120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6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6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6"/>
      <c r="CQ62" s="52" t="str">
        <f t="shared" si="175"/>
        <v/>
      </c>
      <c r="CX62" s="13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3"/>
      <c r="FS62" s="120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6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6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6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6"/>
      <c r="IB62" s="116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6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6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6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3"/>
      <c r="I63" s="120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6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6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6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3"/>
      <c r="BE63" s="120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6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6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6"/>
      <c r="CQ63" s="52" t="str">
        <f t="shared" si="175"/>
        <v/>
      </c>
      <c r="CX63" s="13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3"/>
      <c r="FS63" s="120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6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6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6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6"/>
      <c r="IB63" s="116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6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6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6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3"/>
      <c r="I64" s="120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6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6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6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3"/>
      <c r="BE64" s="120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6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6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6"/>
      <c r="CQ64" s="52" t="str">
        <f t="shared" si="175"/>
        <v/>
      </c>
      <c r="CX64" s="13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3"/>
      <c r="FS64" s="120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6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6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6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6"/>
      <c r="IB64" s="116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6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6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6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3"/>
      <c r="I65" s="120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6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6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6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3"/>
      <c r="BE65" s="120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6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6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6"/>
      <c r="CQ65" s="52" t="str">
        <f t="shared" si="175"/>
        <v/>
      </c>
      <c r="CX65" s="13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3"/>
      <c r="FS65" s="120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6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6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6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6"/>
      <c r="IB65" s="116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6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6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6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3"/>
      <c r="I66" s="120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6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6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6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3"/>
      <c r="BE66" s="120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6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6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6"/>
      <c r="CQ66" s="52" t="str">
        <f t="shared" si="175"/>
        <v/>
      </c>
      <c r="CX66" s="13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3"/>
      <c r="FS66" s="120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6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6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6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6"/>
      <c r="IB66" s="116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6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6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6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3"/>
      <c r="I67" s="120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6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6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6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3"/>
      <c r="BE67" s="120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6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6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6"/>
      <c r="CQ67" s="52" t="str">
        <f t="shared" si="175"/>
        <v/>
      </c>
      <c r="CX67" s="13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3"/>
      <c r="FS67" s="120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6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6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6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6"/>
      <c r="IB67" s="116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6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6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6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3"/>
      <c r="I68" s="120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6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6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6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3"/>
      <c r="BE68" s="120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6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6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6"/>
      <c r="CQ68" s="52" t="str">
        <f t="shared" si="175"/>
        <v/>
      </c>
      <c r="CX68" s="13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3"/>
      <c r="FS68" s="120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6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6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6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6"/>
      <c r="IB68" s="116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6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6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6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3"/>
      <c r="I69" s="120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6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6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6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3"/>
      <c r="BE69" s="120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6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6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6"/>
      <c r="CQ69" s="52" t="str">
        <f t="shared" si="175"/>
        <v/>
      </c>
      <c r="CX69" s="13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3"/>
      <c r="FS69" s="120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6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6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6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6"/>
      <c r="IB69" s="116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6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6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6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3"/>
      <c r="I70" s="120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6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6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6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3"/>
      <c r="BE70" s="120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6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6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6"/>
      <c r="CQ70" s="52" t="str">
        <f t="shared" si="175"/>
        <v/>
      </c>
      <c r="CX70" s="13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3"/>
      <c r="FS70" s="120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6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6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6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6"/>
      <c r="IB70" s="116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6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6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6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3"/>
      <c r="I71" s="120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6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6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6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3"/>
      <c r="BE71" s="120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6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6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6"/>
      <c r="CQ71" s="52" t="str">
        <f t="shared" si="175"/>
        <v/>
      </c>
      <c r="CX71" s="13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3"/>
      <c r="FS71" s="120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6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6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6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6"/>
      <c r="IB71" s="116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6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6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6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3"/>
      <c r="I72" s="120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6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6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6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3"/>
      <c r="BE72" s="120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6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6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6"/>
      <c r="CQ72" s="52" t="str">
        <f t="shared" si="175"/>
        <v/>
      </c>
      <c r="CX72" s="13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3"/>
      <c r="FS72" s="120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6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6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6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6"/>
      <c r="IB72" s="116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6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6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6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3"/>
      <c r="I73" s="120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6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6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6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3"/>
      <c r="BE73" s="120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6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6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6"/>
      <c r="CQ73" s="52" t="str">
        <f t="shared" si="175"/>
        <v/>
      </c>
      <c r="CX73" s="13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3"/>
      <c r="FS73" s="120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6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6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6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6"/>
      <c r="IB73" s="116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6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6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6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3"/>
      <c r="I74" s="120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6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6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6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3"/>
      <c r="BE74" s="120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6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6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6"/>
      <c r="CQ74" s="52" t="str">
        <f t="shared" si="175"/>
        <v/>
      </c>
      <c r="CX74" s="13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3"/>
      <c r="FS74" s="120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6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6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6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6"/>
      <c r="IB74" s="116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6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6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6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3"/>
      <c r="I75" s="120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6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6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6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3"/>
      <c r="BE75" s="120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6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6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6"/>
      <c r="CQ75" s="52" t="str">
        <f t="shared" si="175"/>
        <v/>
      </c>
      <c r="CX75" s="13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3"/>
      <c r="FS75" s="120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6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6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6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6"/>
      <c r="IB75" s="116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6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6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6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3"/>
      <c r="I76" s="120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6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6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6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3"/>
      <c r="BE76" s="120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6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6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6"/>
      <c r="CQ76" s="52" t="str">
        <f t="shared" si="175"/>
        <v/>
      </c>
      <c r="CX76" s="13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3"/>
      <c r="FS76" s="120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6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6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6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6"/>
      <c r="IB76" s="116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6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6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6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3"/>
      <c r="I77" s="120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6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6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6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3"/>
      <c r="BE77" s="120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6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6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6"/>
      <c r="CQ77" s="52" t="str">
        <f t="shared" si="175"/>
        <v/>
      </c>
      <c r="CX77" s="13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3"/>
      <c r="FS77" s="120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6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6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6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6"/>
      <c r="IB77" s="116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6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6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6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3"/>
      <c r="I78" s="120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6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6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6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3"/>
      <c r="BE78" s="120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6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6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6"/>
      <c r="CQ78" s="52" t="str">
        <f t="shared" si="175"/>
        <v/>
      </c>
      <c r="CX78" s="13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3"/>
      <c r="FS78" s="120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6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6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6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6"/>
      <c r="IB78" s="116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6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6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6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3"/>
      <c r="I79" s="120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6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6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6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3"/>
      <c r="BE79" s="120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6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6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6"/>
      <c r="CQ79" s="52" t="str">
        <f t="shared" si="175"/>
        <v/>
      </c>
      <c r="CX79" s="13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3"/>
      <c r="FS79" s="120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6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6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6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6"/>
      <c r="IB79" s="116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6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6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6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3"/>
      <c r="I80" s="120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6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6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6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3"/>
      <c r="BE80" s="120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6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6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6"/>
      <c r="CQ80" s="52" t="str">
        <f t="shared" si="175"/>
        <v/>
      </c>
      <c r="CX80" s="13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3"/>
      <c r="FS80" s="120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6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6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6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6"/>
      <c r="IB80" s="116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6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6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6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3"/>
      <c r="I81" s="120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6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6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6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3"/>
      <c r="BE81" s="120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6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6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6"/>
      <c r="CQ81" s="52" t="str">
        <f t="shared" si="175"/>
        <v/>
      </c>
      <c r="CX81" s="13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3"/>
      <c r="FS81" s="120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6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6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6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6"/>
      <c r="IB81" s="116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6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6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6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3"/>
      <c r="I82" s="120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6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6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6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3"/>
      <c r="BE82" s="120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6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6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6"/>
      <c r="CQ82" s="52" t="str">
        <f t="shared" si="175"/>
        <v/>
      </c>
      <c r="CX82" s="13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3"/>
      <c r="FS82" s="120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6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6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6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6"/>
      <c r="IB82" s="116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6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6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6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3"/>
      <c r="I83" s="120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6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6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6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3"/>
      <c r="BE83" s="120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6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6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6"/>
      <c r="CQ83" s="52" t="str">
        <f t="shared" si="175"/>
        <v/>
      </c>
      <c r="CX83" s="13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3"/>
      <c r="FS83" s="120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6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6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6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6"/>
      <c r="IB83" s="116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6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6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6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3"/>
      <c r="I84" s="120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6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6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6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3"/>
      <c r="BE84" s="120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6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6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6"/>
      <c r="CQ84" s="52" t="str">
        <f t="shared" si="175"/>
        <v/>
      </c>
      <c r="CX84" s="13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3"/>
      <c r="FS84" s="120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6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6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6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6"/>
      <c r="IB84" s="116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6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6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6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3"/>
      <c r="I85" s="120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6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6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6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3"/>
      <c r="BE85" s="120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6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6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6"/>
      <c r="CQ85" s="52" t="str">
        <f t="shared" si="175"/>
        <v/>
      </c>
      <c r="CX85" s="13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3"/>
      <c r="FS85" s="120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6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6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6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6"/>
      <c r="IB85" s="116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6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6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6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3"/>
      <c r="I86" s="120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6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6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6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3"/>
      <c r="BE86" s="120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6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6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6"/>
      <c r="CQ86" s="52" t="str">
        <f t="shared" si="175"/>
        <v/>
      </c>
      <c r="CX86" s="13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3"/>
      <c r="FS86" s="120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6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6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6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6"/>
      <c r="IB86" s="116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6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6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6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3"/>
      <c r="I87" s="120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6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6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6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3"/>
      <c r="BE87" s="120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6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6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6"/>
      <c r="CQ87" s="52" t="str">
        <f t="shared" si="175"/>
        <v/>
      </c>
      <c r="CX87" s="13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3"/>
      <c r="FS87" s="120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6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6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6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6"/>
      <c r="IB87" s="116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6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6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6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3"/>
      <c r="I88" s="120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6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6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6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3"/>
      <c r="BE88" s="120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6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6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6"/>
      <c r="CQ88" s="52" t="str">
        <f t="shared" si="175"/>
        <v/>
      </c>
      <c r="CX88" s="13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3"/>
      <c r="FS88" s="120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6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6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6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6"/>
      <c r="IB88" s="116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6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6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6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3"/>
      <c r="I89" s="120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6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6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6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3"/>
      <c r="BE89" s="120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6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6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6"/>
      <c r="CQ89" s="52" t="str">
        <f t="shared" si="175"/>
        <v/>
      </c>
      <c r="CX89" s="13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3"/>
      <c r="FS89" s="120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6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6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6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6"/>
      <c r="IB89" s="116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6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6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6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3"/>
      <c r="I90" s="120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6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6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6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3"/>
      <c r="BE90" s="120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6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6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6"/>
      <c r="CQ90" s="52" t="str">
        <f t="shared" si="175"/>
        <v/>
      </c>
      <c r="CX90" s="13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3"/>
      <c r="FS90" s="120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6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6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6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6"/>
      <c r="IB90" s="116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6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6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6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3"/>
      <c r="I91" s="120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6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6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6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3"/>
      <c r="BE91" s="120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6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6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6"/>
      <c r="CQ91" s="52" t="str">
        <f t="shared" si="175"/>
        <v/>
      </c>
      <c r="CX91" s="13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3"/>
      <c r="FS91" s="120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6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6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6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6"/>
      <c r="IB91" s="116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6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6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6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3"/>
      <c r="I92" s="120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6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6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6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3"/>
      <c r="BE92" s="120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6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6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6"/>
      <c r="CQ92" s="52" t="str">
        <f t="shared" si="175"/>
        <v/>
      </c>
      <c r="CX92" s="13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3"/>
      <c r="FS92" s="120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6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6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6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6"/>
      <c r="IB92" s="116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6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6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6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3"/>
      <c r="I93" s="120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6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6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6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3"/>
      <c r="BE93" s="120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6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6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6"/>
      <c r="CQ93" s="52" t="str">
        <f t="shared" si="175"/>
        <v/>
      </c>
      <c r="CX93" s="13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3"/>
      <c r="FS93" s="120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6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6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6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6"/>
      <c r="IB93" s="116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6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6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6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3"/>
      <c r="I94" s="120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6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6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6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3"/>
      <c r="BE94" s="120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6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6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6"/>
      <c r="CQ94" s="52" t="str">
        <f t="shared" si="175"/>
        <v/>
      </c>
      <c r="CX94" s="13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3"/>
      <c r="FS94" s="120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6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6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6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6"/>
      <c r="IB94" s="116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6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6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6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3"/>
      <c r="I95" s="120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6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6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6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3"/>
      <c r="BE95" s="120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6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6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6"/>
      <c r="CQ95" s="52" t="str">
        <f t="shared" si="175"/>
        <v/>
      </c>
      <c r="CX95" s="13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3"/>
      <c r="FS95" s="120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6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6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6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6"/>
      <c r="IB95" s="116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6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6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6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3"/>
      <c r="I96" s="120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6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6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6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3"/>
      <c r="BE96" s="120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6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6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6"/>
      <c r="CQ96" s="52" t="str">
        <f t="shared" si="175"/>
        <v/>
      </c>
      <c r="CX96" s="13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3"/>
      <c r="FS96" s="120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6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6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6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6"/>
      <c r="IB96" s="116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6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6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6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3"/>
      <c r="I97" s="120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6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6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6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3"/>
      <c r="BE97" s="120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6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6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6"/>
      <c r="CQ97" s="52" t="str">
        <f t="shared" si="175"/>
        <v/>
      </c>
      <c r="CX97" s="13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3"/>
      <c r="FS97" s="120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6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6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6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6"/>
      <c r="IB97" s="116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6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6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6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3"/>
      <c r="I98" s="120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6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6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6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3"/>
      <c r="BE98" s="120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6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6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6"/>
      <c r="CQ98" s="52" t="str">
        <f t="shared" ref="CQ98:CQ161" si="383">IF(AND(Sufficient_data="Yes",Include_study?="Yes"),c_/(c_+d_),"")</f>
        <v/>
      </c>
      <c r="CX98" s="13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3"/>
      <c r="FS98" s="120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6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6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6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6"/>
      <c r="IB98" s="116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6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6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6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3"/>
      <c r="I99" s="120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6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6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6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3"/>
      <c r="BE99" s="120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6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6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6"/>
      <c r="CQ99" s="52" t="str">
        <f t="shared" si="383"/>
        <v/>
      </c>
      <c r="CX99" s="13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3"/>
      <c r="FS99" s="120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6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6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6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6"/>
      <c r="IB99" s="116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6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6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6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3"/>
      <c r="I100" s="120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6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6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6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3"/>
      <c r="BE100" s="120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6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6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6"/>
      <c r="CQ100" s="52" t="str">
        <f t="shared" si="383"/>
        <v/>
      </c>
      <c r="CX100" s="13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3"/>
      <c r="FS100" s="120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6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6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6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6"/>
      <c r="IB100" s="116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6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6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6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3"/>
      <c r="I101" s="120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6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6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6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3"/>
      <c r="BE101" s="120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6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6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6"/>
      <c r="CQ101" s="52" t="str">
        <f t="shared" si="383"/>
        <v/>
      </c>
      <c r="CX101" s="13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3"/>
      <c r="FS101" s="120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6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6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6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6"/>
      <c r="IB101" s="116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6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6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6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3"/>
      <c r="I102" s="120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6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6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6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3"/>
      <c r="BE102" s="120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6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6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6"/>
      <c r="CQ102" s="52" t="str">
        <f t="shared" si="383"/>
        <v/>
      </c>
      <c r="CX102" s="13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3"/>
      <c r="FS102" s="120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6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6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6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6"/>
      <c r="IB102" s="116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6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6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6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3"/>
      <c r="I103" s="120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6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6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6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3"/>
      <c r="BE103" s="120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6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6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6"/>
      <c r="CQ103" s="52" t="str">
        <f t="shared" si="383"/>
        <v/>
      </c>
      <c r="CX103" s="13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3"/>
      <c r="FS103" s="120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6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6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6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6"/>
      <c r="IB103" s="116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6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6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6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3"/>
      <c r="I104" s="120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6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6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6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3"/>
      <c r="BE104" s="120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6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6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6"/>
      <c r="CQ104" s="52" t="str">
        <f t="shared" si="383"/>
        <v/>
      </c>
      <c r="CX104" s="13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3"/>
      <c r="FS104" s="120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6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6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6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6"/>
      <c r="IB104" s="116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6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6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6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3"/>
      <c r="I105" s="120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6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6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6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3"/>
      <c r="BE105" s="120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6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6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6"/>
      <c r="CQ105" s="52" t="str">
        <f t="shared" si="383"/>
        <v/>
      </c>
      <c r="CX105" s="13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3"/>
      <c r="FS105" s="120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6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6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6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6"/>
      <c r="IB105" s="116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6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6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6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3"/>
      <c r="I106" s="120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6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6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6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3"/>
      <c r="BE106" s="120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6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6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6"/>
      <c r="CQ106" s="52" t="str">
        <f t="shared" si="383"/>
        <v/>
      </c>
      <c r="CX106" s="13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3"/>
      <c r="FS106" s="120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6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6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6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6"/>
      <c r="IB106" s="116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6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6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6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3"/>
      <c r="I107" s="120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6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6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6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3"/>
      <c r="BE107" s="120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6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6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6"/>
      <c r="CQ107" s="52" t="str">
        <f t="shared" si="383"/>
        <v/>
      </c>
      <c r="CX107" s="13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3"/>
      <c r="FS107" s="120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6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6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6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6"/>
      <c r="IB107" s="116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6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6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6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3"/>
      <c r="I108" s="120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6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6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6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3"/>
      <c r="BE108" s="120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6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6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6"/>
      <c r="CQ108" s="52" t="str">
        <f t="shared" si="383"/>
        <v/>
      </c>
      <c r="CX108" s="13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3"/>
      <c r="FS108" s="120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6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6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6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6"/>
      <c r="IB108" s="116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6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6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6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3"/>
      <c r="I109" s="120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6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6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6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3"/>
      <c r="BE109" s="120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6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6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6"/>
      <c r="CQ109" s="52" t="str">
        <f t="shared" si="383"/>
        <v/>
      </c>
      <c r="CX109" s="13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3"/>
      <c r="FS109" s="120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6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6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6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6"/>
      <c r="IB109" s="116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6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6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6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3"/>
      <c r="I110" s="120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6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6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6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3"/>
      <c r="BE110" s="120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6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6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6"/>
      <c r="CQ110" s="52" t="str">
        <f t="shared" si="383"/>
        <v/>
      </c>
      <c r="CX110" s="13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3"/>
      <c r="FS110" s="120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6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6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6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6"/>
      <c r="IB110" s="116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6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6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6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3"/>
      <c r="I111" s="120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6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6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6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3"/>
      <c r="BE111" s="120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6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6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6"/>
      <c r="CQ111" s="52" t="str">
        <f t="shared" si="383"/>
        <v/>
      </c>
      <c r="CX111" s="13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3"/>
      <c r="FS111" s="120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6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6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6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6"/>
      <c r="IB111" s="116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6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6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6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3"/>
      <c r="I112" s="120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6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6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6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3"/>
      <c r="BE112" s="120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6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6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6"/>
      <c r="CQ112" s="52" t="str">
        <f t="shared" si="383"/>
        <v/>
      </c>
      <c r="CX112" s="13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3"/>
      <c r="FS112" s="120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6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6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6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6"/>
      <c r="IB112" s="116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6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6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6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3"/>
      <c r="I113" s="120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6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6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6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3"/>
      <c r="BE113" s="120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6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6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6"/>
      <c r="CQ113" s="52" t="str">
        <f t="shared" si="383"/>
        <v/>
      </c>
      <c r="CX113" s="13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3"/>
      <c r="FS113" s="120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6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6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6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6"/>
      <c r="IB113" s="116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6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6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6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3"/>
      <c r="I114" s="120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6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6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6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3"/>
      <c r="BE114" s="120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6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6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6"/>
      <c r="CQ114" s="52" t="str">
        <f t="shared" si="383"/>
        <v/>
      </c>
      <c r="CX114" s="13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3"/>
      <c r="FS114" s="120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6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6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6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6"/>
      <c r="IB114" s="116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6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6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6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3"/>
      <c r="I115" s="120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6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6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6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3"/>
      <c r="BE115" s="120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6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6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6"/>
      <c r="CQ115" s="52" t="str">
        <f t="shared" si="383"/>
        <v/>
      </c>
      <c r="CX115" s="13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3"/>
      <c r="FS115" s="120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6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6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6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6"/>
      <c r="IB115" s="116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6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6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6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3"/>
      <c r="I116" s="120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6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6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6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3"/>
      <c r="BE116" s="120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6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6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6"/>
      <c r="CQ116" s="52" t="str">
        <f t="shared" si="383"/>
        <v/>
      </c>
      <c r="CX116" s="13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3"/>
      <c r="FS116" s="120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6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6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6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6"/>
      <c r="IB116" s="116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6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6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6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3"/>
      <c r="I117" s="120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6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6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6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3"/>
      <c r="BE117" s="120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6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6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6"/>
      <c r="CQ117" s="52" t="str">
        <f t="shared" si="383"/>
        <v/>
      </c>
      <c r="CX117" s="13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3"/>
      <c r="FS117" s="120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6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6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6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6"/>
      <c r="IB117" s="116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6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6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6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3"/>
      <c r="I118" s="120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6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6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6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3"/>
      <c r="BE118" s="120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6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6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6"/>
      <c r="CQ118" s="52" t="str">
        <f t="shared" si="383"/>
        <v/>
      </c>
      <c r="CX118" s="13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3"/>
      <c r="FS118" s="120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6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6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6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6"/>
      <c r="IB118" s="116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6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6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6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3"/>
      <c r="I119" s="120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6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6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6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3"/>
      <c r="BE119" s="120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6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6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6"/>
      <c r="CQ119" s="52" t="str">
        <f t="shared" si="383"/>
        <v/>
      </c>
      <c r="CX119" s="13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3"/>
      <c r="FS119" s="120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6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6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6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6"/>
      <c r="IB119" s="116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6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6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6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3"/>
      <c r="I120" s="120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6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6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6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3"/>
      <c r="BE120" s="120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6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6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6"/>
      <c r="CQ120" s="52" t="str">
        <f t="shared" si="383"/>
        <v/>
      </c>
      <c r="CX120" s="13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3"/>
      <c r="FS120" s="120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6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6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6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6"/>
      <c r="IB120" s="116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6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6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6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3"/>
      <c r="I121" s="120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6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6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6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3"/>
      <c r="BE121" s="120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6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6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6"/>
      <c r="CQ121" s="52" t="str">
        <f t="shared" si="383"/>
        <v/>
      </c>
      <c r="CX121" s="13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3"/>
      <c r="FS121" s="120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6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6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6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6"/>
      <c r="IB121" s="116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6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6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6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3"/>
      <c r="I122" s="120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6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6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6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3"/>
      <c r="BE122" s="120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6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6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6"/>
      <c r="CQ122" s="52" t="str">
        <f t="shared" si="383"/>
        <v/>
      </c>
      <c r="CX122" s="13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3"/>
      <c r="FS122" s="120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6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6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6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6"/>
      <c r="IB122" s="116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6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6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6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3"/>
      <c r="I123" s="120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6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6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6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3"/>
      <c r="BE123" s="120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6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6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6"/>
      <c r="CQ123" s="52" t="str">
        <f t="shared" si="383"/>
        <v/>
      </c>
      <c r="CX123" s="13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3"/>
      <c r="FS123" s="120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6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6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6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6"/>
      <c r="IB123" s="116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6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6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6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3"/>
      <c r="I124" s="120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6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6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6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3"/>
      <c r="BE124" s="120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6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6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6"/>
      <c r="CQ124" s="52" t="str">
        <f t="shared" si="383"/>
        <v/>
      </c>
      <c r="CX124" s="13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3"/>
      <c r="FS124" s="120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6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6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6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6"/>
      <c r="IB124" s="116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6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6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6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3"/>
      <c r="I125" s="120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6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6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6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3"/>
      <c r="BE125" s="120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6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6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6"/>
      <c r="CQ125" s="52" t="str">
        <f t="shared" si="383"/>
        <v/>
      </c>
      <c r="CX125" s="13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3"/>
      <c r="FS125" s="120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6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6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6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6"/>
      <c r="IB125" s="116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6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6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6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3"/>
      <c r="I126" s="120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6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6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6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3"/>
      <c r="BE126" s="120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6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6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6"/>
      <c r="CQ126" s="52" t="str">
        <f t="shared" si="383"/>
        <v/>
      </c>
      <c r="CX126" s="13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3"/>
      <c r="FS126" s="120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6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6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6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6"/>
      <c r="IB126" s="116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6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6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6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3"/>
      <c r="I127" s="120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6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6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6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3"/>
      <c r="BE127" s="120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6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6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6"/>
      <c r="CQ127" s="52" t="str">
        <f t="shared" si="383"/>
        <v/>
      </c>
      <c r="CX127" s="13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3"/>
      <c r="FS127" s="120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6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6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6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6"/>
      <c r="IB127" s="116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6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6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6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3"/>
      <c r="I128" s="120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6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6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6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3"/>
      <c r="BE128" s="120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6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6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6"/>
      <c r="CQ128" s="52" t="str">
        <f t="shared" si="383"/>
        <v/>
      </c>
      <c r="CX128" s="13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3"/>
      <c r="FS128" s="120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6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6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6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6"/>
      <c r="IB128" s="116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6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6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6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3"/>
      <c r="I129" s="120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6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6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6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3"/>
      <c r="BE129" s="120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6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6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6"/>
      <c r="CQ129" s="52" t="str">
        <f t="shared" si="383"/>
        <v/>
      </c>
      <c r="CX129" s="13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3"/>
      <c r="FS129" s="120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6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6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6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6"/>
      <c r="IB129" s="116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6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6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6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3"/>
      <c r="I130" s="120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6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6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6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3"/>
      <c r="BE130" s="120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6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6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6"/>
      <c r="CQ130" s="52" t="str">
        <f t="shared" si="383"/>
        <v/>
      </c>
      <c r="CX130" s="13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3"/>
      <c r="FS130" s="120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6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6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6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6"/>
      <c r="IB130" s="116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6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6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6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3"/>
      <c r="I131" s="120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6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6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6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3"/>
      <c r="BE131" s="120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6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6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6"/>
      <c r="CQ131" s="52" t="str">
        <f t="shared" si="383"/>
        <v/>
      </c>
      <c r="CX131" s="13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3"/>
      <c r="FS131" s="120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6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6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6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6"/>
      <c r="IB131" s="116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6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6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6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3"/>
      <c r="I132" s="120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6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6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6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3"/>
      <c r="BE132" s="120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6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6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6"/>
      <c r="CQ132" s="52" t="str">
        <f t="shared" si="383"/>
        <v/>
      </c>
      <c r="CX132" s="13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3"/>
      <c r="FS132" s="120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6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6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6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6"/>
      <c r="IB132" s="116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6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6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6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3"/>
      <c r="I133" s="120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6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6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6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3"/>
      <c r="BE133" s="120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6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6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6"/>
      <c r="CQ133" s="52" t="str">
        <f t="shared" si="383"/>
        <v/>
      </c>
      <c r="CX133" s="13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3"/>
      <c r="FS133" s="120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6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6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6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6"/>
      <c r="IB133" s="116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6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6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6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3"/>
      <c r="I134" s="120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6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6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6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3"/>
      <c r="BE134" s="120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6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6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6"/>
      <c r="CQ134" s="52" t="str">
        <f t="shared" si="383"/>
        <v/>
      </c>
      <c r="CX134" s="13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3"/>
      <c r="FS134" s="120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6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6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6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6"/>
      <c r="IB134" s="116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6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6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6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3"/>
      <c r="I135" s="120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6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6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6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3"/>
      <c r="BE135" s="120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6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6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6"/>
      <c r="CQ135" s="52" t="str">
        <f t="shared" si="383"/>
        <v/>
      </c>
      <c r="CX135" s="13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3"/>
      <c r="FS135" s="120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6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6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6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6"/>
      <c r="IB135" s="116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6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6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6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3"/>
      <c r="I136" s="120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6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6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6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3"/>
      <c r="BE136" s="120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6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6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6"/>
      <c r="CQ136" s="52" t="str">
        <f t="shared" si="383"/>
        <v/>
      </c>
      <c r="CX136" s="13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3"/>
      <c r="FS136" s="120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6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6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6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6"/>
      <c r="IB136" s="116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6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6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6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3"/>
      <c r="I137" s="120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6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6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6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3"/>
      <c r="BE137" s="120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6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6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6"/>
      <c r="CQ137" s="52" t="str">
        <f t="shared" si="383"/>
        <v/>
      </c>
      <c r="CX137" s="13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3"/>
      <c r="FS137" s="120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6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6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6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6"/>
      <c r="IB137" s="116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6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6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6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3"/>
      <c r="I138" s="120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6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6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6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3"/>
      <c r="BE138" s="120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6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6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6"/>
      <c r="CQ138" s="52" t="str">
        <f t="shared" si="383"/>
        <v/>
      </c>
      <c r="CX138" s="13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3"/>
      <c r="FS138" s="120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6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6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6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6"/>
      <c r="IB138" s="116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6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6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6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3"/>
      <c r="I139" s="120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6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6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6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3"/>
      <c r="BE139" s="120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6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6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6"/>
      <c r="CQ139" s="52" t="str">
        <f t="shared" si="383"/>
        <v/>
      </c>
      <c r="CX139" s="13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3"/>
      <c r="FS139" s="120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6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6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6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6"/>
      <c r="IB139" s="116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6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6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6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3"/>
      <c r="I140" s="120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6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6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6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3"/>
      <c r="BE140" s="120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6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6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6"/>
      <c r="CQ140" s="52" t="str">
        <f t="shared" si="383"/>
        <v/>
      </c>
      <c r="CX140" s="13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3"/>
      <c r="FS140" s="120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6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6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6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6"/>
      <c r="IB140" s="116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6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6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6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3"/>
      <c r="I141" s="120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6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6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6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3"/>
      <c r="BE141" s="120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6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6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6"/>
      <c r="CQ141" s="52" t="str">
        <f t="shared" si="383"/>
        <v/>
      </c>
      <c r="CX141" s="13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3"/>
      <c r="FS141" s="120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6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6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6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6"/>
      <c r="IB141" s="116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6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6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6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3"/>
      <c r="I142" s="120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6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6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6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3"/>
      <c r="BE142" s="120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6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6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6"/>
      <c r="CQ142" s="52" t="str">
        <f t="shared" si="383"/>
        <v/>
      </c>
      <c r="CX142" s="13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3"/>
      <c r="FS142" s="120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6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6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6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6"/>
      <c r="IB142" s="116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6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6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6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3"/>
      <c r="I143" s="120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6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6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6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3"/>
      <c r="BE143" s="120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6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6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6"/>
      <c r="CQ143" s="52" t="str">
        <f t="shared" si="383"/>
        <v/>
      </c>
      <c r="CX143" s="13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3"/>
      <c r="FS143" s="120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6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6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6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6"/>
      <c r="IB143" s="116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6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6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6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3"/>
      <c r="I144" s="120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6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6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6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3"/>
      <c r="BE144" s="120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6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6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6"/>
      <c r="CQ144" s="52" t="str">
        <f t="shared" si="383"/>
        <v/>
      </c>
      <c r="CX144" s="13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3"/>
      <c r="FS144" s="120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6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6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6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6"/>
      <c r="IB144" s="116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6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6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6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3"/>
      <c r="I145" s="120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6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6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6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3"/>
      <c r="BE145" s="120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6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6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6"/>
      <c r="CQ145" s="52" t="str">
        <f t="shared" si="383"/>
        <v/>
      </c>
      <c r="CX145" s="13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3"/>
      <c r="FS145" s="120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6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6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6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6"/>
      <c r="IB145" s="116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6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6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6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3"/>
      <c r="I146" s="120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6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6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6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3"/>
      <c r="BE146" s="120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6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6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6"/>
      <c r="CQ146" s="52" t="str">
        <f t="shared" si="383"/>
        <v/>
      </c>
      <c r="CX146" s="13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3"/>
      <c r="FS146" s="120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6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6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6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6"/>
      <c r="IB146" s="116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6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6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6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3"/>
      <c r="I147" s="120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6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6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6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3"/>
      <c r="BE147" s="120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6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6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6"/>
      <c r="CQ147" s="52" t="str">
        <f t="shared" si="383"/>
        <v/>
      </c>
      <c r="CX147" s="13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3"/>
      <c r="FS147" s="120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6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6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6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6"/>
      <c r="IB147" s="116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6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6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6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3"/>
      <c r="I148" s="120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6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6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6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3"/>
      <c r="BE148" s="120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6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6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6"/>
      <c r="CQ148" s="52" t="str">
        <f t="shared" si="383"/>
        <v/>
      </c>
      <c r="CX148" s="13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3"/>
      <c r="FS148" s="120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6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6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6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6"/>
      <c r="IB148" s="116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6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6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6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3"/>
      <c r="I149" s="120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6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6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6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3"/>
      <c r="BE149" s="120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6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6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6"/>
      <c r="CQ149" s="52" t="str">
        <f t="shared" si="383"/>
        <v/>
      </c>
      <c r="CX149" s="13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3"/>
      <c r="FS149" s="120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6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6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6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6"/>
      <c r="IB149" s="116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6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6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6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3"/>
      <c r="I150" s="120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6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6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6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3"/>
      <c r="BE150" s="120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6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6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6"/>
      <c r="CQ150" s="52" t="str">
        <f t="shared" si="383"/>
        <v/>
      </c>
      <c r="CX150" s="13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3"/>
      <c r="FS150" s="120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6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6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6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6"/>
      <c r="IB150" s="116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6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6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6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3"/>
      <c r="I151" s="120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6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6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6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3"/>
      <c r="BE151" s="120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6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6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6"/>
      <c r="CQ151" s="52" t="str">
        <f t="shared" si="383"/>
        <v/>
      </c>
      <c r="CX151" s="13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3"/>
      <c r="FS151" s="120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6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6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6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6"/>
      <c r="IB151" s="116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6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6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6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3"/>
      <c r="I152" s="120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6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6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6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3"/>
      <c r="BE152" s="120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6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6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6"/>
      <c r="CQ152" s="52" t="str">
        <f t="shared" si="383"/>
        <v/>
      </c>
      <c r="CX152" s="13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3"/>
      <c r="FS152" s="120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6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6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6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6"/>
      <c r="IB152" s="116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6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6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6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3"/>
      <c r="I153" s="120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6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6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6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3"/>
      <c r="BE153" s="120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6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6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6"/>
      <c r="CQ153" s="52" t="str">
        <f t="shared" si="383"/>
        <v/>
      </c>
      <c r="CX153" s="13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3"/>
      <c r="FS153" s="120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6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6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6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6"/>
      <c r="IB153" s="116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6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6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6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3"/>
      <c r="I154" s="120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6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6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6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3"/>
      <c r="BE154" s="120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6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6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6"/>
      <c r="CQ154" s="52" t="str">
        <f t="shared" si="383"/>
        <v/>
      </c>
      <c r="CX154" s="13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3"/>
      <c r="FS154" s="120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6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6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6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6"/>
      <c r="IB154" s="116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6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6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6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3"/>
      <c r="I155" s="120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6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6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6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3"/>
      <c r="BE155" s="120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6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6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6"/>
      <c r="CQ155" s="52" t="str">
        <f t="shared" si="383"/>
        <v/>
      </c>
      <c r="CX155" s="13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3"/>
      <c r="FS155" s="120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6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6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6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6"/>
      <c r="IB155" s="116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6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6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6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3"/>
      <c r="I156" s="120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6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6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6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3"/>
      <c r="BE156" s="120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6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6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6"/>
      <c r="CQ156" s="52" t="str">
        <f t="shared" si="383"/>
        <v/>
      </c>
      <c r="CX156" s="13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3"/>
      <c r="FS156" s="120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6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6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6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6"/>
      <c r="IB156" s="116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6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6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6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3"/>
      <c r="I157" s="120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6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6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6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3"/>
      <c r="BE157" s="120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6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6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6"/>
      <c r="CQ157" s="52" t="str">
        <f t="shared" si="383"/>
        <v/>
      </c>
      <c r="CX157" s="13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3"/>
      <c r="FS157" s="120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6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6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6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6"/>
      <c r="IB157" s="116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6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6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6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3"/>
      <c r="I158" s="120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6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6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6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3"/>
      <c r="BE158" s="120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6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6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6"/>
      <c r="CQ158" s="52" t="str">
        <f t="shared" si="383"/>
        <v/>
      </c>
      <c r="CX158" s="13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3"/>
      <c r="FS158" s="120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6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6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6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6"/>
      <c r="IB158" s="116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6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6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6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3"/>
      <c r="I159" s="120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6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6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6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3"/>
      <c r="BE159" s="120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6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6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6"/>
      <c r="CQ159" s="52" t="str">
        <f t="shared" si="383"/>
        <v/>
      </c>
      <c r="CX159" s="13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3"/>
      <c r="FS159" s="120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6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6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6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6"/>
      <c r="IB159" s="116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6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6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6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3"/>
      <c r="I160" s="120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6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6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6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3"/>
      <c r="BE160" s="120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6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6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6"/>
      <c r="CQ160" s="52" t="str">
        <f t="shared" si="383"/>
        <v/>
      </c>
      <c r="CX160" s="13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3"/>
      <c r="FS160" s="120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6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6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6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6"/>
      <c r="IB160" s="116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6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6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6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3"/>
      <c r="I161" s="120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6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6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6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3"/>
      <c r="BE161" s="120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6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6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6"/>
      <c r="CQ161" s="52" t="str">
        <f t="shared" si="383"/>
        <v/>
      </c>
      <c r="CX161" s="13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3"/>
      <c r="FS161" s="120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6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6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6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6"/>
      <c r="IB161" s="116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6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6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6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3"/>
      <c r="I162" s="120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6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6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6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3"/>
      <c r="BE162" s="120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6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6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6"/>
      <c r="CQ162" s="52" t="str">
        <f t="shared" ref="CQ162:CQ201" si="582">IF(AND(Sufficient_data="Yes",Include_study?="Yes"),c_/(c_+d_),"")</f>
        <v/>
      </c>
      <c r="CX162" s="13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3"/>
      <c r="FS162" s="120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6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6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6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6"/>
      <c r="IB162" s="116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6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6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6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3"/>
      <c r="I163" s="120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6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6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6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3"/>
      <c r="BE163" s="120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6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6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6"/>
      <c r="CQ163" s="52" t="str">
        <f t="shared" si="582"/>
        <v/>
      </c>
      <c r="CX163" s="13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3"/>
      <c r="FS163" s="120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6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6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6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6"/>
      <c r="IB163" s="116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6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6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6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3"/>
      <c r="I164" s="120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6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6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6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3"/>
      <c r="BE164" s="120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6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6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6"/>
      <c r="CQ164" s="52" t="str">
        <f t="shared" si="582"/>
        <v/>
      </c>
      <c r="CX164" s="13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3"/>
      <c r="FS164" s="120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6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6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6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6"/>
      <c r="IB164" s="116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6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6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6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3"/>
      <c r="I165" s="120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6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6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6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3"/>
      <c r="BE165" s="120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6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6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6"/>
      <c r="CQ165" s="52" t="str">
        <f t="shared" si="582"/>
        <v/>
      </c>
      <c r="CX165" s="13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3"/>
      <c r="FS165" s="120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6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6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6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6"/>
      <c r="IB165" s="116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6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6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6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3"/>
      <c r="I166" s="120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6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6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6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3"/>
      <c r="BE166" s="120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6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6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6"/>
      <c r="CQ166" s="52" t="str">
        <f t="shared" si="582"/>
        <v/>
      </c>
      <c r="CX166" s="13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3"/>
      <c r="FS166" s="120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6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6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6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6"/>
      <c r="IB166" s="116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6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6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6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3"/>
      <c r="I167" s="120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6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6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6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3"/>
      <c r="BE167" s="120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6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6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6"/>
      <c r="CQ167" s="52" t="str">
        <f t="shared" si="582"/>
        <v/>
      </c>
      <c r="CX167" s="13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3"/>
      <c r="FS167" s="120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6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6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6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6"/>
      <c r="IB167" s="116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6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6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6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3"/>
      <c r="I168" s="120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6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6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6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3"/>
      <c r="BE168" s="120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6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6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6"/>
      <c r="CQ168" s="52" t="str">
        <f t="shared" si="582"/>
        <v/>
      </c>
      <c r="CX168" s="13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3"/>
      <c r="FS168" s="120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6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6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6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6"/>
      <c r="IB168" s="116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6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6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6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3"/>
      <c r="I169" s="120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6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6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6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3"/>
      <c r="BE169" s="120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6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6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6"/>
      <c r="CQ169" s="52" t="str">
        <f t="shared" si="582"/>
        <v/>
      </c>
      <c r="CX169" s="13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3"/>
      <c r="FS169" s="120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6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6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6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6"/>
      <c r="IB169" s="116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6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6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6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3"/>
      <c r="I170" s="120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6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6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6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3"/>
      <c r="BE170" s="120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6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6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6"/>
      <c r="CQ170" s="52" t="str">
        <f t="shared" si="582"/>
        <v/>
      </c>
      <c r="CX170" s="13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3"/>
      <c r="FS170" s="120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6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6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6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6"/>
      <c r="IB170" s="116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6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6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6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3"/>
      <c r="I171" s="120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6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6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6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3"/>
      <c r="BE171" s="120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6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6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6"/>
      <c r="CQ171" s="52" t="str">
        <f t="shared" si="582"/>
        <v/>
      </c>
      <c r="CX171" s="13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3"/>
      <c r="FS171" s="120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6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6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6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6"/>
      <c r="IB171" s="116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6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6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6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3"/>
      <c r="I172" s="120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6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6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6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3"/>
      <c r="BE172" s="120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6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6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6"/>
      <c r="CQ172" s="52" t="str">
        <f t="shared" si="582"/>
        <v/>
      </c>
      <c r="CX172" s="13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3"/>
      <c r="FS172" s="120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6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6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6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6"/>
      <c r="IB172" s="116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6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6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6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3"/>
      <c r="I173" s="120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6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6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6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3"/>
      <c r="BE173" s="120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6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6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6"/>
      <c r="CQ173" s="52" t="str">
        <f t="shared" si="582"/>
        <v/>
      </c>
      <c r="CX173" s="13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3"/>
      <c r="FS173" s="120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6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6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6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6"/>
      <c r="IB173" s="116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6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6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6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3"/>
      <c r="I174" s="120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6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6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6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3"/>
      <c r="BE174" s="120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6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6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6"/>
      <c r="CQ174" s="52" t="str">
        <f t="shared" si="582"/>
        <v/>
      </c>
      <c r="CX174" s="13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3"/>
      <c r="FS174" s="120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6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6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6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6"/>
      <c r="IB174" s="116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6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6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6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3"/>
      <c r="I175" s="120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6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6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6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3"/>
      <c r="BE175" s="120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6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6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6"/>
      <c r="CQ175" s="52" t="str">
        <f t="shared" si="582"/>
        <v/>
      </c>
      <c r="CX175" s="13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3"/>
      <c r="FS175" s="120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6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6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6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6"/>
      <c r="IB175" s="116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6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6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6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3"/>
      <c r="I176" s="120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6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6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6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3"/>
      <c r="BE176" s="120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6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6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6"/>
      <c r="CQ176" s="52" t="str">
        <f t="shared" si="582"/>
        <v/>
      </c>
      <c r="CX176" s="13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3"/>
      <c r="FS176" s="120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6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6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6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6"/>
      <c r="IB176" s="116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6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6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6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3"/>
      <c r="I177" s="120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6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6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6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3"/>
      <c r="BE177" s="120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6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6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6"/>
      <c r="CQ177" s="52" t="str">
        <f t="shared" si="582"/>
        <v/>
      </c>
      <c r="CX177" s="13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3"/>
      <c r="FS177" s="120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6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6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6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6"/>
      <c r="IB177" s="116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6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6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6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3"/>
      <c r="I178" s="120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6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6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6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3"/>
      <c r="BE178" s="120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6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6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6"/>
      <c r="CQ178" s="52" t="str">
        <f t="shared" si="582"/>
        <v/>
      </c>
      <c r="CX178" s="13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3"/>
      <c r="FS178" s="120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6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6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6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6"/>
      <c r="IB178" s="116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6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6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6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3"/>
      <c r="I179" s="120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6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6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6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3"/>
      <c r="BE179" s="120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6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6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6"/>
      <c r="CQ179" s="52" t="str">
        <f t="shared" si="582"/>
        <v/>
      </c>
      <c r="CX179" s="13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3"/>
      <c r="FS179" s="120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6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6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6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6"/>
      <c r="IB179" s="116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6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6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6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3"/>
      <c r="I180" s="120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6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6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6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3"/>
      <c r="BE180" s="120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6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6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6"/>
      <c r="CQ180" s="52" t="str">
        <f t="shared" si="582"/>
        <v/>
      </c>
      <c r="CX180" s="13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3"/>
      <c r="FS180" s="120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6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6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6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6"/>
      <c r="IB180" s="116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6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6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6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3"/>
      <c r="I181" s="120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6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6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6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3"/>
      <c r="BE181" s="120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6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6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6"/>
      <c r="CQ181" s="52" t="str">
        <f t="shared" si="582"/>
        <v/>
      </c>
      <c r="CX181" s="13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3"/>
      <c r="FS181" s="120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6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6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6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6"/>
      <c r="IB181" s="116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6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6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6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3"/>
      <c r="I182" s="120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6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6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6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3"/>
      <c r="BE182" s="120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6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6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6"/>
      <c r="CQ182" s="52" t="str">
        <f t="shared" si="582"/>
        <v/>
      </c>
      <c r="CX182" s="13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3"/>
      <c r="FS182" s="120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6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6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6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6"/>
      <c r="IB182" s="116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6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6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6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3"/>
      <c r="I183" s="120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6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6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6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3"/>
      <c r="BE183" s="120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6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6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6"/>
      <c r="CQ183" s="52" t="str">
        <f t="shared" si="582"/>
        <v/>
      </c>
      <c r="CX183" s="13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3"/>
      <c r="FS183" s="120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6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6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6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6"/>
      <c r="IB183" s="116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6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6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6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3"/>
      <c r="I184" s="120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6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6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6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3"/>
      <c r="BE184" s="120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6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6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6"/>
      <c r="CQ184" s="52" t="str">
        <f t="shared" si="582"/>
        <v/>
      </c>
      <c r="CX184" s="13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3"/>
      <c r="FS184" s="120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6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6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6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6"/>
      <c r="IB184" s="116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6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6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6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3"/>
      <c r="I185" s="120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6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6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6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3"/>
      <c r="BE185" s="120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6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6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6"/>
      <c r="CQ185" s="52" t="str">
        <f t="shared" si="582"/>
        <v/>
      </c>
      <c r="CX185" s="13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3"/>
      <c r="FS185" s="120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6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6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6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6"/>
      <c r="IB185" s="116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6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6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6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3"/>
      <c r="I186" s="120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6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6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6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3"/>
      <c r="BE186" s="120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6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6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6"/>
      <c r="CQ186" s="52" t="str">
        <f t="shared" si="582"/>
        <v/>
      </c>
      <c r="CX186" s="13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3"/>
      <c r="FS186" s="120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6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6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6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6"/>
      <c r="IB186" s="116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6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6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6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3"/>
      <c r="I187" s="120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6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6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6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3"/>
      <c r="BE187" s="120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6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6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6"/>
      <c r="CQ187" s="52" t="str">
        <f t="shared" si="582"/>
        <v/>
      </c>
      <c r="CX187" s="13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3"/>
      <c r="FS187" s="120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6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6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6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6"/>
      <c r="IB187" s="116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6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6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6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3"/>
      <c r="I188" s="120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6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6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6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3"/>
      <c r="BE188" s="120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6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6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6"/>
      <c r="CQ188" s="52" t="str">
        <f t="shared" si="582"/>
        <v/>
      </c>
      <c r="CX188" s="13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3"/>
      <c r="FS188" s="120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6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6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6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6"/>
      <c r="IB188" s="116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6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6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6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3"/>
      <c r="I189" s="120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6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6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6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3"/>
      <c r="BE189" s="120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6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6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6"/>
      <c r="CQ189" s="52" t="str">
        <f t="shared" si="582"/>
        <v/>
      </c>
      <c r="CX189" s="13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3"/>
      <c r="FS189" s="120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6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6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6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6"/>
      <c r="IB189" s="116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6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6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6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3"/>
      <c r="I190" s="120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6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6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6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3"/>
      <c r="BE190" s="120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6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6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6"/>
      <c r="CQ190" s="52" t="str">
        <f t="shared" si="582"/>
        <v/>
      </c>
      <c r="CX190" s="13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3"/>
      <c r="FS190" s="120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6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6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6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6"/>
      <c r="IB190" s="116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6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6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6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3"/>
      <c r="I191" s="120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6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6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6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3"/>
      <c r="BE191" s="120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6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6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6"/>
      <c r="CQ191" s="52" t="str">
        <f t="shared" si="582"/>
        <v/>
      </c>
      <c r="CX191" s="13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3"/>
      <c r="FS191" s="120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6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6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6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6"/>
      <c r="IB191" s="116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6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6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6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3"/>
      <c r="I192" s="120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6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6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6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3"/>
      <c r="BE192" s="120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6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6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6"/>
      <c r="CQ192" s="52" t="str">
        <f t="shared" si="582"/>
        <v/>
      </c>
      <c r="CX192" s="13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3"/>
      <c r="FS192" s="120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6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6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6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6"/>
      <c r="IB192" s="116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6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6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6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3"/>
      <c r="I193" s="120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6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6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6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3"/>
      <c r="BE193" s="120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6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6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6"/>
      <c r="CQ193" s="52" t="str">
        <f t="shared" si="582"/>
        <v/>
      </c>
      <c r="CX193" s="13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3"/>
      <c r="FS193" s="120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6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6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6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6"/>
      <c r="IB193" s="116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6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6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6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3"/>
      <c r="I194" s="120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6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6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6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3"/>
      <c r="BE194" s="120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6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6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6"/>
      <c r="CQ194" s="52" t="str">
        <f t="shared" si="582"/>
        <v/>
      </c>
      <c r="CX194" s="13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3"/>
      <c r="FS194" s="120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6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6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6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6"/>
      <c r="IB194" s="116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6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6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6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3"/>
      <c r="I195" s="120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6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6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6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3"/>
      <c r="BE195" s="120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6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6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6"/>
      <c r="CQ195" s="52" t="str">
        <f t="shared" si="582"/>
        <v/>
      </c>
      <c r="CX195" s="13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3"/>
      <c r="FS195" s="120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6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6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6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6"/>
      <c r="IB195" s="116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6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6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6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3"/>
      <c r="I196" s="120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6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6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6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3"/>
      <c r="BE196" s="120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6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6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6"/>
      <c r="CQ196" s="52" t="str">
        <f t="shared" si="582"/>
        <v/>
      </c>
      <c r="CX196" s="13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3"/>
      <c r="FS196" s="120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6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6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6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6"/>
      <c r="IB196" s="116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6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6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6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3"/>
      <c r="I197" s="120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6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6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6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3"/>
      <c r="BE197" s="120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6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6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6"/>
      <c r="CQ197" s="52" t="str">
        <f t="shared" si="582"/>
        <v/>
      </c>
      <c r="CX197" s="13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3"/>
      <c r="FS197" s="120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6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6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6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6"/>
      <c r="IB197" s="116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6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6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6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3"/>
      <c r="I198" s="120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6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6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6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3"/>
      <c r="BE198" s="120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6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6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6"/>
      <c r="CQ198" s="52" t="str">
        <f t="shared" si="582"/>
        <v/>
      </c>
      <c r="CX198" s="13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3"/>
      <c r="FS198" s="120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6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6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6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6"/>
      <c r="IB198" s="116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6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6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6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3"/>
      <c r="I199" s="120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6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6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6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3"/>
      <c r="BE199" s="120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6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6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6"/>
      <c r="CQ199" s="52" t="str">
        <f t="shared" si="582"/>
        <v/>
      </c>
      <c r="CX199" s="13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3"/>
      <c r="FS199" s="120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6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6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6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6"/>
      <c r="IB199" s="116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6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6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6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3"/>
      <c r="I200" s="120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6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6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6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3"/>
      <c r="BE200" s="120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6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6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6"/>
      <c r="CQ200" s="52" t="str">
        <f t="shared" si="582"/>
        <v/>
      </c>
      <c r="CX200" s="13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3"/>
      <c r="FS200" s="120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6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6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6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6"/>
      <c r="IB200" s="116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6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6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6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4"/>
      <c r="I201" s="121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7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7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7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4"/>
      <c r="BE201" s="121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7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7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7"/>
      <c r="CQ201" s="53" t="str">
        <f t="shared" si="582"/>
        <v/>
      </c>
      <c r="CX201" s="13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4"/>
      <c r="FS201" s="121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7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7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7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7"/>
      <c r="IB201" s="117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7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7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7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3:N19"/>
  <sheetViews>
    <sheetView showGridLines="0" workbookViewId="0">
      <selection activeCell="M11" sqref="M11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1"/>
      <c r="G3" s="111"/>
      <c r="H3" s="111"/>
      <c r="I3" s="111"/>
      <c r="J3" s="95"/>
      <c r="K3" s="95"/>
      <c r="L3" s="95"/>
      <c r="M3" s="95"/>
      <c r="N3" s="95"/>
    </row>
    <row r="4" spans="5:14" ht="24" x14ac:dyDescent="0.3">
      <c r="E4" s="96" t="s">
        <v>1</v>
      </c>
      <c r="F4" s="104" t="s">
        <v>332</v>
      </c>
      <c r="G4" s="104" t="s">
        <v>333</v>
      </c>
      <c r="H4" s="104" t="s">
        <v>334</v>
      </c>
      <c r="I4" s="105" t="s">
        <v>27</v>
      </c>
      <c r="J4" s="95" t="s">
        <v>335</v>
      </c>
      <c r="K4" s="95"/>
      <c r="L4" s="96" t="s">
        <v>1</v>
      </c>
      <c r="M4" s="104" t="s">
        <v>90</v>
      </c>
      <c r="N4" s="104" t="s">
        <v>336</v>
      </c>
    </row>
    <row r="5" spans="5:14" x14ac:dyDescent="0.3">
      <c r="E5" s="101" t="s">
        <v>21</v>
      </c>
      <c r="F5" s="102">
        <v>0.83202329560085742</v>
      </c>
      <c r="G5" s="102">
        <v>0.55628683352033848</v>
      </c>
      <c r="H5" s="102">
        <v>1.2444349258487382</v>
      </c>
      <c r="I5" s="103">
        <v>0.12898301991245872</v>
      </c>
      <c r="J5" s="95" t="s">
        <v>335</v>
      </c>
      <c r="K5" s="95"/>
      <c r="L5" s="101" t="s">
        <v>21</v>
      </c>
      <c r="M5" s="102">
        <v>-0.18389483903264639</v>
      </c>
      <c r="N5" s="102">
        <v>0.20529056653385463</v>
      </c>
    </row>
    <row r="6" spans="5:14" x14ac:dyDescent="0.3">
      <c r="E6" s="101" t="s">
        <v>337</v>
      </c>
      <c r="F6" s="102">
        <v>1.1069290836169179</v>
      </c>
      <c r="G6" s="102">
        <v>0.79240246815113036</v>
      </c>
      <c r="H6" s="102">
        <v>1.5463000752835827</v>
      </c>
      <c r="I6" s="103">
        <v>0.18699040870433903</v>
      </c>
      <c r="J6" s="95" t="s">
        <v>335</v>
      </c>
      <c r="K6" s="95"/>
      <c r="L6" s="101" t="s">
        <v>337</v>
      </c>
      <c r="M6" s="102">
        <v>0.10158958990112155</v>
      </c>
      <c r="N6" s="102">
        <v>0.17050047698176424</v>
      </c>
    </row>
    <row r="7" spans="5:14" x14ac:dyDescent="0.3">
      <c r="E7" s="101" t="s">
        <v>22</v>
      </c>
      <c r="F7" s="102">
        <v>1.230155114957685</v>
      </c>
      <c r="G7" s="102">
        <v>0.85356675569039764</v>
      </c>
      <c r="H7" s="102">
        <v>1.7728919229434552</v>
      </c>
      <c r="I7" s="103">
        <v>0.15638331987382637</v>
      </c>
      <c r="J7" s="95" t="s">
        <v>335</v>
      </c>
      <c r="K7" s="95"/>
      <c r="L7" s="101" t="s">
        <v>22</v>
      </c>
      <c r="M7" s="102">
        <v>0.20714027115485881</v>
      </c>
      <c r="N7" s="102">
        <v>0.18644041004836151</v>
      </c>
    </row>
    <row r="8" spans="5:14" x14ac:dyDescent="0.3">
      <c r="E8" s="101" t="s">
        <v>338</v>
      </c>
      <c r="F8" s="102">
        <v>0.96156847444401095</v>
      </c>
      <c r="G8" s="102">
        <v>0.65215609441719358</v>
      </c>
      <c r="H8" s="102">
        <v>1.4177800973720469</v>
      </c>
      <c r="I8" s="103">
        <v>0.13867779225687557</v>
      </c>
      <c r="J8" s="95" t="s">
        <v>335</v>
      </c>
      <c r="K8" s="95"/>
      <c r="L8" s="101" t="s">
        <v>338</v>
      </c>
      <c r="M8" s="102">
        <v>-3.9189500218638623E-2</v>
      </c>
      <c r="N8" s="102">
        <v>0.19798477946729875</v>
      </c>
    </row>
    <row r="9" spans="5:14" x14ac:dyDescent="0.3">
      <c r="E9" s="101" t="s">
        <v>338</v>
      </c>
      <c r="F9" s="102">
        <v>0.93156775834039651</v>
      </c>
      <c r="G9" s="102">
        <v>0.6694943358611587</v>
      </c>
      <c r="H9" s="102">
        <v>1.2962297690884748</v>
      </c>
      <c r="I9" s="103">
        <v>0.19158538541891143</v>
      </c>
      <c r="J9" s="95" t="s">
        <v>335</v>
      </c>
      <c r="K9" s="95"/>
      <c r="L9" s="101" t="s">
        <v>338</v>
      </c>
      <c r="M9" s="102">
        <v>-7.0886350479830787E-2</v>
      </c>
      <c r="N9" s="102">
        <v>0.16844342955969202</v>
      </c>
    </row>
    <row r="10" spans="5:14" x14ac:dyDescent="0.3">
      <c r="E10" s="101" t="s">
        <v>338</v>
      </c>
      <c r="F10" s="102">
        <v>0.94642954261162782</v>
      </c>
      <c r="G10" s="102">
        <v>0.68350610128492861</v>
      </c>
      <c r="H10" s="102">
        <v>1.310491416893232</v>
      </c>
      <c r="I10" s="103">
        <v>0.19738007383358888</v>
      </c>
      <c r="J10" s="95" t="s">
        <v>335</v>
      </c>
      <c r="K10" s="95"/>
      <c r="L10" s="101" t="s">
        <v>338</v>
      </c>
      <c r="M10" s="102">
        <v>-5.5058751027871673E-2</v>
      </c>
      <c r="N10" s="102">
        <v>0.16595242774821717</v>
      </c>
    </row>
    <row r="11" spans="5:14" x14ac:dyDescent="0.3">
      <c r="E11" s="110"/>
      <c r="F11" s="102"/>
      <c r="G11" s="102"/>
      <c r="H11" s="102"/>
      <c r="I11" s="112"/>
      <c r="L11" s="110"/>
      <c r="M11" s="102"/>
      <c r="N11" s="102"/>
    </row>
    <row r="12" spans="5:14" x14ac:dyDescent="0.3">
      <c r="E12" s="110"/>
      <c r="F12" s="102"/>
      <c r="G12" s="102"/>
      <c r="H12" s="102"/>
      <c r="I12" s="112"/>
      <c r="L12" s="110"/>
      <c r="M12" s="102"/>
      <c r="N12" s="102"/>
    </row>
    <row r="13" spans="5:14" x14ac:dyDescent="0.3">
      <c r="E13" s="110"/>
      <c r="F13" s="102"/>
      <c r="G13" s="102"/>
      <c r="H13" s="102"/>
      <c r="I13" s="112"/>
      <c r="L13" s="110"/>
      <c r="M13" s="102"/>
      <c r="N13" s="102"/>
    </row>
    <row r="14" spans="5:14" x14ac:dyDescent="0.3">
      <c r="E14" s="110"/>
      <c r="F14" s="102"/>
      <c r="G14" s="102"/>
      <c r="H14" s="102"/>
      <c r="I14" s="112"/>
      <c r="L14" s="110"/>
      <c r="M14" s="102"/>
      <c r="N14" s="102"/>
    </row>
    <row r="15" spans="5:14" x14ac:dyDescent="0.3">
      <c r="E15" s="110"/>
      <c r="F15" s="102"/>
      <c r="G15" s="102"/>
      <c r="H15" s="102"/>
      <c r="I15" s="112"/>
      <c r="L15" s="110"/>
      <c r="M15" s="102"/>
      <c r="N15" s="102"/>
    </row>
    <row r="16" spans="5:14" x14ac:dyDescent="0.3">
      <c r="E16" s="110"/>
      <c r="F16" s="102"/>
      <c r="G16" s="102"/>
      <c r="H16" s="102"/>
      <c r="I16" s="112"/>
      <c r="L16" s="110"/>
      <c r="M16" s="102"/>
      <c r="N16" s="102"/>
    </row>
    <row r="17" spans="5:14" x14ac:dyDescent="0.3">
      <c r="E17" s="110"/>
      <c r="F17" s="102"/>
      <c r="G17" s="102"/>
      <c r="H17" s="102"/>
      <c r="I17" s="112"/>
      <c r="L17" s="110"/>
      <c r="M17" s="102"/>
      <c r="N17" s="102"/>
    </row>
    <row r="18" spans="5:14" x14ac:dyDescent="0.3">
      <c r="E18" s="110"/>
      <c r="F18" s="102"/>
      <c r="G18" s="102"/>
      <c r="H18" s="102"/>
      <c r="I18" s="112"/>
      <c r="L18" s="110"/>
      <c r="M18" s="102"/>
      <c r="N18" s="102"/>
    </row>
    <row r="19" spans="5:14" x14ac:dyDescent="0.3">
      <c r="E19" s="110"/>
      <c r="F19" s="102"/>
      <c r="G19" s="102"/>
      <c r="H19" s="102"/>
      <c r="I19" s="112"/>
      <c r="L19" s="110"/>
      <c r="M19" s="102"/>
      <c r="N19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2023-07-27T06:44:10Z</dcterms:modified>
  <cp:category/>
  <cp:contentStatus/>
</cp:coreProperties>
</file>