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"/>
    </mc:Choice>
  </mc:AlternateContent>
  <xr:revisionPtr revIDLastSave="527" documentId="8_{DD50CA1E-A118-467A-8611-15C3E0AEDAA5}" xr6:coauthVersionLast="47" xr6:coauthVersionMax="47" xr10:uidLastSave="{2B38B70A-6DE1-430A-89EA-A7C7BF47B512}"/>
  <bookViews>
    <workbookView xWindow="9600" yWindow="0" windowWidth="9600" windowHeight="10200" tabRatio="590" firstSheet="6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A3" i="1" s="1"/>
  <c r="J4" i="1"/>
  <c r="A4" i="1" s="1"/>
  <c r="J5" i="1"/>
  <c r="J6" i="1"/>
  <c r="J7" i="1"/>
  <c r="A7" i="1" s="1"/>
  <c r="J8" i="1"/>
  <c r="A8" i="1" s="1"/>
  <c r="J9" i="1"/>
  <c r="A9" i="1" s="1"/>
  <c r="J10" i="1"/>
  <c r="B10" i="2" s="1"/>
  <c r="J11" i="1"/>
  <c r="C11" i="2" s="1"/>
  <c r="J12" i="1"/>
  <c r="J13" i="1"/>
  <c r="B13" i="2" s="1"/>
  <c r="J14" i="1"/>
  <c r="J15" i="1"/>
  <c r="FJ15" i="2" s="1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FB6" i="2" l="1"/>
  <c r="A6" i="1"/>
  <c r="B5" i="2"/>
  <c r="A5" i="1"/>
  <c r="B3" i="2"/>
  <c r="AM9" i="2"/>
  <c r="CZ9" i="2" s="1"/>
  <c r="AM7" i="2"/>
  <c r="B4" i="2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F187" i="10"/>
  <c r="FF187" i="2"/>
  <c r="AF187" i="2"/>
  <c r="GN179" i="2"/>
  <c r="FE179" i="2"/>
  <c r="FL179" i="2"/>
  <c r="S179" i="2"/>
  <c r="BV179" i="2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FE115" i="2"/>
  <c r="BW107" i="2"/>
  <c r="F107" i="10"/>
  <c r="FF107" i="2"/>
  <c r="E107" i="10"/>
  <c r="FW107" i="2"/>
  <c r="S107" i="2"/>
  <c r="BV107" i="2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CK79" i="2"/>
  <c r="FB12" i="2"/>
  <c r="BI39" i="2"/>
  <c r="AM12" i="2"/>
  <c r="BE12" i="8" s="1"/>
  <c r="BJ56" i="2"/>
  <c r="DA12" i="2"/>
  <c r="E12" i="2"/>
  <c r="CQ12" i="2" s="1"/>
  <c r="DA11" i="2"/>
  <c r="D5" i="8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IC7" i="2" s="1"/>
  <c r="AT9" i="8"/>
  <c r="BE11" i="8"/>
  <c r="D12" i="10"/>
  <c r="CZ11" i="2"/>
  <c r="V10" i="8"/>
  <c r="IY186" i="2"/>
  <c r="A39" i="2"/>
  <c r="BY88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BJ135" i="2"/>
  <c r="BI95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BJ127" i="2"/>
  <c r="DR146" i="2"/>
  <c r="DP138" i="2"/>
  <c r="DP66" i="2"/>
  <c r="AY179" i="2"/>
  <c r="BJ79" i="2"/>
  <c r="DR34" i="2"/>
  <c r="DP146" i="2"/>
  <c r="DR58" i="2"/>
  <c r="AX163" i="2"/>
  <c r="AW51" i="2"/>
  <c r="DR26" i="2"/>
  <c r="DR194" i="2"/>
  <c r="DP130" i="2"/>
  <c r="DR170" i="2"/>
  <c r="AX59" i="2"/>
  <c r="C6" i="2"/>
  <c r="AX42" i="2"/>
  <c r="DR50" i="2"/>
  <c r="DP26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V88" i="2"/>
  <c r="IW88" i="2" s="1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IY104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W196" i="2"/>
  <c r="AX148" i="2"/>
  <c r="AW123" i="2"/>
  <c r="AW147" i="2"/>
  <c r="AX135" i="2"/>
  <c r="DR111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X56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BY199" i="2"/>
  <c r="AX114" i="2"/>
  <c r="AY45" i="2"/>
  <c r="BJ53" i="2"/>
  <c r="A40" i="2"/>
  <c r="IY42" i="2"/>
  <c r="IV114" i="2"/>
  <c r="IW114" i="2" s="1"/>
  <c r="AY39" i="2"/>
  <c r="AW53" i="2"/>
  <c r="AY109" i="2"/>
  <c r="IY66" i="2"/>
  <c r="IY162" i="2"/>
  <c r="DP96" i="2"/>
  <c r="AX157" i="2"/>
  <c r="AY78" i="2"/>
  <c r="AW101" i="2"/>
  <c r="AM4" i="2"/>
  <c r="V4" i="8" s="1"/>
  <c r="BY53" i="2"/>
  <c r="AW133" i="2"/>
  <c r="A47" i="2"/>
  <c r="A128" i="2"/>
  <c r="AW156" i="2"/>
  <c r="IY178" i="2"/>
  <c r="IY122" i="2"/>
  <c r="AX156" i="2"/>
  <c r="AX70" i="2"/>
  <c r="AW93" i="2"/>
  <c r="BJ196" i="2"/>
  <c r="BJ69" i="2"/>
  <c r="BY85" i="2"/>
  <c r="BY45" i="2"/>
  <c r="BX118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174" i="2"/>
  <c r="BX68" i="2"/>
  <c r="AX37" i="2"/>
  <c r="DP48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CK124" i="2"/>
  <c r="CJ140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I116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BJ140" i="2"/>
  <c r="BY164" i="2"/>
  <c r="CK125" i="2"/>
  <c r="CJ77" i="2"/>
  <c r="IV60" i="2"/>
  <c r="IW60" i="2" s="1"/>
  <c r="A58" i="2"/>
  <c r="DP119" i="2"/>
  <c r="CJ165" i="2"/>
  <c r="BX130" i="2"/>
  <c r="IY187" i="2"/>
  <c r="BY196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124" i="2"/>
  <c r="BI36" i="2"/>
  <c r="BX82" i="2"/>
  <c r="AW119" i="2"/>
  <c r="A132" i="2"/>
  <c r="AL60" i="2"/>
  <c r="IY163" i="2"/>
  <c r="IY197" i="2"/>
  <c r="IY124" i="2"/>
  <c r="DP143" i="2"/>
  <c r="AY178" i="2"/>
  <c r="AW143" i="2"/>
  <c r="AY200" i="2"/>
  <c r="AW135" i="2"/>
  <c r="AL74" i="2"/>
  <c r="CJ35" i="2"/>
  <c r="BI52" i="2"/>
  <c r="BX44" i="2"/>
  <c r="IV148" i="2"/>
  <c r="IW148" i="2" s="1"/>
  <c r="AW56" i="2"/>
  <c r="IV108" i="2"/>
  <c r="IW108" i="2" s="1"/>
  <c r="A140" i="2"/>
  <c r="AL76" i="2"/>
  <c r="A180" i="2"/>
  <c r="AY186" i="2"/>
  <c r="AL124" i="2"/>
  <c r="AL186" i="2"/>
  <c r="BY140" i="2"/>
  <c r="CK61" i="2"/>
  <c r="BX162" i="2"/>
  <c r="BX114" i="2"/>
  <c r="A42" i="2"/>
  <c r="DR183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196" i="2"/>
  <c r="IW196" i="2" s="1"/>
  <c r="IV84" i="2"/>
  <c r="IW84" i="2" s="1"/>
  <c r="IY172" i="2"/>
  <c r="A138" i="2"/>
  <c r="DP69" i="2"/>
  <c r="A90" i="2"/>
  <c r="AL162" i="2"/>
  <c r="BJ194" i="2"/>
  <c r="BY128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A192" i="2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AY118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W118" i="2"/>
  <c r="A194" i="2"/>
  <c r="BY120" i="2"/>
  <c r="BY96" i="2"/>
  <c r="BY56" i="2"/>
  <c r="BI50" i="2"/>
  <c r="AL122" i="2"/>
  <c r="BY64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CK155" i="2"/>
  <c r="A82" i="2"/>
  <c r="DR77" i="2"/>
  <c r="DR85" i="2"/>
  <c r="BY200" i="2"/>
  <c r="BY112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BY178" i="2"/>
  <c r="BY109" i="2"/>
  <c r="BY42" i="2"/>
  <c r="CJ55" i="2"/>
  <c r="BX66" i="2"/>
  <c r="AX34" i="2"/>
  <c r="IV149" i="2"/>
  <c r="IW149" i="2" s="1"/>
  <c r="BY146" i="2"/>
  <c r="BX101" i="2"/>
  <c r="BY77" i="2"/>
  <c r="BY50" i="2"/>
  <c r="BY37" i="2"/>
  <c r="CK175" i="2"/>
  <c r="BX194" i="2"/>
  <c r="BY172" i="2"/>
  <c r="BY116" i="2"/>
  <c r="BY76" i="2"/>
  <c r="BY36" i="2"/>
  <c r="CJ135" i="2"/>
  <c r="AX31" i="2"/>
  <c r="BY170" i="2"/>
  <c r="BI64" i="2"/>
  <c r="A35" i="2"/>
  <c r="A29" i="2"/>
  <c r="AY48" i="2"/>
  <c r="AY191" i="2"/>
  <c r="A91" i="2"/>
  <c r="BJ128" i="2"/>
  <c r="BY175" i="2"/>
  <c r="BY151" i="2"/>
  <c r="BY71" i="2"/>
  <c r="BI40" i="2"/>
  <c r="AL36" i="2"/>
  <c r="AL83" i="2"/>
  <c r="BJ104" i="2"/>
  <c r="IV53" i="2"/>
  <c r="IW53" i="2" s="1"/>
  <c r="AX48" i="2"/>
  <c r="AY47" i="2"/>
  <c r="AX47" i="2"/>
  <c r="BJ88" i="2"/>
  <c r="BJ72" i="2"/>
  <c r="BY79" i="2"/>
  <c r="BI112" i="2"/>
  <c r="IY36" i="2"/>
  <c r="BY159" i="2"/>
  <c r="BY31" i="2"/>
  <c r="CJ58" i="2"/>
  <c r="IV45" i="2"/>
  <c r="IW45" i="2" s="1"/>
  <c r="DR51" i="2"/>
  <c r="AY90" i="2"/>
  <c r="AW87" i="2"/>
  <c r="BY135" i="2"/>
  <c r="BY111" i="2"/>
  <c r="BY87" i="2"/>
  <c r="CK154" i="2"/>
  <c r="A155" i="2"/>
  <c r="BY167" i="2"/>
  <c r="BY143" i="2"/>
  <c r="BY119" i="2"/>
  <c r="BY39" i="2"/>
  <c r="IY34" i="2"/>
  <c r="CK114" i="2"/>
  <c r="CJ122" i="2"/>
  <c r="IV30" i="2"/>
  <c r="IW30" i="2" s="1"/>
  <c r="IV31" i="2"/>
  <c r="IW31" i="2" s="1"/>
  <c r="AL131" i="2"/>
  <c r="DS132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192" i="2"/>
  <c r="AX192" i="2"/>
  <c r="AW79" i="2"/>
  <c r="AY103" i="2"/>
  <c r="IY201" i="2"/>
  <c r="IV201" i="2"/>
  <c r="IW201" i="2" s="1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Y192" i="2"/>
  <c r="A59" i="2"/>
  <c r="A199" i="2"/>
  <c r="A163" i="2"/>
  <c r="AW191" i="2"/>
  <c r="AW195" i="2"/>
  <c r="CJ163" i="2"/>
  <c r="CK163" i="2"/>
  <c r="CK123" i="2"/>
  <c r="CJ123" i="2"/>
  <c r="CJ107" i="2"/>
  <c r="CK107" i="2"/>
  <c r="CJ83" i="2"/>
  <c r="CK83" i="2"/>
  <c r="CJ43" i="2"/>
  <c r="CK43" i="2"/>
  <c r="IY55" i="2"/>
  <c r="IV77" i="2"/>
  <c r="IW77" i="2" s="1"/>
  <c r="DS182" i="2"/>
  <c r="DR182" i="2"/>
  <c r="DS174" i="2"/>
  <c r="DR174" i="2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IV72" i="2"/>
  <c r="IW72" i="2" s="1"/>
  <c r="A93" i="2"/>
  <c r="A69" i="2"/>
  <c r="A182" i="2"/>
  <c r="AW60" i="2"/>
  <c r="AW124" i="2"/>
  <c r="AL141" i="2"/>
  <c r="AL189" i="2"/>
  <c r="CJ120" i="2"/>
  <c r="CJ104" i="2"/>
  <c r="A53" i="2"/>
  <c r="AL45" i="2"/>
  <c r="IV112" i="2"/>
  <c r="IW112" i="2" s="1"/>
  <c r="AY44" i="2"/>
  <c r="AY92" i="2"/>
  <c r="A85" i="2"/>
  <c r="IV103" i="2"/>
  <c r="IW103" i="2" s="1"/>
  <c r="IV87" i="2"/>
  <c r="IW87" i="2" s="1"/>
  <c r="A165" i="2"/>
  <c r="A173" i="2"/>
  <c r="DR180" i="2"/>
  <c r="DR64" i="2"/>
  <c r="AY172" i="2"/>
  <c r="AX162" i="2"/>
  <c r="AW82" i="2"/>
  <c r="AW84" i="2"/>
  <c r="AW164" i="2"/>
  <c r="AL77" i="2"/>
  <c r="AL125" i="2"/>
  <c r="AW98" i="2"/>
  <c r="CJ119" i="2"/>
  <c r="CJ103" i="2"/>
  <c r="IV48" i="2"/>
  <c r="IW48" i="2" s="1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DP180" i="2"/>
  <c r="DP64" i="2"/>
  <c r="AX98" i="2"/>
  <c r="CK167" i="2"/>
  <c r="CK71" i="2"/>
  <c r="CJ87" i="2"/>
  <c r="CJ63" i="2"/>
  <c r="CJ48" i="2"/>
  <c r="IV111" i="2"/>
  <c r="IW111" i="2" s="1"/>
  <c r="AX43" i="2"/>
  <c r="AY116" i="2"/>
  <c r="IV127" i="2"/>
  <c r="IW127" i="2" s="1"/>
  <c r="IV64" i="2"/>
  <c r="IW64" i="2" s="1"/>
  <c r="A149" i="2"/>
  <c r="AY164" i="2"/>
  <c r="AW92" i="2"/>
  <c r="AW116" i="2"/>
  <c r="AY82" i="2"/>
  <c r="CK151" i="2"/>
  <c r="CJ32" i="2"/>
  <c r="AY43" i="2"/>
  <c r="AY36" i="2"/>
  <c r="AW108" i="2"/>
  <c r="AX124" i="2"/>
  <c r="AX76" i="2"/>
  <c r="A117" i="2"/>
  <c r="AY162" i="2"/>
  <c r="AW172" i="2"/>
  <c r="AL133" i="2"/>
  <c r="CJ127" i="2"/>
  <c r="CJ112" i="2"/>
  <c r="CJ31" i="2"/>
  <c r="A31" i="2"/>
  <c r="IV95" i="2"/>
  <c r="IW95" i="2" s="1"/>
  <c r="IV79" i="2"/>
  <c r="IW79" i="2" s="1"/>
  <c r="IV56" i="2"/>
  <c r="IW56" i="2" s="1"/>
  <c r="A166" i="2"/>
  <c r="CJ192" i="2"/>
  <c r="CJ80" i="2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K180" i="2"/>
  <c r="CJ180" i="2"/>
  <c r="CJ148" i="2"/>
  <c r="CJ108" i="2"/>
  <c r="CJ100" i="2"/>
  <c r="CJ68" i="2"/>
  <c r="CK68" i="2"/>
  <c r="CJ44" i="2"/>
  <c r="CK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Y187" i="2"/>
  <c r="BX187" i="2"/>
  <c r="BY179" i="2"/>
  <c r="BX179" i="2"/>
  <c r="BY155" i="2"/>
  <c r="BX155" i="2"/>
  <c r="BY147" i="2"/>
  <c r="BX147" i="2"/>
  <c r="BY115" i="2"/>
  <c r="BX115" i="2"/>
  <c r="BY107" i="2"/>
  <c r="BX107" i="2"/>
  <c r="BX99" i="2"/>
  <c r="BY99" i="2"/>
  <c r="BY91" i="2"/>
  <c r="BX91" i="2"/>
  <c r="BY83" i="2"/>
  <c r="BX83" i="2"/>
  <c r="BX75" i="2"/>
  <c r="BY35" i="2"/>
  <c r="BX35" i="2"/>
  <c r="AY181" i="2"/>
  <c r="AW181" i="2"/>
  <c r="A111" i="2"/>
  <c r="A71" i="2"/>
  <c r="DR186" i="2"/>
  <c r="AY125" i="2"/>
  <c r="AY101" i="2"/>
  <c r="BX195" i="2"/>
  <c r="A55" i="2"/>
  <c r="AX126" i="2"/>
  <c r="AY126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82" i="2"/>
  <c r="BI182" i="2"/>
  <c r="BJ126" i="2"/>
  <c r="BI126" i="2"/>
  <c r="BJ94" i="2"/>
  <c r="BI94" i="2"/>
  <c r="BI4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DS31" i="2"/>
  <c r="E2" i="2"/>
  <c r="D2" i="2"/>
  <c r="C2" i="2"/>
  <c r="BE7" i="8" l="1"/>
  <c r="V7" i="8"/>
  <c r="AT7" i="8"/>
  <c r="A48" i="2"/>
  <c r="A32" i="2"/>
  <c r="AL104" i="2"/>
  <c r="AL184" i="2"/>
  <c r="A88" i="2"/>
  <c r="A200" i="2"/>
  <c r="A80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E7" i="2"/>
  <c r="IE7" i="2" s="1"/>
  <c r="BT7" i="2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S11" i="2"/>
  <c r="DS8" i="2"/>
  <c r="AO7" i="2"/>
  <c r="DG7" i="2"/>
  <c r="DS10" i="2"/>
  <c r="FD6" i="2"/>
  <c r="DS5" i="2"/>
  <c r="DS4" i="2"/>
  <c r="DS3" i="2"/>
  <c r="DR4" i="2" s="1"/>
  <c r="AC11" i="2"/>
  <c r="ID2" i="2"/>
  <c r="AH2" i="8"/>
  <c r="CQ2" i="2"/>
  <c r="F2" i="2"/>
  <c r="FD12" i="2"/>
  <c r="FD5" i="2"/>
  <c r="DP13" i="2" l="1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2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DC12" i="2"/>
  <c r="DH12" i="2" s="1"/>
  <c r="DP4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AX7" i="2" s="1"/>
  <c r="FE6" i="2"/>
  <c r="Z2" i="2"/>
  <c r="Y2" i="2"/>
  <c r="DD9" i="2"/>
  <c r="DM12" i="2" l="1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FY14" i="2" s="1"/>
  <c r="BH15" i="2"/>
  <c r="IF15" i="2" s="1"/>
  <c r="DC14" i="2"/>
  <c r="DD14" i="2" s="1"/>
  <c r="DC25" i="2"/>
  <c r="DD25" i="2" s="1"/>
  <c r="AO25" i="2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AW25" i="2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FU7" i="2"/>
  <c r="FY7" i="2"/>
  <c r="GQ7" i="2"/>
  <c r="GT5" i="2"/>
  <c r="FY10" i="2"/>
  <c r="AV10" i="8" s="1"/>
  <c r="IL10" i="2" s="1"/>
  <c r="S5" i="2"/>
  <c r="GE7" i="2"/>
  <c r="GT7" i="2"/>
  <c r="N5" i="2"/>
  <c r="AT5" i="2" s="1"/>
  <c r="AO5" i="2"/>
  <c r="AW5" i="2" s="1"/>
  <c r="GN7" i="2"/>
  <c r="DG5" i="2"/>
  <c r="FX7" i="2"/>
  <c r="AU7" i="8" s="1"/>
  <c r="IM7" i="2" s="1"/>
  <c r="DB5" i="2"/>
  <c r="DH5" i="2" s="1"/>
  <c r="FV7" i="2"/>
  <c r="S9" i="2"/>
  <c r="S6" i="2"/>
  <c r="CI11" i="2"/>
  <c r="CG11" i="2"/>
  <c r="CH11" i="2"/>
  <c r="R11" i="2" s="1"/>
  <c r="S7" i="2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JH7" i="2"/>
  <c r="JI7" i="2" s="1"/>
  <c r="JJ7" i="2" s="1"/>
  <c r="BG7" i="8"/>
  <c r="AV7" i="8"/>
  <c r="IL7" i="2" s="1"/>
  <c r="AU11" i="8"/>
  <c r="IM11" i="2" s="1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AX13" i="2" l="1"/>
  <c r="DL13" i="2"/>
  <c r="AP25" i="2"/>
  <c r="A6" i="2"/>
  <c r="N14" i="2"/>
  <c r="AT14" i="2" s="1"/>
  <c r="AY14" i="2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T128" i="2"/>
  <c r="DT92" i="2"/>
  <c r="DT19" i="2"/>
  <c r="DT144" i="2"/>
  <c r="DT66" i="2"/>
  <c r="DT193" i="2"/>
  <c r="DT90" i="2"/>
  <c r="DT136" i="2"/>
  <c r="DT149" i="2"/>
  <c r="DT182" i="2"/>
  <c r="DT98" i="2"/>
  <c r="DT28" i="2"/>
  <c r="DT27" i="2"/>
  <c r="DT39" i="2"/>
  <c r="DT49" i="2"/>
  <c r="DT16" i="2"/>
  <c r="DT74" i="2"/>
  <c r="DT30" i="2"/>
  <c r="DT152" i="2"/>
  <c r="DT44" i="2"/>
  <c r="DT104" i="2"/>
  <c r="DT38" i="2"/>
  <c r="DT174" i="2"/>
  <c r="DT50" i="2"/>
  <c r="DT168" i="2"/>
  <c r="DT165" i="2"/>
  <c r="DT72" i="2"/>
  <c r="DT60" i="2"/>
  <c r="DT173" i="2"/>
  <c r="DT163" i="2"/>
  <c r="DT124" i="2"/>
  <c r="DT80" i="2"/>
  <c r="DT108" i="2"/>
  <c r="DT26" i="2"/>
  <c r="DT48" i="2"/>
  <c r="DT9" i="2"/>
  <c r="DT21" i="2"/>
  <c r="DT84" i="2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G28" i="10" s="1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IY7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164" i="2" l="1"/>
  <c r="DT97" i="2"/>
  <c r="DT198" i="2"/>
  <c r="EK198" i="2" s="1"/>
  <c r="DT199" i="2"/>
  <c r="DT158" i="2"/>
  <c r="DT197" i="2"/>
  <c r="DT89" i="2"/>
  <c r="DT162" i="2"/>
  <c r="DT161" i="2"/>
  <c r="DT135" i="2"/>
  <c r="DT94" i="2"/>
  <c r="DT67" i="2"/>
  <c r="DT93" i="2"/>
  <c r="DT62" i="2"/>
  <c r="DT76" i="2"/>
  <c r="DT192" i="2"/>
  <c r="DT189" i="2"/>
  <c r="DT59" i="2"/>
  <c r="DT183" i="2"/>
  <c r="DT47" i="2"/>
  <c r="DT188" i="2"/>
  <c r="DT184" i="2"/>
  <c r="DT115" i="2"/>
  <c r="DT52" i="2"/>
  <c r="DT71" i="2"/>
  <c r="DT130" i="2"/>
  <c r="DT35" i="2"/>
  <c r="DT88" i="2"/>
  <c r="DT120" i="2"/>
  <c r="DT25" i="2"/>
  <c r="DT145" i="2"/>
  <c r="DT106" i="2"/>
  <c r="DT194" i="2"/>
  <c r="DT141" i="2"/>
  <c r="DT53" i="2"/>
  <c r="DT87" i="2"/>
  <c r="DT114" i="2"/>
  <c r="DT55" i="2"/>
  <c r="DT51" i="2"/>
  <c r="DT154" i="2"/>
  <c r="DT75" i="2"/>
  <c r="DT155" i="2"/>
  <c r="DT77" i="2"/>
  <c r="DT107" i="2"/>
  <c r="DT186" i="2"/>
  <c r="DT43" i="2"/>
  <c r="DT159" i="2"/>
  <c r="DT132" i="2"/>
  <c r="DT23" i="2"/>
  <c r="DT22" i="2"/>
  <c r="DT112" i="2"/>
  <c r="DT137" i="2"/>
  <c r="DT79" i="2"/>
  <c r="DT85" i="2"/>
  <c r="DT142" i="2"/>
  <c r="DT157" i="2"/>
  <c r="DT200" i="2"/>
  <c r="DT127" i="2"/>
  <c r="DT180" i="2"/>
  <c r="DT14" i="2"/>
  <c r="DT125" i="2"/>
  <c r="DT116" i="2"/>
  <c r="DT40" i="2"/>
  <c r="DT58" i="2"/>
  <c r="DT36" i="2"/>
  <c r="DT73" i="2"/>
  <c r="DT34" i="2"/>
  <c r="DT46" i="2"/>
  <c r="DT201" i="2"/>
  <c r="DT185" i="2"/>
  <c r="DT45" i="2"/>
  <c r="DT57" i="2"/>
  <c r="DT83" i="2"/>
  <c r="DT105" i="2"/>
  <c r="DT41" i="2"/>
  <c r="DT129" i="2"/>
  <c r="DT110" i="2"/>
  <c r="DT54" i="2"/>
  <c r="DT171" i="2"/>
  <c r="DT146" i="2"/>
  <c r="DT143" i="2"/>
  <c r="DT15" i="2"/>
  <c r="DT170" i="2"/>
  <c r="DT122" i="2"/>
  <c r="DT121" i="2"/>
  <c r="DT111" i="2"/>
  <c r="DT64" i="2"/>
  <c r="DT82" i="2"/>
  <c r="DT31" i="2"/>
  <c r="DT29" i="2"/>
  <c r="DT195" i="2"/>
  <c r="DT151" i="2"/>
  <c r="DT150" i="2"/>
  <c r="DT91" i="2"/>
  <c r="DT32" i="2"/>
  <c r="DT177" i="2"/>
  <c r="DT12" i="2"/>
  <c r="DT4" i="2"/>
  <c r="DT63" i="2"/>
  <c r="DT153" i="2"/>
  <c r="DT33" i="2"/>
  <c r="DT42" i="2"/>
  <c r="DT181" i="2"/>
  <c r="DT17" i="2"/>
  <c r="DT134" i="2"/>
  <c r="DT113" i="2"/>
  <c r="DT187" i="2"/>
  <c r="DT95" i="2"/>
  <c r="DT18" i="2"/>
  <c r="DT126" i="2"/>
  <c r="DT156" i="2"/>
  <c r="DT118" i="2"/>
  <c r="DT78" i="2"/>
  <c r="DT69" i="2"/>
  <c r="DT100" i="2"/>
  <c r="DT99" i="2"/>
  <c r="DT196" i="2"/>
  <c r="DT169" i="2"/>
  <c r="DT191" i="2"/>
  <c r="DT179" i="2"/>
  <c r="DT103" i="2"/>
  <c r="DT81" i="2"/>
  <c r="DT65" i="2"/>
  <c r="DT56" i="2"/>
  <c r="DT133" i="2"/>
  <c r="DT70" i="2"/>
  <c r="DT139" i="2"/>
  <c r="DT172" i="2"/>
  <c r="DT86" i="2"/>
  <c r="DT101" i="2"/>
  <c r="DT102" i="2"/>
  <c r="DT138" i="2"/>
  <c r="DT37" i="2"/>
  <c r="DT140" i="2"/>
  <c r="DT147" i="2"/>
  <c r="DT176" i="2"/>
  <c r="DT61" i="2"/>
  <c r="DT148" i="2"/>
  <c r="DT96" i="2"/>
  <c r="DT178" i="2"/>
  <c r="DT119" i="2"/>
  <c r="DT167" i="2"/>
  <c r="DT175" i="2"/>
  <c r="ER175" i="2" s="1"/>
  <c r="DT131" i="2"/>
  <c r="DT160" i="2"/>
  <c r="DT166" i="2"/>
  <c r="DT68" i="2"/>
  <c r="DT123" i="2"/>
  <c r="DT190" i="2"/>
  <c r="DT117" i="2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S198" i="2"/>
  <c r="EU198" i="2" s="1"/>
  <c r="EO198" i="2"/>
  <c r="EQ198" i="2"/>
  <c r="EA198" i="2"/>
  <c r="ET198" i="2" s="1"/>
  <c r="EJ198" i="2"/>
  <c r="DX198" i="2"/>
  <c r="DY198" i="2" s="1"/>
  <c r="EP198" i="2"/>
  <c r="EV198" i="2"/>
  <c r="DW198" i="2"/>
  <c r="ER198" i="2"/>
  <c r="EG198" i="2"/>
  <c r="EL198" i="2"/>
  <c r="DU198" i="2"/>
  <c r="DV198" i="2"/>
  <c r="EN198" i="2"/>
  <c r="EI198" i="2"/>
  <c r="EV26" i="2"/>
  <c r="EM26" i="2"/>
  <c r="EK26" i="2"/>
  <c r="EH26" i="2"/>
  <c r="EP26" i="2"/>
  <c r="EB26" i="2"/>
  <c r="DZ26" i="2"/>
  <c r="DV26" i="2"/>
  <c r="DW26" i="2"/>
  <c r="EE26" i="2"/>
  <c r="EN26" i="2"/>
  <c r="EG26" i="2"/>
  <c r="EJ26" i="2"/>
  <c r="ES26" i="2"/>
  <c r="EU26" i="2" s="1"/>
  <c r="EA26" i="2"/>
  <c r="ET26" i="2" s="1"/>
  <c r="EL26" i="2"/>
  <c r="EQ26" i="2"/>
  <c r="EF26" i="2"/>
  <c r="DX26" i="2"/>
  <c r="DY26" i="2" s="1"/>
  <c r="EO26" i="2"/>
  <c r="DU26" i="2"/>
  <c r="ED26" i="2"/>
  <c r="ER26" i="2"/>
  <c r="EI26" i="2"/>
  <c r="EC26" i="2"/>
  <c r="EA159" i="2"/>
  <c r="ET159" i="2" s="1"/>
  <c r="EG159" i="2"/>
  <c r="EO159" i="2"/>
  <c r="ED159" i="2"/>
  <c r="EH159" i="2"/>
  <c r="EF159" i="2"/>
  <c r="DX159" i="2"/>
  <c r="DY159" i="2" s="1"/>
  <c r="EI159" i="2"/>
  <c r="EC159" i="2"/>
  <c r="EM159" i="2"/>
  <c r="DV159" i="2"/>
  <c r="EK159" i="2"/>
  <c r="DW159" i="2"/>
  <c r="ER159" i="2"/>
  <c r="EE159" i="2"/>
  <c r="EN159" i="2"/>
  <c r="EL159" i="2"/>
  <c r="EQ159" i="2"/>
  <c r="EJ159" i="2"/>
  <c r="DU159" i="2"/>
  <c r="EB159" i="2"/>
  <c r="ES159" i="2"/>
  <c r="EU159" i="2" s="1"/>
  <c r="EV159" i="2"/>
  <c r="EP159" i="2"/>
  <c r="DZ159" i="2"/>
  <c r="ER94" i="2"/>
  <c r="EM94" i="2"/>
  <c r="EG94" i="2"/>
  <c r="EK94" i="2"/>
  <c r="EQ94" i="2"/>
  <c r="DU94" i="2"/>
  <c r="ES94" i="2"/>
  <c r="EU94" i="2" s="1"/>
  <c r="EA94" i="2"/>
  <c r="ET94" i="2" s="1"/>
  <c r="EE94" i="2"/>
  <c r="EB94" i="2"/>
  <c r="EN94" i="2"/>
  <c r="ED94" i="2"/>
  <c r="DV94" i="2"/>
  <c r="EI94" i="2"/>
  <c r="EC94" i="2"/>
  <c r="DX94" i="2"/>
  <c r="DY94" i="2" s="1"/>
  <c r="EJ94" i="2"/>
  <c r="EL94" i="2"/>
  <c r="EF94" i="2"/>
  <c r="EH94" i="2"/>
  <c r="EV94" i="2"/>
  <c r="EP94" i="2"/>
  <c r="DW94" i="2"/>
  <c r="DZ94" i="2"/>
  <c r="EO94" i="2"/>
  <c r="EP165" i="2"/>
  <c r="EF165" i="2"/>
  <c r="EJ165" i="2"/>
  <c r="EV165" i="2"/>
  <c r="ES165" i="2"/>
  <c r="EU165" i="2" s="1"/>
  <c r="DX165" i="2"/>
  <c r="DY165" i="2" s="1"/>
  <c r="EQ165" i="2"/>
  <c r="DV165" i="2"/>
  <c r="EK165" i="2"/>
  <c r="DU165" i="2"/>
  <c r="EH165" i="2"/>
  <c r="DZ165" i="2"/>
  <c r="EL165" i="2"/>
  <c r="EN165" i="2"/>
  <c r="EB165" i="2"/>
  <c r="EO165" i="2"/>
  <c r="EA165" i="2"/>
  <c r="ET165" i="2" s="1"/>
  <c r="EE165" i="2"/>
  <c r="EG165" i="2"/>
  <c r="ED165" i="2"/>
  <c r="ER165" i="2"/>
  <c r="DW165" i="2"/>
  <c r="EC165" i="2"/>
  <c r="EI165" i="2"/>
  <c r="EM165" i="2"/>
  <c r="EG142" i="2"/>
  <c r="EM142" i="2"/>
  <c r="EJ142" i="2"/>
  <c r="DZ142" i="2"/>
  <c r="EP142" i="2"/>
  <c r="EQ142" i="2"/>
  <c r="EB142" i="2"/>
  <c r="DV142" i="2"/>
  <c r="EE142" i="2"/>
  <c r="DW142" i="2"/>
  <c r="ER142" i="2"/>
  <c r="DU142" i="2"/>
  <c r="EF142" i="2"/>
  <c r="EK142" i="2"/>
  <c r="ES142" i="2"/>
  <c r="EU142" i="2" s="1"/>
  <c r="EV142" i="2"/>
  <c r="DX142" i="2"/>
  <c r="DY142" i="2" s="1"/>
  <c r="EA183" i="2"/>
  <c r="ET183" i="2" s="1"/>
  <c r="ED183" i="2"/>
  <c r="DW183" i="2"/>
  <c r="ES183" i="2"/>
  <c r="EU183" i="2" s="1"/>
  <c r="DU183" i="2"/>
  <c r="DV183" i="2"/>
  <c r="EC183" i="2"/>
  <c r="EK183" i="2"/>
  <c r="EI183" i="2"/>
  <c r="EF183" i="2"/>
  <c r="ER183" i="2"/>
  <c r="EV183" i="2"/>
  <c r="EQ183" i="2"/>
  <c r="EH183" i="2"/>
  <c r="EM183" i="2"/>
  <c r="DZ183" i="2"/>
  <c r="EP183" i="2"/>
  <c r="DX30" i="2"/>
  <c r="DY30" i="2" s="1"/>
  <c r="EH30" i="2"/>
  <c r="EN30" i="2"/>
  <c r="EJ30" i="2"/>
  <c r="EF30" i="2"/>
  <c r="EO30" i="2"/>
  <c r="EV30" i="2"/>
  <c r="EM30" i="2"/>
  <c r="EK30" i="2"/>
  <c r="DU30" i="2"/>
  <c r="DZ30" i="2"/>
  <c r="EB30" i="2"/>
  <c r="EE30" i="2"/>
  <c r="EA30" i="2"/>
  <c r="ET30" i="2" s="1"/>
  <c r="EG30" i="2"/>
  <c r="ES30" i="2"/>
  <c r="EU30" i="2" s="1"/>
  <c r="EL30" i="2"/>
  <c r="EQ30" i="2"/>
  <c r="DV30" i="2"/>
  <c r="ED30" i="2"/>
  <c r="EI30" i="2"/>
  <c r="EC30" i="2"/>
  <c r="DW30" i="2"/>
  <c r="ER30" i="2"/>
  <c r="EP30" i="2"/>
  <c r="EC40" i="2"/>
  <c r="EJ40" i="2"/>
  <c r="DX40" i="2"/>
  <c r="DY40" i="2" s="1"/>
  <c r="EI40" i="2"/>
  <c r="ER40" i="2"/>
  <c r="EB40" i="2"/>
  <c r="EG40" i="2"/>
  <c r="ES40" i="2"/>
  <c r="EU40" i="2" s="1"/>
  <c r="EV40" i="2"/>
  <c r="DV40" i="2"/>
  <c r="DW40" i="2"/>
  <c r="EH40" i="2"/>
  <c r="EM40" i="2"/>
  <c r="EQ40" i="2"/>
  <c r="EF40" i="2"/>
  <c r="EN40" i="2"/>
  <c r="ED40" i="2"/>
  <c r="ER35" i="2"/>
  <c r="EQ35" i="2"/>
  <c r="EC35" i="2"/>
  <c r="EO35" i="2"/>
  <c r="EJ35" i="2"/>
  <c r="EV35" i="2"/>
  <c r="EG35" i="2"/>
  <c r="EI35" i="2"/>
  <c r="EB35" i="2"/>
  <c r="DX35" i="2"/>
  <c r="DY35" i="2" s="1"/>
  <c r="EM35" i="2"/>
  <c r="EH35" i="2"/>
  <c r="DW35" i="2"/>
  <c r="DV35" i="2"/>
  <c r="ED35" i="2"/>
  <c r="DZ35" i="2"/>
  <c r="EP35" i="2"/>
  <c r="EP182" i="2"/>
  <c r="EF182" i="2"/>
  <c r="EV182" i="2"/>
  <c r="EC182" i="2"/>
  <c r="EQ182" i="2"/>
  <c r="EO182" i="2"/>
  <c r="DV182" i="2"/>
  <c r="DW182" i="2"/>
  <c r="EA182" i="2"/>
  <c r="ET182" i="2" s="1"/>
  <c r="DU182" i="2"/>
  <c r="DZ182" i="2"/>
  <c r="EN182" i="2"/>
  <c r="EL182" i="2"/>
  <c r="ED182" i="2"/>
  <c r="EM182" i="2"/>
  <c r="DX182" i="2"/>
  <c r="DY182" i="2" s="1"/>
  <c r="ER182" i="2"/>
  <c r="ES182" i="2"/>
  <c r="EU182" i="2" s="1"/>
  <c r="EK182" i="2"/>
  <c r="EJ182" i="2"/>
  <c r="EG182" i="2"/>
  <c r="EI182" i="2"/>
  <c r="EE182" i="2"/>
  <c r="EH182" i="2"/>
  <c r="EB182" i="2"/>
  <c r="EV136" i="2"/>
  <c r="EE136" i="2"/>
  <c r="DW136" i="2"/>
  <c r="EK136" i="2"/>
  <c r="EB136" i="2"/>
  <c r="EM136" i="2"/>
  <c r="ER136" i="2"/>
  <c r="DU136" i="2"/>
  <c r="DX136" i="2"/>
  <c r="DY136" i="2" s="1"/>
  <c r="EH136" i="2"/>
  <c r="ES136" i="2"/>
  <c r="EU136" i="2" s="1"/>
  <c r="EG136" i="2"/>
  <c r="EJ136" i="2"/>
  <c r="EQ136" i="2"/>
  <c r="EL136" i="2"/>
  <c r="ED136" i="2"/>
  <c r="EN136" i="2"/>
  <c r="EC136" i="2"/>
  <c r="EI136" i="2"/>
  <c r="EP136" i="2"/>
  <c r="EO136" i="2"/>
  <c r="EF136" i="2"/>
  <c r="DV136" i="2"/>
  <c r="DZ136" i="2"/>
  <c r="EA136" i="2"/>
  <c r="ET136" i="2" s="1"/>
  <c r="DZ193" i="2"/>
  <c r="EV193" i="2"/>
  <c r="EF193" i="2"/>
  <c r="EL193" i="2"/>
  <c r="EJ193" i="2"/>
  <c r="EQ193" i="2"/>
  <c r="ER193" i="2"/>
  <c r="EA193" i="2"/>
  <c r="ET193" i="2" s="1"/>
  <c r="EP193" i="2"/>
  <c r="EN193" i="2"/>
  <c r="ED193" i="2"/>
  <c r="EB193" i="2"/>
  <c r="EK193" i="2"/>
  <c r="EO193" i="2"/>
  <c r="EE193" i="2"/>
  <c r="EM193" i="2"/>
  <c r="EG193" i="2"/>
  <c r="DW193" i="2"/>
  <c r="EC193" i="2"/>
  <c r="EI193" i="2"/>
  <c r="EH193" i="2"/>
  <c r="DX193" i="2"/>
  <c r="DY193" i="2" s="1"/>
  <c r="DV193" i="2"/>
  <c r="ES193" i="2"/>
  <c r="EU193" i="2" s="1"/>
  <c r="DU193" i="2"/>
  <c r="ER78" i="2"/>
  <c r="EI78" i="2"/>
  <c r="EM78" i="2"/>
  <c r="ED78" i="2"/>
  <c r="ES78" i="2"/>
  <c r="EU78" i="2" s="1"/>
  <c r="EO78" i="2"/>
  <c r="EV78" i="2"/>
  <c r="EN78" i="2"/>
  <c r="EP78" i="2"/>
  <c r="EE78" i="2"/>
  <c r="DU78" i="2"/>
  <c r="EH78" i="2"/>
  <c r="DZ78" i="2"/>
  <c r="EQ78" i="2"/>
  <c r="EK78" i="2"/>
  <c r="EF78" i="2"/>
  <c r="EC78" i="2"/>
  <c r="DX78" i="2"/>
  <c r="DY78" i="2" s="1"/>
  <c r="EJ78" i="2"/>
  <c r="EL78" i="2"/>
  <c r="EA78" i="2"/>
  <c r="ET78" i="2" s="1"/>
  <c r="DW78" i="2"/>
  <c r="EB78" i="2"/>
  <c r="DV78" i="2"/>
  <c r="EG78" i="2"/>
  <c r="EJ69" i="2"/>
  <c r="EA69" i="2"/>
  <c r="ET69" i="2" s="1"/>
  <c r="ER69" i="2"/>
  <c r="EH69" i="2"/>
  <c r="EB69" i="2"/>
  <c r="DV69" i="2"/>
  <c r="EG69" i="2"/>
  <c r="ES69" i="2"/>
  <c r="EU69" i="2" s="1"/>
  <c r="EK69" i="2"/>
  <c r="EE69" i="2"/>
  <c r="ED69" i="2"/>
  <c r="EO69" i="2"/>
  <c r="DW69" i="2"/>
  <c r="EP69" i="2"/>
  <c r="EV69" i="2"/>
  <c r="EL69" i="2"/>
  <c r="DZ69" i="2"/>
  <c r="EA95" i="2"/>
  <c r="ET95" i="2" s="1"/>
  <c r="EQ95" i="2"/>
  <c r="EC95" i="2"/>
  <c r="EL95" i="2"/>
  <c r="EB95" i="2"/>
  <c r="EG95" i="2"/>
  <c r="EI95" i="2"/>
  <c r="EO95" i="2"/>
  <c r="DV95" i="2"/>
  <c r="DW95" i="2"/>
  <c r="EK95" i="2"/>
  <c r="EJ95" i="2"/>
  <c r="EE95" i="2"/>
  <c r="EH95" i="2"/>
  <c r="EN95" i="2"/>
  <c r="EP95" i="2"/>
  <c r="DZ95" i="2"/>
  <c r="EN42" i="2"/>
  <c r="EL42" i="2"/>
  <c r="ES42" i="2"/>
  <c r="EU42" i="2" s="1"/>
  <c r="EQ42" i="2"/>
  <c r="EI42" i="2"/>
  <c r="EK42" i="2"/>
  <c r="DX42" i="2"/>
  <c r="DY42" i="2" s="1"/>
  <c r="EG42" i="2"/>
  <c r="ED42" i="2"/>
  <c r="DU42" i="2"/>
  <c r="EH42" i="2"/>
  <c r="ER42" i="2"/>
  <c r="DW42" i="2"/>
  <c r="EE42" i="2"/>
  <c r="DV42" i="2"/>
  <c r="EP42" i="2"/>
  <c r="EC129" i="2"/>
  <c r="EG129" i="2"/>
  <c r="DZ129" i="2"/>
  <c r="EM129" i="2"/>
  <c r="ED129" i="2"/>
  <c r="DX129" i="2"/>
  <c r="DY129" i="2" s="1"/>
  <c r="DU129" i="2"/>
  <c r="EB129" i="2"/>
  <c r="ER129" i="2"/>
  <c r="EP129" i="2"/>
  <c r="EF129" i="2"/>
  <c r="EI129" i="2"/>
  <c r="DW129" i="2"/>
  <c r="EH129" i="2"/>
  <c r="ES129" i="2"/>
  <c r="EU129" i="2" s="1"/>
  <c r="EN129" i="2"/>
  <c r="EV129" i="2"/>
  <c r="EB20" i="2"/>
  <c r="DV20" i="2"/>
  <c r="DU20" i="2"/>
  <c r="DW20" i="2"/>
  <c r="DX20" i="2" s="1"/>
  <c r="ER169" i="2"/>
  <c r="EN169" i="2"/>
  <c r="EJ169" i="2"/>
  <c r="EB169" i="2"/>
  <c r="EC169" i="2"/>
  <c r="EO169" i="2"/>
  <c r="DW169" i="2"/>
  <c r="DZ169" i="2"/>
  <c r="DX169" i="2"/>
  <c r="DY169" i="2" s="1"/>
  <c r="EL169" i="2"/>
  <c r="EK169" i="2"/>
  <c r="EH169" i="2"/>
  <c r="EV169" i="2"/>
  <c r="ED169" i="2"/>
  <c r="DU169" i="2"/>
  <c r="ES169" i="2"/>
  <c r="EU169" i="2" s="1"/>
  <c r="EC51" i="2"/>
  <c r="EI51" i="2"/>
  <c r="DZ51" i="2"/>
  <c r="DX51" i="2"/>
  <c r="DY51" i="2" s="1"/>
  <c r="ES51" i="2"/>
  <c r="EU51" i="2" s="1"/>
  <c r="EL51" i="2"/>
  <c r="DW51" i="2"/>
  <c r="EP51" i="2"/>
  <c r="EB51" i="2"/>
  <c r="EQ51" i="2"/>
  <c r="ED51" i="2"/>
  <c r="EM51" i="2"/>
  <c r="EO51" i="2"/>
  <c r="EK51" i="2"/>
  <c r="EH51" i="2"/>
  <c r="EA51" i="2"/>
  <c r="ET51" i="2" s="1"/>
  <c r="DV51" i="2"/>
  <c r="EV51" i="2"/>
  <c r="EG51" i="2"/>
  <c r="EE51" i="2"/>
  <c r="DU51" i="2"/>
  <c r="EJ51" i="2"/>
  <c r="EI138" i="2"/>
  <c r="EN138" i="2"/>
  <c r="EC138" i="2"/>
  <c r="EL138" i="2"/>
  <c r="DX138" i="2"/>
  <c r="DY138" i="2" s="1"/>
  <c r="EH138" i="2"/>
  <c r="EO138" i="2"/>
  <c r="DU138" i="2"/>
  <c r="EB138" i="2"/>
  <c r="DZ138" i="2"/>
  <c r="ED138" i="2"/>
  <c r="EG138" i="2"/>
  <c r="EK138" i="2"/>
  <c r="EF138" i="2"/>
  <c r="ES138" i="2"/>
  <c r="EU138" i="2" s="1"/>
  <c r="EQ138" i="2"/>
  <c r="DW138" i="2"/>
  <c r="EM138" i="2"/>
  <c r="EJ138" i="2"/>
  <c r="EP138" i="2"/>
  <c r="EV138" i="2"/>
  <c r="DV138" i="2"/>
  <c r="EE138" i="2"/>
  <c r="EA138" i="2"/>
  <c r="ET138" i="2" s="1"/>
  <c r="ER138" i="2"/>
  <c r="EK61" i="2"/>
  <c r="EC61" i="2"/>
  <c r="DX61" i="2"/>
  <c r="DY61" i="2" s="1"/>
  <c r="EO61" i="2"/>
  <c r="DZ61" i="2"/>
  <c r="EA61" i="2"/>
  <c r="ET61" i="2" s="1"/>
  <c r="EE61" i="2"/>
  <c r="EJ61" i="2"/>
  <c r="DU61" i="2"/>
  <c r="EM61" i="2"/>
  <c r="ED61" i="2"/>
  <c r="EN61" i="2"/>
  <c r="EB61" i="2"/>
  <c r="EL61" i="2"/>
  <c r="EV61" i="2"/>
  <c r="EG61" i="2"/>
  <c r="ER61" i="2"/>
  <c r="DV61" i="2"/>
  <c r="EQ61" i="2"/>
  <c r="EI61" i="2"/>
  <c r="EH61" i="2"/>
  <c r="DW61" i="2"/>
  <c r="ES61" i="2"/>
  <c r="EU61" i="2" s="1"/>
  <c r="EF61" i="2"/>
  <c r="EP61" i="2"/>
  <c r="H173" i="9"/>
  <c r="ES155" i="2"/>
  <c r="EU155" i="2" s="1"/>
  <c r="EO155" i="2"/>
  <c r="EI155" i="2"/>
  <c r="EK155" i="2"/>
  <c r="EB155" i="2"/>
  <c r="EQ155" i="2"/>
  <c r="EA155" i="2"/>
  <c r="ET155" i="2" s="1"/>
  <c r="EM155" i="2"/>
  <c r="DU155" i="2"/>
  <c r="EF155" i="2"/>
  <c r="EV155" i="2"/>
  <c r="EN155" i="2"/>
  <c r="DX155" i="2"/>
  <c r="DY155" i="2" s="1"/>
  <c r="EE155" i="2"/>
  <c r="DW155" i="2"/>
  <c r="EC155" i="2"/>
  <c r="EH155" i="2"/>
  <c r="ED155" i="2"/>
  <c r="DV155" i="2"/>
  <c r="EJ155" i="2"/>
  <c r="EG155" i="2"/>
  <c r="ER155" i="2"/>
  <c r="EL155" i="2"/>
  <c r="EP155" i="2"/>
  <c r="DZ155" i="2"/>
  <c r="EP197" i="2"/>
  <c r="DX197" i="2"/>
  <c r="DY197" i="2" s="1"/>
  <c r="EE197" i="2"/>
  <c r="DU197" i="2"/>
  <c r="EL197" i="2"/>
  <c r="EJ197" i="2"/>
  <c r="EC197" i="2"/>
  <c r="EG197" i="2"/>
  <c r="EH197" i="2"/>
  <c r="ER197" i="2"/>
  <c r="DZ197" i="2"/>
  <c r="EN197" i="2"/>
  <c r="EI197" i="2"/>
  <c r="ES197" i="2"/>
  <c r="EU197" i="2" s="1"/>
  <c r="EK197" i="2"/>
  <c r="EO197" i="2"/>
  <c r="DW197" i="2"/>
  <c r="EQ197" i="2"/>
  <c r="DV197" i="2"/>
  <c r="EM197" i="2"/>
  <c r="EA197" i="2"/>
  <c r="ET197" i="2" s="1"/>
  <c r="EB197" i="2"/>
  <c r="EF197" i="2"/>
  <c r="ED197" i="2"/>
  <c r="EV197" i="2"/>
  <c r="EV124" i="2"/>
  <c r="EA124" i="2"/>
  <c r="ET124" i="2" s="1"/>
  <c r="EF124" i="2"/>
  <c r="ED124" i="2"/>
  <c r="EO124" i="2"/>
  <c r="DW124" i="2"/>
  <c r="EC124" i="2"/>
  <c r="EI124" i="2"/>
  <c r="EN124" i="2"/>
  <c r="DX124" i="2"/>
  <c r="DY124" i="2" s="1"/>
  <c r="EQ124" i="2"/>
  <c r="EK124" i="2"/>
  <c r="DV124" i="2"/>
  <c r="EB124" i="2"/>
  <c r="EJ124" i="2"/>
  <c r="EM124" i="2"/>
  <c r="ER124" i="2"/>
  <c r="EH124" i="2"/>
  <c r="DU124" i="2"/>
  <c r="ES124" i="2"/>
  <c r="EU124" i="2" s="1"/>
  <c r="EL124" i="2"/>
  <c r="EG124" i="2"/>
  <c r="DZ124" i="2"/>
  <c r="EE124" i="2"/>
  <c r="EP124" i="2"/>
  <c r="EB22" i="2"/>
  <c r="EH22" i="2"/>
  <c r="EE22" i="2"/>
  <c r="EJ22" i="2"/>
  <c r="EV22" i="2"/>
  <c r="EI22" i="2"/>
  <c r="EK22" i="2"/>
  <c r="DV22" i="2"/>
  <c r="DX22" i="2"/>
  <c r="DY22" i="2" s="1"/>
  <c r="EL22" i="2"/>
  <c r="EM22" i="2"/>
  <c r="ED22" i="2"/>
  <c r="EQ22" i="2"/>
  <c r="EC22" i="2"/>
  <c r="DU22" i="2"/>
  <c r="ER22" i="2"/>
  <c r="EG22" i="2"/>
  <c r="EA22" i="2"/>
  <c r="ET22" i="2" s="1"/>
  <c r="EF22" i="2"/>
  <c r="ES22" i="2"/>
  <c r="EU22" i="2" s="1"/>
  <c r="DW22" i="2"/>
  <c r="EN22" i="2"/>
  <c r="EO22" i="2"/>
  <c r="EP22" i="2"/>
  <c r="DZ22" i="2"/>
  <c r="EC62" i="2"/>
  <c r="EP62" i="2"/>
  <c r="EB62" i="2"/>
  <c r="EK62" i="2"/>
  <c r="DU62" i="2"/>
  <c r="EA62" i="2"/>
  <c r="ET62" i="2" s="1"/>
  <c r="EH62" i="2"/>
  <c r="EL62" i="2"/>
  <c r="EG62" i="2"/>
  <c r="ED62" i="2"/>
  <c r="EN62" i="2"/>
  <c r="EM62" i="2"/>
  <c r="EV62" i="2"/>
  <c r="ES62" i="2"/>
  <c r="EU62" i="2" s="1"/>
  <c r="ER62" i="2"/>
  <c r="EQ62" i="2"/>
  <c r="EO62" i="2"/>
  <c r="EI62" i="2"/>
  <c r="EF62" i="2"/>
  <c r="EJ62" i="2"/>
  <c r="DW62" i="2"/>
  <c r="DV62" i="2"/>
  <c r="DX62" i="2"/>
  <c r="DY62" i="2" s="1"/>
  <c r="DZ62" i="2"/>
  <c r="EE62" i="2"/>
  <c r="EP174" i="2"/>
  <c r="EE174" i="2"/>
  <c r="EN174" i="2"/>
  <c r="EV174" i="2"/>
  <c r="EF174" i="2"/>
  <c r="DX174" i="2"/>
  <c r="DY174" i="2" s="1"/>
  <c r="EQ174" i="2"/>
  <c r="EH174" i="2"/>
  <c r="EC174" i="2"/>
  <c r="ES174" i="2"/>
  <c r="EU174" i="2" s="1"/>
  <c r="EB174" i="2"/>
  <c r="EM174" i="2"/>
  <c r="EO174" i="2"/>
  <c r="EJ174" i="2"/>
  <c r="DW174" i="2"/>
  <c r="ED174" i="2"/>
  <c r="ER174" i="2"/>
  <c r="DU174" i="2"/>
  <c r="EI174" i="2"/>
  <c r="DV174" i="2"/>
  <c r="EG174" i="2"/>
  <c r="EA174" i="2"/>
  <c r="ET174" i="2" s="1"/>
  <c r="EL174" i="2"/>
  <c r="EK174" i="2"/>
  <c r="DZ174" i="2"/>
  <c r="EV127" i="2"/>
  <c r="EO127" i="2"/>
  <c r="EH127" i="2"/>
  <c r="EJ127" i="2"/>
  <c r="EG127" i="2"/>
  <c r="DV127" i="2"/>
  <c r="ES127" i="2"/>
  <c r="EU127" i="2" s="1"/>
  <c r="DU127" i="2"/>
  <c r="ER127" i="2"/>
  <c r="EM127" i="2"/>
  <c r="EC127" i="2"/>
  <c r="EQ127" i="2"/>
  <c r="EI127" i="2"/>
  <c r="ED127" i="2"/>
  <c r="EN127" i="2"/>
  <c r="EA127" i="2"/>
  <c r="ET127" i="2" s="1"/>
  <c r="EF127" i="2"/>
  <c r="DX127" i="2"/>
  <c r="DY127" i="2" s="1"/>
  <c r="EL127" i="2"/>
  <c r="EB127" i="2"/>
  <c r="EE127" i="2"/>
  <c r="EK127" i="2"/>
  <c r="DW127" i="2"/>
  <c r="DZ127" i="2"/>
  <c r="EP127" i="2"/>
  <c r="EA184" i="2"/>
  <c r="ET184" i="2" s="1"/>
  <c r="EN184" i="2"/>
  <c r="EL184" i="2"/>
  <c r="ED184" i="2"/>
  <c r="EM184" i="2"/>
  <c r="DV184" i="2"/>
  <c r="DU184" i="2"/>
  <c r="EE184" i="2"/>
  <c r="ER184" i="2"/>
  <c r="EO184" i="2"/>
  <c r="EV184" i="2"/>
  <c r="DW184" i="2"/>
  <c r="EQ184" i="2"/>
  <c r="EG184" i="2"/>
  <c r="EB184" i="2"/>
  <c r="ES184" i="2"/>
  <c r="EU184" i="2" s="1"/>
  <c r="EI184" i="2"/>
  <c r="EK184" i="2"/>
  <c r="EH184" i="2"/>
  <c r="EJ184" i="2"/>
  <c r="EF184" i="2"/>
  <c r="EC184" i="2"/>
  <c r="DX184" i="2"/>
  <c r="DY184" i="2" s="1"/>
  <c r="DZ184" i="2"/>
  <c r="EP184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ER73" i="2"/>
  <c r="DV73" i="2"/>
  <c r="DU73" i="2"/>
  <c r="EK73" i="2"/>
  <c r="EO73" i="2"/>
  <c r="EV73" i="2"/>
  <c r="EC73" i="2"/>
  <c r="EN73" i="2"/>
  <c r="EB73" i="2"/>
  <c r="DX73" i="2"/>
  <c r="DY73" i="2" s="1"/>
  <c r="EH73" i="2"/>
  <c r="EM73" i="2"/>
  <c r="EL73" i="2"/>
  <c r="EJ73" i="2"/>
  <c r="EE73" i="2"/>
  <c r="ED73" i="2"/>
  <c r="EI73" i="2"/>
  <c r="ES73" i="2"/>
  <c r="EU73" i="2" s="1"/>
  <c r="EF73" i="2"/>
  <c r="EA73" i="2"/>
  <c r="ET73" i="2" s="1"/>
  <c r="EQ73" i="2"/>
  <c r="DW73" i="2"/>
  <c r="EG73" i="2"/>
  <c r="DZ73" i="2"/>
  <c r="EP73" i="2"/>
  <c r="EP25" i="2"/>
  <c r="ES25" i="2"/>
  <c r="EU25" i="2" s="1"/>
  <c r="EF25" i="2"/>
  <c r="DW25" i="2"/>
  <c r="EK25" i="2"/>
  <c r="DU25" i="2"/>
  <c r="EO25" i="2"/>
  <c r="EB25" i="2"/>
  <c r="EI25" i="2"/>
  <c r="EJ25" i="2"/>
  <c r="EH25" i="2"/>
  <c r="EQ25" i="2"/>
  <c r="EV25" i="2"/>
  <c r="EG25" i="2"/>
  <c r="DZ25" i="2"/>
  <c r="EM25" i="2"/>
  <c r="DX25" i="2"/>
  <c r="DY25" i="2" s="1"/>
  <c r="EE25" i="2"/>
  <c r="EN25" i="2"/>
  <c r="DV25" i="2"/>
  <c r="EC25" i="2"/>
  <c r="EL25" i="2"/>
  <c r="ED25" i="2"/>
  <c r="ER25" i="2"/>
  <c r="EA25" i="2"/>
  <c r="ET25" i="2" s="1"/>
  <c r="EP106" i="2"/>
  <c r="DZ106" i="2"/>
  <c r="EB106" i="2"/>
  <c r="EG106" i="2"/>
  <c r="EE106" i="2"/>
  <c r="EL106" i="2"/>
  <c r="EM106" i="2"/>
  <c r="EJ106" i="2"/>
  <c r="EV106" i="2"/>
  <c r="EQ106" i="2"/>
  <c r="ER106" i="2"/>
  <c r="DW106" i="2"/>
  <c r="EN106" i="2"/>
  <c r="DX106" i="2"/>
  <c r="DY106" i="2" s="1"/>
  <c r="EI106" i="2"/>
  <c r="EC106" i="2"/>
  <c r="DU106" i="2"/>
  <c r="DV106" i="2"/>
  <c r="ES106" i="2"/>
  <c r="EU106" i="2" s="1"/>
  <c r="EA106" i="2"/>
  <c r="ET106" i="2" s="1"/>
  <c r="EK106" i="2"/>
  <c r="EF106" i="2"/>
  <c r="EO106" i="2"/>
  <c r="ED106" i="2"/>
  <c r="EH106" i="2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EP150" i="2"/>
  <c r="DZ150" i="2"/>
  <c r="ES150" i="2"/>
  <c r="EU150" i="2" s="1"/>
  <c r="EF150" i="2"/>
  <c r="DU150" i="2"/>
  <c r="ED150" i="2"/>
  <c r="DX150" i="2"/>
  <c r="DY150" i="2" s="1"/>
  <c r="EI150" i="2"/>
  <c r="EE150" i="2"/>
  <c r="EH150" i="2"/>
  <c r="EA150" i="2"/>
  <c r="ET150" i="2" s="1"/>
  <c r="DW150" i="2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K175" i="2"/>
  <c r="DX175" i="2"/>
  <c r="DY175" i="2" s="1"/>
  <c r="EC175" i="2"/>
  <c r="EV131" i="2"/>
  <c r="EG131" i="2"/>
  <c r="EQ131" i="2"/>
  <c r="EP131" i="2"/>
  <c r="EC131" i="2"/>
  <c r="ER131" i="2"/>
  <c r="EE131" i="2"/>
  <c r="EJ131" i="2"/>
  <c r="EK131" i="2"/>
  <c r="EO131" i="2"/>
  <c r="EA131" i="2"/>
  <c r="ET131" i="2" s="1"/>
  <c r="DV131" i="2"/>
  <c r="DX131" i="2"/>
  <c r="DY131" i="2" s="1"/>
  <c r="EN131" i="2"/>
  <c r="ES131" i="2"/>
  <c r="EU131" i="2" s="1"/>
  <c r="EI131" i="2"/>
  <c r="EF131" i="2"/>
  <c r="EL131" i="2"/>
  <c r="ED131" i="2"/>
  <c r="EM131" i="2"/>
  <c r="DW131" i="2"/>
  <c r="DU131" i="2"/>
  <c r="EB131" i="2"/>
  <c r="DZ131" i="2"/>
  <c r="EH131" i="2"/>
  <c r="ED160" i="2"/>
  <c r="DV160" i="2"/>
  <c r="EH160" i="2"/>
  <c r="ES160" i="2"/>
  <c r="EU160" i="2" s="1"/>
  <c r="EV160" i="2"/>
  <c r="EF160" i="2"/>
  <c r="DW160" i="2"/>
  <c r="EA160" i="2"/>
  <c r="ET160" i="2" s="1"/>
  <c r="EB160" i="2"/>
  <c r="EP160" i="2"/>
  <c r="EN160" i="2"/>
  <c r="EQ160" i="2"/>
  <c r="DZ160" i="2"/>
  <c r="EM160" i="2"/>
  <c r="EE160" i="2"/>
  <c r="EL160" i="2"/>
  <c r="EO160" i="2"/>
  <c r="EJ160" i="2"/>
  <c r="EI160" i="2"/>
  <c r="EC160" i="2"/>
  <c r="EG160" i="2"/>
  <c r="EK160" i="2"/>
  <c r="DU160" i="2"/>
  <c r="ER160" i="2"/>
  <c r="DX160" i="2"/>
  <c r="DY160" i="2" s="1"/>
  <c r="DZ92" i="2"/>
  <c r="EO92" i="2"/>
  <c r="ER92" i="2"/>
  <c r="DV92" i="2"/>
  <c r="EC92" i="2"/>
  <c r="EQ92" i="2"/>
  <c r="EE92" i="2"/>
  <c r="EG92" i="2"/>
  <c r="ED92" i="2"/>
  <c r="EF92" i="2"/>
  <c r="DW92" i="2"/>
  <c r="EB92" i="2"/>
  <c r="EH92" i="2"/>
  <c r="EJ92" i="2"/>
  <c r="EI92" i="2"/>
  <c r="DX92" i="2"/>
  <c r="DY92" i="2" s="1"/>
  <c r="EP92" i="2"/>
  <c r="EL92" i="2"/>
  <c r="EM92" i="2"/>
  <c r="EN92" i="2"/>
  <c r="DU92" i="2"/>
  <c r="ES92" i="2"/>
  <c r="EU92" i="2" s="1"/>
  <c r="EV92" i="2"/>
  <c r="EA92" i="2"/>
  <c r="ET92" i="2" s="1"/>
  <c r="EK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J122" i="2"/>
  <c r="EL122" i="2"/>
  <c r="EG122" i="2"/>
  <c r="EV122" i="2"/>
  <c r="DW122" i="2"/>
  <c r="EH122" i="2"/>
  <c r="EI122" i="2"/>
  <c r="ES122" i="2"/>
  <c r="EU122" i="2" s="1"/>
  <c r="EM122" i="2"/>
  <c r="EP122" i="2"/>
  <c r="EQ122" i="2"/>
  <c r="EN122" i="2"/>
  <c r="DZ122" i="2"/>
  <c r="EE122" i="2"/>
  <c r="EO122" i="2"/>
  <c r="EK122" i="2"/>
  <c r="EA122" i="2"/>
  <c r="ET122" i="2" s="1"/>
  <c r="ER122" i="2"/>
  <c r="DV122" i="2"/>
  <c r="DX122" i="2"/>
  <c r="DY122" i="2" s="1"/>
  <c r="DU122" i="2"/>
  <c r="ED122" i="2"/>
  <c r="EF122" i="2"/>
  <c r="EC122" i="2"/>
  <c r="EB122" i="2"/>
  <c r="ED147" i="2"/>
  <c r="DU147" i="2"/>
  <c r="DW147" i="2"/>
  <c r="EP147" i="2"/>
  <c r="DX147" i="2"/>
  <c r="DY147" i="2" s="1"/>
  <c r="EO147" i="2"/>
  <c r="EN147" i="2"/>
  <c r="ER147" i="2"/>
  <c r="EL147" i="2"/>
  <c r="EK147" i="2"/>
  <c r="EH147" i="2"/>
  <c r="DV147" i="2"/>
  <c r="EM147" i="2"/>
  <c r="EB147" i="2"/>
  <c r="EV147" i="2"/>
  <c r="DZ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B70" i="2"/>
  <c r="ES70" i="2"/>
  <c r="EU70" i="2" s="1"/>
  <c r="EN70" i="2"/>
  <c r="ED70" i="2"/>
  <c r="DV70" i="2"/>
  <c r="EI70" i="2"/>
  <c r="EC70" i="2"/>
  <c r="DW70" i="2"/>
  <c r="EA70" i="2"/>
  <c r="ET70" i="2" s="1"/>
  <c r="EM70" i="2"/>
  <c r="EV70" i="2"/>
  <c r="EQ70" i="2"/>
  <c r="EE70" i="2"/>
  <c r="EG70" i="2"/>
  <c r="ER70" i="2"/>
  <c r="EO70" i="2"/>
  <c r="DZ70" i="2"/>
  <c r="DX70" i="2"/>
  <c r="DY70" i="2" s="1"/>
  <c r="EL70" i="2"/>
  <c r="EP70" i="2"/>
  <c r="EJ70" i="2"/>
  <c r="EH70" i="2"/>
  <c r="EK70" i="2"/>
  <c r="DU70" i="2"/>
  <c r="EF70" i="2"/>
  <c r="ES164" i="2"/>
  <c r="EU164" i="2" s="1"/>
  <c r="EE164" i="2"/>
  <c r="EO164" i="2"/>
  <c r="DZ164" i="2"/>
  <c r="ED164" i="2"/>
  <c r="DV164" i="2"/>
  <c r="EI164" i="2"/>
  <c r="EL164" i="2"/>
  <c r="ER164" i="2"/>
  <c r="EH164" i="2"/>
  <c r="EA164" i="2"/>
  <c r="ET164" i="2" s="1"/>
  <c r="DW164" i="2"/>
  <c r="EK164" i="2"/>
  <c r="EQ164" i="2"/>
  <c r="EM164" i="2"/>
  <c r="EC164" i="2"/>
  <c r="EG164" i="2"/>
  <c r="EJ164" i="2"/>
  <c r="DU164" i="2"/>
  <c r="EB164" i="2"/>
  <c r="EF164" i="2"/>
  <c r="EV164" i="2"/>
  <c r="DX164" i="2"/>
  <c r="DY164" i="2" s="1"/>
  <c r="EN164" i="2"/>
  <c r="EP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DZ161" i="2"/>
  <c r="EL161" i="2"/>
  <c r="DV161" i="2"/>
  <c r="EQ161" i="2"/>
  <c r="EO161" i="2"/>
  <c r="EH161" i="2"/>
  <c r="EB161" i="2"/>
  <c r="EF161" i="2"/>
  <c r="EE161" i="2"/>
  <c r="EG161" i="2"/>
  <c r="EN161" i="2"/>
  <c r="EM161" i="2"/>
  <c r="ES161" i="2"/>
  <c r="EU161" i="2" s="1"/>
  <c r="ED161" i="2"/>
  <c r="ER161" i="2"/>
  <c r="EJ161" i="2"/>
  <c r="EP161" i="2"/>
  <c r="DX161" i="2"/>
  <c r="DY161" i="2" s="1"/>
  <c r="DU161" i="2"/>
  <c r="EI161" i="2"/>
  <c r="EA161" i="2"/>
  <c r="ET161" i="2" s="1"/>
  <c r="DW161" i="2"/>
  <c r="EV161" i="2"/>
  <c r="EC161" i="2"/>
  <c r="EK161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R79" i="2"/>
  <c r="EH79" i="2"/>
  <c r="DU79" i="2"/>
  <c r="ED79" i="2"/>
  <c r="ES79" i="2"/>
  <c r="EU79" i="2" s="1"/>
  <c r="DV79" i="2"/>
  <c r="EV79" i="2"/>
  <c r="EL79" i="2"/>
  <c r="EK79" i="2"/>
  <c r="EE79" i="2"/>
  <c r="EB79" i="2"/>
  <c r="EN79" i="2"/>
  <c r="DW79" i="2"/>
  <c r="EF79" i="2"/>
  <c r="EO79" i="2"/>
  <c r="EC79" i="2"/>
  <c r="EG79" i="2"/>
  <c r="EJ79" i="2"/>
  <c r="EQ79" i="2"/>
  <c r="DX79" i="2"/>
  <c r="DY79" i="2" s="1"/>
  <c r="EM79" i="2"/>
  <c r="EA79" i="2"/>
  <c r="ET79" i="2" s="1"/>
  <c r="EI79" i="2"/>
  <c r="DZ79" i="2"/>
  <c r="EP79" i="2"/>
  <c r="DZ189" i="2"/>
  <c r="EG189" i="2"/>
  <c r="EK189" i="2"/>
  <c r="EE189" i="2"/>
  <c r="DW189" i="2"/>
  <c r="DU189" i="2"/>
  <c r="EI189" i="2"/>
  <c r="EP189" i="2"/>
  <c r="EH189" i="2"/>
  <c r="EN189" i="2"/>
  <c r="EO189" i="2"/>
  <c r="EJ189" i="2"/>
  <c r="DX189" i="2"/>
  <c r="DY189" i="2" s="1"/>
  <c r="EV189" i="2"/>
  <c r="EF189" i="2"/>
  <c r="EQ189" i="2"/>
  <c r="EM189" i="2"/>
  <c r="EC189" i="2"/>
  <c r="ED189" i="2"/>
  <c r="ER189" i="2"/>
  <c r="EL189" i="2"/>
  <c r="EA189" i="2"/>
  <c r="ET189" i="2" s="1"/>
  <c r="EB189" i="2"/>
  <c r="ES189" i="2"/>
  <c r="EU189" i="2" s="1"/>
  <c r="DV189" i="2"/>
  <c r="ED44" i="2"/>
  <c r="EI44" i="2"/>
  <c r="EE44" i="2"/>
  <c r="ER44" i="2"/>
  <c r="EN44" i="2"/>
  <c r="EP44" i="2"/>
  <c r="EF44" i="2"/>
  <c r="EA44" i="2"/>
  <c r="ET44" i="2" s="1"/>
  <c r="EO44" i="2"/>
  <c r="DZ44" i="2"/>
  <c r="EB44" i="2"/>
  <c r="EL44" i="2"/>
  <c r="DW44" i="2"/>
  <c r="EC44" i="2"/>
  <c r="EK44" i="2"/>
  <c r="EQ44" i="2"/>
  <c r="EJ44" i="2"/>
  <c r="EG44" i="2"/>
  <c r="EV44" i="2"/>
  <c r="EM44" i="2"/>
  <c r="DV44" i="2"/>
  <c r="ES44" i="2"/>
  <c r="EU44" i="2" s="1"/>
  <c r="EH44" i="2"/>
  <c r="DX44" i="2"/>
  <c r="DY44" i="2" s="1"/>
  <c r="DU44" i="2"/>
  <c r="EV125" i="2"/>
  <c r="EG125" i="2"/>
  <c r="EC125" i="2"/>
  <c r="EL125" i="2"/>
  <c r="DW125" i="2"/>
  <c r="EM125" i="2"/>
  <c r="EH125" i="2"/>
  <c r="EB125" i="2"/>
  <c r="ES125" i="2"/>
  <c r="EU125" i="2" s="1"/>
  <c r="EA125" i="2"/>
  <c r="ET125" i="2" s="1"/>
  <c r="EO125" i="2"/>
  <c r="EF125" i="2"/>
  <c r="DX125" i="2"/>
  <c r="DY125" i="2" s="1"/>
  <c r="DZ125" i="2"/>
  <c r="DU125" i="2"/>
  <c r="EQ125" i="2"/>
  <c r="ED125" i="2"/>
  <c r="EE125" i="2"/>
  <c r="DV125" i="2"/>
  <c r="EN125" i="2"/>
  <c r="EI125" i="2"/>
  <c r="EJ125" i="2"/>
  <c r="ER125" i="2"/>
  <c r="EP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J28" i="2"/>
  <c r="EN28" i="2"/>
  <c r="EQ28" i="2"/>
  <c r="ER28" i="2"/>
  <c r="EF28" i="2"/>
  <c r="EH28" i="2"/>
  <c r="DX28" i="2"/>
  <c r="DY28" i="2" s="1"/>
  <c r="DW28" i="2"/>
  <c r="ED28" i="2"/>
  <c r="EL28" i="2"/>
  <c r="EG28" i="2"/>
  <c r="DU28" i="2"/>
  <c r="EE28" i="2"/>
  <c r="EC28" i="2"/>
  <c r="EM28" i="2"/>
  <c r="EK28" i="2"/>
  <c r="EO28" i="2"/>
  <c r="EA28" i="2"/>
  <c r="ET28" i="2" s="1"/>
  <c r="EI28" i="2"/>
  <c r="EV28" i="2"/>
  <c r="DV28" i="2"/>
  <c r="ES28" i="2"/>
  <c r="EU28" i="2" s="1"/>
  <c r="EB28" i="2"/>
  <c r="EP28" i="2"/>
  <c r="DZ28" i="2"/>
  <c r="ER121" i="2"/>
  <c r="EM121" i="2"/>
  <c r="ES121" i="2"/>
  <c r="EU121" i="2" s="1"/>
  <c r="EG121" i="2"/>
  <c r="EO121" i="2"/>
  <c r="EJ121" i="2"/>
  <c r="EL121" i="2"/>
  <c r="EH121" i="2"/>
  <c r="DV121" i="2"/>
  <c r="EE121" i="2"/>
  <c r="EP121" i="2"/>
  <c r="EF121" i="2"/>
  <c r="DW121" i="2"/>
  <c r="DX121" i="2"/>
  <c r="DY121" i="2" s="1"/>
  <c r="EI121" i="2"/>
  <c r="ED121" i="2"/>
  <c r="DU121" i="2"/>
  <c r="EK121" i="2"/>
  <c r="EB121" i="2"/>
  <c r="EA121" i="2"/>
  <c r="ET121" i="2" s="1"/>
  <c r="DZ121" i="2"/>
  <c r="EC121" i="2"/>
  <c r="EN121" i="2"/>
  <c r="EQ121" i="2"/>
  <c r="EV121" i="2"/>
  <c r="ED111" i="2"/>
  <c r="ES111" i="2"/>
  <c r="EU111" i="2" s="1"/>
  <c r="EL111" i="2"/>
  <c r="DZ111" i="2"/>
  <c r="EE111" i="2"/>
  <c r="EA111" i="2"/>
  <c r="ET111" i="2" s="1"/>
  <c r="ER111" i="2"/>
  <c r="DW111" i="2"/>
  <c r="EM111" i="2"/>
  <c r="EQ111" i="2"/>
  <c r="EC111" i="2"/>
  <c r="EJ111" i="2"/>
  <c r="EK111" i="2"/>
  <c r="EH111" i="2"/>
  <c r="DV111" i="2"/>
  <c r="EB111" i="2"/>
  <c r="DU111" i="2"/>
  <c r="EV111" i="2"/>
  <c r="EP111" i="2"/>
  <c r="EO111" i="2"/>
  <c r="EF111" i="2"/>
  <c r="DX111" i="2"/>
  <c r="DY111" i="2" s="1"/>
  <c r="EN111" i="2"/>
  <c r="EG111" i="2"/>
  <c r="EI11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P179" i="2"/>
  <c r="EA179" i="2"/>
  <c r="ET179" i="2" s="1"/>
  <c r="DW179" i="2"/>
  <c r="EF179" i="2"/>
  <c r="EC179" i="2"/>
  <c r="EH179" i="2"/>
  <c r="EG179" i="2"/>
  <c r="ES179" i="2"/>
  <c r="EU179" i="2" s="1"/>
  <c r="DX179" i="2"/>
  <c r="DY179" i="2" s="1"/>
  <c r="EM179" i="2"/>
  <c r="ER179" i="2"/>
  <c r="DV179" i="2"/>
  <c r="EV179" i="2"/>
  <c r="EL179" i="2"/>
  <c r="DZ179" i="2"/>
  <c r="EJ179" i="2"/>
  <c r="EI179" i="2"/>
  <c r="EQ179" i="2"/>
  <c r="ED179" i="2"/>
  <c r="EN179" i="2"/>
  <c r="EK179" i="2"/>
  <c r="EO179" i="2"/>
  <c r="DU179" i="2"/>
  <c r="EB179" i="2"/>
  <c r="EE179" i="2"/>
  <c r="EE82" i="2"/>
  <c r="EH82" i="2"/>
  <c r="EQ82" i="2"/>
  <c r="EC82" i="2"/>
  <c r="ER82" i="2"/>
  <c r="EG82" i="2"/>
  <c r="ED82" i="2"/>
  <c r="ES82" i="2"/>
  <c r="EU82" i="2" s="1"/>
  <c r="EM82" i="2"/>
  <c r="EN82" i="2"/>
  <c r="EB82" i="2"/>
  <c r="DV82" i="2"/>
  <c r="DU82" i="2"/>
  <c r="EL82" i="2"/>
  <c r="DX82" i="2"/>
  <c r="DY82" i="2" s="1"/>
  <c r="EJ82" i="2"/>
  <c r="DW82" i="2"/>
  <c r="EK82" i="2"/>
  <c r="EO82" i="2"/>
  <c r="EV82" i="2"/>
  <c r="EI82" i="2"/>
  <c r="EA82" i="2"/>
  <c r="ET82" i="2" s="1"/>
  <c r="EF82" i="2"/>
  <c r="EP82" i="2"/>
  <c r="DZ82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H18" i="2"/>
  <c r="EJ18" i="2"/>
  <c r="EM18" i="2"/>
  <c r="EN18" i="2"/>
  <c r="EC18" i="2"/>
  <c r="DW18" i="2"/>
  <c r="EI18" i="2"/>
  <c r="EA18" i="2"/>
  <c r="ET18" i="2" s="1"/>
  <c r="DU18" i="2"/>
  <c r="EP18" i="2"/>
  <c r="ES18" i="2"/>
  <c r="EU18" i="2" s="1"/>
  <c r="EQ18" i="2"/>
  <c r="ER18" i="2"/>
  <c r="EE18" i="2"/>
  <c r="DX18" i="2"/>
  <c r="DY18" i="2" s="1"/>
  <c r="EF18" i="2"/>
  <c r="EL18" i="2"/>
  <c r="EO18" i="2"/>
  <c r="EK18" i="2"/>
  <c r="EB18" i="2"/>
  <c r="DV18" i="2"/>
  <c r="EG18" i="2"/>
  <c r="ED18" i="2"/>
  <c r="DZ18" i="2"/>
  <c r="ED166" i="2"/>
  <c r="EB166" i="2"/>
  <c r="DV166" i="2"/>
  <c r="DZ166" i="2"/>
  <c r="EJ166" i="2"/>
  <c r="DU166" i="2"/>
  <c r="EQ166" i="2"/>
  <c r="EH166" i="2"/>
  <c r="EC166" i="2"/>
  <c r="EI166" i="2"/>
  <c r="EP166" i="2"/>
  <c r="EM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H96" i="2"/>
  <c r="DU96" i="2"/>
  <c r="EC96" i="2"/>
  <c r="DX96" i="2"/>
  <c r="DY96" i="2" s="1"/>
  <c r="EM96" i="2"/>
  <c r="EK96" i="2"/>
  <c r="EO96" i="2"/>
  <c r="EI96" i="2"/>
  <c r="EV96" i="2"/>
  <c r="DV96" i="2"/>
  <c r="EQ96" i="2"/>
  <c r="EJ96" i="2"/>
  <c r="DW96" i="2"/>
  <c r="ED96" i="2"/>
  <c r="EL96" i="2"/>
  <c r="ES96" i="2"/>
  <c r="EU96" i="2" s="1"/>
  <c r="EF96" i="2"/>
  <c r="EE96" i="2"/>
  <c r="EB96" i="2"/>
  <c r="EN96" i="2"/>
  <c r="EG96" i="2"/>
  <c r="EP96" i="2"/>
  <c r="EA96" i="2"/>
  <c r="ET96" i="2" s="1"/>
  <c r="DZ96" i="2"/>
  <c r="EP178" i="2"/>
  <c r="EJ178" i="2"/>
  <c r="EA178" i="2"/>
  <c r="ET178" i="2" s="1"/>
  <c r="ES178" i="2"/>
  <c r="EU178" i="2" s="1"/>
  <c r="EN178" i="2"/>
  <c r="EG178" i="2"/>
  <c r="DX178" i="2"/>
  <c r="DY178" i="2" s="1"/>
  <c r="EQ178" i="2"/>
  <c r="EF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F108" i="2"/>
  <c r="ED108" i="2"/>
  <c r="EH108" i="2"/>
  <c r="EL108" i="2"/>
  <c r="EP108" i="2"/>
  <c r="EA108" i="2"/>
  <c r="ET108" i="2" s="1"/>
  <c r="EB108" i="2"/>
  <c r="DX108" i="2"/>
  <c r="DY108" i="2" s="1"/>
  <c r="DV108" i="2"/>
  <c r="EI108" i="2"/>
  <c r="EM108" i="2"/>
  <c r="EC108" i="2"/>
  <c r="EN108" i="2"/>
  <c r="EE108" i="2"/>
  <c r="EJ108" i="2"/>
  <c r="EG108" i="2"/>
  <c r="ER108" i="2"/>
  <c r="DU108" i="2"/>
  <c r="EV108" i="2"/>
  <c r="EQ108" i="2"/>
  <c r="DZ108" i="2"/>
  <c r="EK108" i="2"/>
  <c r="EO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47" i="2"/>
  <c r="DU47" i="2"/>
  <c r="EH47" i="2"/>
  <c r="ER47" i="2"/>
  <c r="DV47" i="2"/>
  <c r="EL47" i="2"/>
  <c r="EC47" i="2"/>
  <c r="EO47" i="2"/>
  <c r="EQ47" i="2"/>
  <c r="EA47" i="2"/>
  <c r="ET47" i="2" s="1"/>
  <c r="EN47" i="2"/>
  <c r="EB47" i="2"/>
  <c r="EI47" i="2"/>
  <c r="ES47" i="2"/>
  <c r="EU47" i="2" s="1"/>
  <c r="DX47" i="2"/>
  <c r="DY47" i="2" s="1"/>
  <c r="EE47" i="2"/>
  <c r="EG47" i="2"/>
  <c r="ED47" i="2"/>
  <c r="EF47" i="2"/>
  <c r="EJ47" i="2"/>
  <c r="EM47" i="2"/>
  <c r="EV47" i="2"/>
  <c r="DW47" i="2"/>
  <c r="DZ47" i="2"/>
  <c r="EP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EJ58" i="2"/>
  <c r="EI58" i="2"/>
  <c r="DX58" i="2"/>
  <c r="DY58" i="2" s="1"/>
  <c r="ES58" i="2"/>
  <c r="EU58" i="2" s="1"/>
  <c r="EH58" i="2"/>
  <c r="EL58" i="2"/>
  <c r="EC58" i="2"/>
  <c r="EF58" i="2"/>
  <c r="EK58" i="2"/>
  <c r="DW58" i="2"/>
  <c r="EA58" i="2"/>
  <c r="ET58" i="2" s="1"/>
  <c r="EQ58" i="2"/>
  <c r="EV58" i="2"/>
  <c r="EO58" i="2"/>
  <c r="ER58" i="2"/>
  <c r="DU58" i="2"/>
  <c r="EM58" i="2"/>
  <c r="EG58" i="2"/>
  <c r="ED58" i="2"/>
  <c r="DV58" i="2"/>
  <c r="EN58" i="2"/>
  <c r="EE58" i="2"/>
  <c r="DZ58" i="2"/>
  <c r="EP58" i="2"/>
  <c r="EB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G53" i="2"/>
  <c r="EF53" i="2"/>
  <c r="EP53" i="2"/>
  <c r="ER53" i="2"/>
  <c r="DW53" i="2"/>
  <c r="EI53" i="2"/>
  <c r="EV53" i="2"/>
  <c r="EJ53" i="2"/>
  <c r="EN53" i="2"/>
  <c r="EC53" i="2"/>
  <c r="EO53" i="2"/>
  <c r="ED53" i="2"/>
  <c r="EH53" i="2"/>
  <c r="DV53" i="2"/>
  <c r="DZ53" i="2"/>
  <c r="EK53" i="2"/>
  <c r="EL53" i="2"/>
  <c r="EB53" i="2"/>
  <c r="EE53" i="2"/>
  <c r="EA53" i="2"/>
  <c r="ET53" i="2" s="1"/>
  <c r="ES53" i="2"/>
  <c r="EU53" i="2" s="1"/>
  <c r="EM53" i="2"/>
  <c r="DU53" i="2"/>
  <c r="EQ53" i="2"/>
  <c r="EJ103" i="2"/>
  <c r="DV103" i="2"/>
  <c r="EM103" i="2"/>
  <c r="EA103" i="2"/>
  <c r="ET103" i="2" s="1"/>
  <c r="EN103" i="2"/>
  <c r="EH103" i="2"/>
  <c r="EB103" i="2"/>
  <c r="DU103" i="2"/>
  <c r="DX103" i="2"/>
  <c r="DY103" i="2" s="1"/>
  <c r="EI103" i="2"/>
  <c r="EK103" i="2"/>
  <c r="EG103" i="2"/>
  <c r="ED103" i="2"/>
  <c r="EO103" i="2"/>
  <c r="ER103" i="2"/>
  <c r="EQ103" i="2"/>
  <c r="EV103" i="2"/>
  <c r="DW103" i="2"/>
  <c r="ES103" i="2"/>
  <c r="EU103" i="2" s="1"/>
  <c r="EL103" i="2"/>
  <c r="EE103" i="2"/>
  <c r="EC103" i="2"/>
  <c r="EF103" i="2"/>
  <c r="EP103" i="2"/>
  <c r="DZ103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P190" i="2"/>
  <c r="EA190" i="2"/>
  <c r="ET190" i="2" s="1"/>
  <c r="ES190" i="2"/>
  <c r="EU190" i="2" s="1"/>
  <c r="EE190" i="2"/>
  <c r="EK190" i="2"/>
  <c r="EN190" i="2"/>
  <c r="EM190" i="2"/>
  <c r="DX190" i="2"/>
  <c r="DY190" i="2" s="1"/>
  <c r="EV190" i="2"/>
  <c r="DZ190" i="2"/>
  <c r="EJ190" i="2"/>
  <c r="EO190" i="2"/>
  <c r="EF190" i="2"/>
  <c r="EH190" i="2"/>
  <c r="ED190" i="2"/>
  <c r="DW190" i="2"/>
  <c r="EC190" i="2"/>
  <c r="EQ190" i="2"/>
  <c r="EG190" i="2"/>
  <c r="EB190" i="2"/>
  <c r="ER190" i="2"/>
  <c r="DU190" i="2"/>
  <c r="DV190" i="2"/>
  <c r="EL190" i="2"/>
  <c r="EI190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K76" i="2"/>
  <c r="EF76" i="2"/>
  <c r="EO76" i="2"/>
  <c r="ER76" i="2"/>
  <c r="EM76" i="2"/>
  <c r="EQ76" i="2"/>
  <c r="ES76" i="2"/>
  <c r="EU76" i="2" s="1"/>
  <c r="EE76" i="2"/>
  <c r="DX76" i="2"/>
  <c r="DY76" i="2" s="1"/>
  <c r="EG76" i="2"/>
  <c r="EP76" i="2"/>
  <c r="EC76" i="2"/>
  <c r="DW76" i="2"/>
  <c r="EJ76" i="2"/>
  <c r="EA76" i="2"/>
  <c r="ET76" i="2" s="1"/>
  <c r="EL76" i="2"/>
  <c r="EB76" i="2"/>
  <c r="EV76" i="2"/>
  <c r="EN76" i="2"/>
  <c r="DU76" i="2"/>
  <c r="EH76" i="2"/>
  <c r="EI76" i="2"/>
  <c r="ED76" i="2"/>
  <c r="DZ76" i="2"/>
  <c r="DV76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EC115" i="2"/>
  <c r="EA115" i="2"/>
  <c r="ET115" i="2" s="1"/>
  <c r="DZ115" i="2"/>
  <c r="EM115" i="2"/>
  <c r="EO115" i="2"/>
  <c r="ED115" i="2"/>
  <c r="ES115" i="2"/>
  <c r="EU115" i="2" s="1"/>
  <c r="DV115" i="2"/>
  <c r="EN115" i="2"/>
  <c r="EK115" i="2"/>
  <c r="EQ115" i="2"/>
  <c r="EF115" i="2"/>
  <c r="EV115" i="2"/>
  <c r="EE115" i="2"/>
  <c r="ER115" i="2"/>
  <c r="EG115" i="2"/>
  <c r="EB115" i="2"/>
  <c r="DW115" i="2"/>
  <c r="EL115" i="2"/>
  <c r="EJ115" i="2"/>
  <c r="DU115" i="2"/>
  <c r="DX115" i="2"/>
  <c r="DY115" i="2" s="1"/>
  <c r="EP115" i="2"/>
  <c r="EH115" i="2"/>
  <c r="EI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P149" i="2"/>
  <c r="EN149" i="2"/>
  <c r="DZ149" i="2"/>
  <c r="EH149" i="2"/>
  <c r="EJ149" i="2"/>
  <c r="EA149" i="2"/>
  <c r="ET149" i="2" s="1"/>
  <c r="EB149" i="2"/>
  <c r="DU149" i="2"/>
  <c r="EF149" i="2"/>
  <c r="DX149" i="2"/>
  <c r="DY149" i="2" s="1"/>
  <c r="EI149" i="2"/>
  <c r="DV149" i="2"/>
  <c r="ER149" i="2"/>
  <c r="EV149" i="2"/>
  <c r="ES149" i="2"/>
  <c r="EU149" i="2" s="1"/>
  <c r="EK149" i="2"/>
  <c r="EC149" i="2"/>
  <c r="ED149" i="2"/>
  <c r="EE149" i="2"/>
  <c r="EM149" i="2"/>
  <c r="EQ149" i="2"/>
  <c r="DW149" i="2"/>
  <c r="EG149" i="2"/>
  <c r="EO149" i="2"/>
  <c r="EL149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A15" i="2"/>
  <c r="ET15" i="2" s="1"/>
  <c r="DU15" i="2"/>
  <c r="EN15" i="2"/>
  <c r="EC15" i="2"/>
  <c r="EB15" i="2"/>
  <c r="EG15" i="2"/>
  <c r="EP15" i="2"/>
  <c r="DX15" i="2"/>
  <c r="DY15" i="2" s="1"/>
  <c r="ER15" i="2"/>
  <c r="EL15" i="2"/>
  <c r="ES15" i="2"/>
  <c r="EU15" i="2" s="1"/>
  <c r="EF15" i="2"/>
  <c r="EJ15" i="2"/>
  <c r="EM15" i="2"/>
  <c r="ED15" i="2"/>
  <c r="EQ15" i="2"/>
  <c r="EV15" i="2"/>
  <c r="EO15" i="2"/>
  <c r="DZ15" i="2"/>
  <c r="EI15" i="2"/>
  <c r="EK15" i="2"/>
  <c r="DV15" i="2"/>
  <c r="EE15" i="2"/>
  <c r="EH15" i="2"/>
  <c r="DW15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J109" i="2"/>
  <c r="DX109" i="2"/>
  <c r="DY109" i="2" s="1"/>
  <c r="EI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C85" i="2"/>
  <c r="EG85" i="2"/>
  <c r="DU85" i="2"/>
  <c r="EA85" i="2"/>
  <c r="ET85" i="2" s="1"/>
  <c r="EO85" i="2"/>
  <c r="EB85" i="2"/>
  <c r="EL85" i="2"/>
  <c r="EK85" i="2"/>
  <c r="EH85" i="2"/>
  <c r="ED85" i="2"/>
  <c r="DW85" i="2"/>
  <c r="ER85" i="2"/>
  <c r="EI85" i="2"/>
  <c r="DX85" i="2"/>
  <c r="DY85" i="2" s="1"/>
  <c r="EQ85" i="2"/>
  <c r="EV85" i="2"/>
  <c r="EF85" i="2"/>
  <c r="EE85" i="2"/>
  <c r="EN85" i="2"/>
  <c r="EM85" i="2"/>
  <c r="DZ85" i="2"/>
  <c r="EJ85" i="2"/>
  <c r="DV85" i="2"/>
  <c r="ES85" i="2"/>
  <c r="EU85" i="2" s="1"/>
  <c r="EP85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C116" i="2"/>
  <c r="EM116" i="2"/>
  <c r="EF116" i="2"/>
  <c r="EB116" i="2"/>
  <c r="EA116" i="2"/>
  <c r="ET116" i="2" s="1"/>
  <c r="EL116" i="2"/>
  <c r="DW116" i="2"/>
  <c r="EP116" i="2"/>
  <c r="DZ116" i="2"/>
  <c r="EQ116" i="2"/>
  <c r="ER116" i="2"/>
  <c r="EO116" i="2"/>
  <c r="DU116" i="2"/>
  <c r="DX116" i="2"/>
  <c r="DY116" i="2" s="1"/>
  <c r="EI116" i="2"/>
  <c r="DV116" i="2"/>
  <c r="EE116" i="2"/>
  <c r="EH116" i="2"/>
  <c r="EG116" i="2"/>
  <c r="EV116" i="2"/>
  <c r="EN116" i="2"/>
  <c r="ES116" i="2"/>
  <c r="EU116" i="2" s="1"/>
  <c r="EK116" i="2"/>
  <c r="ED116" i="2"/>
  <c r="EJ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R105" i="2"/>
  <c r="DV105" i="2"/>
  <c r="ED105" i="2"/>
  <c r="EH105" i="2"/>
  <c r="EA105" i="2"/>
  <c r="ET105" i="2" s="1"/>
  <c r="EL105" i="2"/>
  <c r="ES105" i="2"/>
  <c r="EU105" i="2" s="1"/>
  <c r="EN105" i="2"/>
  <c r="EM105" i="2"/>
  <c r="DX105" i="2"/>
  <c r="DY105" i="2" s="1"/>
  <c r="DU105" i="2"/>
  <c r="EV105" i="2"/>
  <c r="EI105" i="2"/>
  <c r="EB105" i="2"/>
  <c r="EG105" i="2"/>
  <c r="DW105" i="2"/>
  <c r="EF105" i="2"/>
  <c r="EK105" i="2"/>
  <c r="EE105" i="2"/>
  <c r="EC105" i="2"/>
  <c r="EO105" i="2"/>
  <c r="EJ105" i="2"/>
  <c r="EQ105" i="2"/>
  <c r="EP105" i="2"/>
  <c r="DZ105" i="2"/>
  <c r="EK87" i="2"/>
  <c r="DX87" i="2"/>
  <c r="DY87" i="2" s="1"/>
  <c r="EH87" i="2"/>
  <c r="EA87" i="2"/>
  <c r="ET87" i="2" s="1"/>
  <c r="EI87" i="2"/>
  <c r="EF87" i="2"/>
  <c r="EV87" i="2"/>
  <c r="DU87" i="2"/>
  <c r="DW87" i="2"/>
  <c r="EG87" i="2"/>
  <c r="EM87" i="2"/>
  <c r="DV87" i="2"/>
  <c r="EC87" i="2"/>
  <c r="EN87" i="2"/>
  <c r="EJ87" i="2"/>
  <c r="EE87" i="2"/>
  <c r="ED87" i="2"/>
  <c r="EL87" i="2"/>
  <c r="EB87" i="2"/>
  <c r="EQ87" i="2"/>
  <c r="ER87" i="2"/>
  <c r="EO87" i="2"/>
  <c r="ES87" i="2"/>
  <c r="EU87" i="2" s="1"/>
  <c r="DZ87" i="2"/>
  <c r="EP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B196" i="2"/>
  <c r="EI196" i="2"/>
  <c r="EH196" i="2"/>
  <c r="DZ196" i="2"/>
  <c r="EC196" i="2"/>
  <c r="DX196" i="2"/>
  <c r="DY196" i="2" s="1"/>
  <c r="EG196" i="2"/>
  <c r="ER196" i="2"/>
  <c r="EA196" i="2"/>
  <c r="ET196" i="2" s="1"/>
  <c r="EQ196" i="2"/>
  <c r="EO196" i="2"/>
  <c r="DW196" i="2"/>
  <c r="ED196" i="2"/>
  <c r="DU196" i="2"/>
  <c r="EK196" i="2"/>
  <c r="EN196" i="2"/>
  <c r="EV196" i="2"/>
  <c r="EE196" i="2"/>
  <c r="ES196" i="2"/>
  <c r="EU196" i="2" s="1"/>
  <c r="EF196" i="2"/>
  <c r="EM196" i="2"/>
  <c r="EP196" i="2"/>
  <c r="EJ196" i="2"/>
  <c r="DV196" i="2"/>
  <c r="EL196" i="2"/>
  <c r="ES110" i="2"/>
  <c r="EU110" i="2" s="1"/>
  <c r="DU110" i="2"/>
  <c r="EE110" i="2"/>
  <c r="DZ110" i="2"/>
  <c r="EK110" i="2"/>
  <c r="EL110" i="2"/>
  <c r="EQ110" i="2"/>
  <c r="EJ110" i="2"/>
  <c r="ED110" i="2"/>
  <c r="EN110" i="2"/>
  <c r="DV110" i="2"/>
  <c r="EF110" i="2"/>
  <c r="EC110" i="2"/>
  <c r="DW110" i="2"/>
  <c r="DX110" i="2"/>
  <c r="DY110" i="2" s="1"/>
  <c r="EM110" i="2"/>
  <c r="EO110" i="2"/>
  <c r="EH110" i="2"/>
  <c r="EB110" i="2"/>
  <c r="EA110" i="2"/>
  <c r="ET110" i="2" s="1"/>
  <c r="EG110" i="2"/>
  <c r="EI110" i="2"/>
  <c r="EP110" i="2"/>
  <c r="EV110" i="2"/>
  <c r="ER110" i="2"/>
  <c r="EJ133" i="2"/>
  <c r="EB133" i="2"/>
  <c r="EO133" i="2"/>
  <c r="EV133" i="2"/>
  <c r="EG133" i="2"/>
  <c r="EQ133" i="2"/>
  <c r="DX133" i="2"/>
  <c r="DY133" i="2" s="1"/>
  <c r="EA133" i="2"/>
  <c r="ET133" i="2" s="1"/>
  <c r="EN133" i="2"/>
  <c r="EE133" i="2"/>
  <c r="EF133" i="2"/>
  <c r="EP133" i="2"/>
  <c r="EI133" i="2"/>
  <c r="EC133" i="2"/>
  <c r="EH133" i="2"/>
  <c r="ES133" i="2"/>
  <c r="EU133" i="2" s="1"/>
  <c r="DV133" i="2"/>
  <c r="DU133" i="2"/>
  <c r="EK133" i="2"/>
  <c r="ED133" i="2"/>
  <c r="ER133" i="2"/>
  <c r="DW133" i="2"/>
  <c r="DZ133" i="2"/>
  <c r="EL133" i="2"/>
  <c r="EM133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ED54" i="2"/>
  <c r="EV54" i="2"/>
  <c r="EN54" i="2"/>
  <c r="DX54" i="2"/>
  <c r="DY54" i="2" s="1"/>
  <c r="DU54" i="2"/>
  <c r="EE54" i="2"/>
  <c r="EC54" i="2"/>
  <c r="EO54" i="2"/>
  <c r="EB54" i="2"/>
  <c r="EM54" i="2"/>
  <c r="ES54" i="2"/>
  <c r="EU54" i="2" s="1"/>
  <c r="EI54" i="2"/>
  <c r="ER54" i="2"/>
  <c r="EH54" i="2"/>
  <c r="EF54" i="2"/>
  <c r="EQ54" i="2"/>
  <c r="EG54" i="2"/>
  <c r="EK54" i="2"/>
  <c r="EL54" i="2"/>
  <c r="EJ54" i="2"/>
  <c r="DW54" i="2"/>
  <c r="EA54" i="2"/>
  <c r="ET54" i="2" s="1"/>
  <c r="DV54" i="2"/>
  <c r="DZ54" i="2"/>
  <c r="EP54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P158" i="2"/>
  <c r="ED158" i="2"/>
  <c r="EM158" i="2"/>
  <c r="DW158" i="2"/>
  <c r="EO158" i="2"/>
  <c r="EJ158" i="2"/>
  <c r="EF158" i="2"/>
  <c r="EE158" i="2"/>
  <c r="EB158" i="2"/>
  <c r="EG158" i="2"/>
  <c r="EK158" i="2"/>
  <c r="EL158" i="2"/>
  <c r="EH158" i="2"/>
  <c r="ER158" i="2"/>
  <c r="EI158" i="2"/>
  <c r="ES158" i="2"/>
  <c r="EU158" i="2" s="1"/>
  <c r="DV158" i="2"/>
  <c r="EQ158" i="2"/>
  <c r="EA158" i="2"/>
  <c r="ET158" i="2" s="1"/>
  <c r="EN158" i="2"/>
  <c r="DX158" i="2"/>
  <c r="DY158" i="2" s="1"/>
  <c r="EV158" i="2"/>
  <c r="EC158" i="2"/>
  <c r="DU158" i="2"/>
  <c r="DZ158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K93" i="2"/>
  <c r="EA93" i="2"/>
  <c r="ET93" i="2" s="1"/>
  <c r="EM93" i="2"/>
  <c r="ED93" i="2"/>
  <c r="DU93" i="2"/>
  <c r="EH93" i="2"/>
  <c r="DZ93" i="2"/>
  <c r="DX93" i="2"/>
  <c r="DY93" i="2" s="1"/>
  <c r="EQ93" i="2"/>
  <c r="EV93" i="2"/>
  <c r="EL93" i="2"/>
  <c r="EC93" i="2"/>
  <c r="EI93" i="2"/>
  <c r="EN93" i="2"/>
  <c r="EE93" i="2"/>
  <c r="EJ93" i="2"/>
  <c r="EO93" i="2"/>
  <c r="EP93" i="2"/>
  <c r="EG93" i="2"/>
  <c r="EB93" i="2"/>
  <c r="EF93" i="2"/>
  <c r="ES93" i="2"/>
  <c r="EU93" i="2" s="1"/>
  <c r="ER93" i="2"/>
  <c r="DV93" i="2"/>
  <c r="DW9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P36" i="2"/>
  <c r="EV36" i="2"/>
  <c r="EE36" i="2"/>
  <c r="EQ36" i="2"/>
  <c r="EK36" i="2"/>
  <c r="EO36" i="2"/>
  <c r="DU36" i="2"/>
  <c r="ED36" i="2"/>
  <c r="DW36" i="2"/>
  <c r="EL36" i="2"/>
  <c r="EC36" i="2"/>
  <c r="EH36" i="2"/>
  <c r="EJ36" i="2"/>
  <c r="EG36" i="2"/>
  <c r="DX36" i="2"/>
  <c r="DY36" i="2" s="1"/>
  <c r="EI36" i="2"/>
  <c r="EB36" i="2"/>
  <c r="DV36" i="2"/>
  <c r="ER36" i="2"/>
  <c r="EN36" i="2"/>
  <c r="EA36" i="2"/>
  <c r="ET36" i="2" s="1"/>
  <c r="ES36" i="2"/>
  <c r="EU36" i="2" s="1"/>
  <c r="EF36" i="2"/>
  <c r="EM36" i="2"/>
  <c r="DZ3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DX151" i="2"/>
  <c r="DY151" i="2" s="1"/>
  <c r="EE151" i="2"/>
  <c r="DW151" i="2"/>
  <c r="EJ151" i="2"/>
  <c r="EV151" i="2"/>
  <c r="EL151" i="2"/>
  <c r="ES151" i="2"/>
  <c r="EU151" i="2" s="1"/>
  <c r="EF151" i="2"/>
  <c r="EK151" i="2"/>
  <c r="EM151" i="2"/>
  <c r="EB151" i="2"/>
  <c r="DU151" i="2"/>
  <c r="ER151" i="2"/>
  <c r="EO151" i="2"/>
  <c r="EA151" i="2"/>
  <c r="ET151" i="2" s="1"/>
  <c r="EG151" i="2"/>
  <c r="EQ151" i="2"/>
  <c r="EN151" i="2"/>
  <c r="EH151" i="2"/>
  <c r="EC151" i="2"/>
  <c r="DV151" i="2"/>
  <c r="ED151" i="2"/>
  <c r="EI151" i="2"/>
  <c r="EP151" i="2"/>
  <c r="DZ151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P32" i="2"/>
  <c r="DX32" i="2"/>
  <c r="DY32" i="2" s="1"/>
  <c r="EL32" i="2"/>
  <c r="EM32" i="2"/>
  <c r="EC32" i="2"/>
  <c r="EF32" i="2"/>
  <c r="DV32" i="2"/>
  <c r="ED32" i="2"/>
  <c r="EB32" i="2"/>
  <c r="EI32" i="2"/>
  <c r="EA32" i="2"/>
  <c r="ET32" i="2" s="1"/>
  <c r="EO32" i="2"/>
  <c r="ES32" i="2"/>
  <c r="EU32" i="2" s="1"/>
  <c r="EG32" i="2"/>
  <c r="EH32" i="2"/>
  <c r="DU32" i="2"/>
  <c r="DZ32" i="2"/>
  <c r="EN32" i="2"/>
  <c r="EK32" i="2"/>
  <c r="ER32" i="2"/>
  <c r="EJ32" i="2"/>
  <c r="DW32" i="2"/>
  <c r="EE32" i="2"/>
  <c r="EQ32" i="2"/>
  <c r="EV32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P134" i="2"/>
  <c r="EB134" i="2"/>
  <c r="EG134" i="2"/>
  <c r="DU134" i="2"/>
  <c r="ED134" i="2"/>
  <c r="EA134" i="2"/>
  <c r="ET134" i="2" s="1"/>
  <c r="EO134" i="2"/>
  <c r="ES134" i="2"/>
  <c r="EU134" i="2" s="1"/>
  <c r="EM134" i="2"/>
  <c r="DZ134" i="2"/>
  <c r="EH134" i="2"/>
  <c r="EQ134" i="2"/>
  <c r="EJ134" i="2"/>
  <c r="EF134" i="2"/>
  <c r="ER134" i="2"/>
  <c r="EI134" i="2"/>
  <c r="DW134" i="2"/>
  <c r="EK134" i="2"/>
  <c r="EC134" i="2"/>
  <c r="EV134" i="2"/>
  <c r="DX134" i="2"/>
  <c r="DY134" i="2" s="1"/>
  <c r="EN134" i="2"/>
  <c r="DV134" i="2"/>
  <c r="EE134" i="2"/>
  <c r="EL134" i="2"/>
  <c r="EV172" i="2"/>
  <c r="EQ172" i="2"/>
  <c r="EE172" i="2"/>
  <c r="EJ172" i="2"/>
  <c r="EB172" i="2"/>
  <c r="EO172" i="2"/>
  <c r="ED172" i="2"/>
  <c r="DU172" i="2"/>
  <c r="DV172" i="2"/>
  <c r="ES172" i="2"/>
  <c r="EU172" i="2" s="1"/>
  <c r="EL172" i="2"/>
  <c r="EK172" i="2"/>
  <c r="EH172" i="2"/>
  <c r="EC172" i="2"/>
  <c r="EM172" i="2"/>
  <c r="ER172" i="2"/>
  <c r="EN172" i="2"/>
  <c r="DX172" i="2"/>
  <c r="DY172" i="2" s="1"/>
  <c r="DW172" i="2"/>
  <c r="EA172" i="2"/>
  <c r="ET172" i="2" s="1"/>
  <c r="EF172" i="2"/>
  <c r="EG172" i="2"/>
  <c r="EI172" i="2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EQ21" i="2"/>
  <c r="DV21" i="2"/>
  <c r="EK21" i="2"/>
  <c r="EA21" i="2"/>
  <c r="ET21" i="2" s="1"/>
  <c r="EI21" i="2"/>
  <c r="ED21" i="2"/>
  <c r="EF21" i="2"/>
  <c r="EC21" i="2"/>
  <c r="EM21" i="2"/>
  <c r="EB21" i="2"/>
  <c r="EE21" i="2"/>
  <c r="ES21" i="2"/>
  <c r="EU21" i="2" s="1"/>
  <c r="EH21" i="2"/>
  <c r="ER21" i="2"/>
  <c r="EN21" i="2"/>
  <c r="DX21" i="2"/>
  <c r="DY21" i="2" s="1"/>
  <c r="EG21" i="2"/>
  <c r="DU21" i="2"/>
  <c r="DW21" i="2"/>
  <c r="EJ21" i="2"/>
  <c r="EL21" i="2"/>
  <c r="EO21" i="2"/>
  <c r="DZ21" i="2"/>
  <c r="EP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62" i="2"/>
  <c r="DV162" i="2"/>
  <c r="EK162" i="2"/>
  <c r="EE162" i="2"/>
  <c r="EQ162" i="2"/>
  <c r="EF162" i="2"/>
  <c r="DX162" i="2"/>
  <c r="DY162" i="2" s="1"/>
  <c r="EV162" i="2"/>
  <c r="DU162" i="2"/>
  <c r="EJ162" i="2"/>
  <c r="ER162" i="2"/>
  <c r="EL162" i="2"/>
  <c r="DW162" i="2"/>
  <c r="EP162" i="2"/>
  <c r="EC162" i="2"/>
  <c r="EH162" i="2"/>
  <c r="ES162" i="2"/>
  <c r="EU162" i="2" s="1"/>
  <c r="EG162" i="2"/>
  <c r="EN162" i="2"/>
  <c r="EA162" i="2"/>
  <c r="ET162" i="2" s="1"/>
  <c r="EB162" i="2"/>
  <c r="ED162" i="2"/>
  <c r="EM162" i="2"/>
  <c r="EO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K137" i="2"/>
  <c r="ED137" i="2"/>
  <c r="EV137" i="2"/>
  <c r="ES137" i="2"/>
  <c r="EU137" i="2" s="1"/>
  <c r="EG137" i="2"/>
  <c r="EO137" i="2"/>
  <c r="EN137" i="2"/>
  <c r="EJ137" i="2"/>
  <c r="EA137" i="2"/>
  <c r="ET137" i="2" s="1"/>
  <c r="EE137" i="2"/>
  <c r="EC137" i="2"/>
  <c r="EB137" i="2"/>
  <c r="EP137" i="2"/>
  <c r="DZ137" i="2"/>
  <c r="EI137" i="2"/>
  <c r="EM137" i="2"/>
  <c r="EH137" i="2"/>
  <c r="DW137" i="2"/>
  <c r="EL137" i="2"/>
  <c r="DX137" i="2"/>
  <c r="DY137" i="2" s="1"/>
  <c r="EF137" i="2"/>
  <c r="DU137" i="2"/>
  <c r="ER137" i="2"/>
  <c r="EQ137" i="2"/>
  <c r="DV137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S104" i="2"/>
  <c r="EU104" i="2" s="1"/>
  <c r="EH104" i="2"/>
  <c r="EJ104" i="2"/>
  <c r="EN104" i="2"/>
  <c r="EM104" i="2"/>
  <c r="ER104" i="2"/>
  <c r="DW104" i="2"/>
  <c r="DX104" i="2"/>
  <c r="DY104" i="2" s="1"/>
  <c r="DV104" i="2"/>
  <c r="ED104" i="2"/>
  <c r="EQ104" i="2"/>
  <c r="EF104" i="2"/>
  <c r="EC104" i="2"/>
  <c r="EL104" i="2"/>
  <c r="EO104" i="2"/>
  <c r="EK104" i="2"/>
  <c r="EG104" i="2"/>
  <c r="EV104" i="2"/>
  <c r="EE104" i="2"/>
  <c r="EA104" i="2"/>
  <c r="ET104" i="2" s="1"/>
  <c r="DU104" i="2"/>
  <c r="EB104" i="2"/>
  <c r="EI104" i="2"/>
  <c r="EP104" i="2"/>
  <c r="DZ104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O27" i="2"/>
  <c r="EB27" i="2"/>
  <c r="EI27" i="2"/>
  <c r="DZ27" i="2"/>
  <c r="EF27" i="2"/>
  <c r="ES27" i="2"/>
  <c r="EU27" i="2" s="1"/>
  <c r="ER27" i="2"/>
  <c r="DU27" i="2"/>
  <c r="EK27" i="2"/>
  <c r="DW27" i="2"/>
  <c r="EJ27" i="2"/>
  <c r="EE27" i="2"/>
  <c r="DV27" i="2"/>
  <c r="EG27" i="2"/>
  <c r="EL27" i="2"/>
  <c r="ED27" i="2"/>
  <c r="EP27" i="2"/>
  <c r="DX27" i="2"/>
  <c r="DY27" i="2" s="1"/>
  <c r="EN27" i="2"/>
  <c r="EA27" i="2"/>
  <c r="ET27" i="2" s="1"/>
  <c r="EM27" i="2"/>
  <c r="EH27" i="2"/>
  <c r="EQ27" i="2"/>
  <c r="EC27" i="2"/>
  <c r="EV27" i="2"/>
  <c r="EV46" i="2"/>
  <c r="EO46" i="2"/>
  <c r="EH46" i="2"/>
  <c r="DZ46" i="2"/>
  <c r="ED46" i="2"/>
  <c r="ER46" i="2"/>
  <c r="EM46" i="2"/>
  <c r="DX46" i="2"/>
  <c r="DY46" i="2" s="1"/>
  <c r="DW46" i="2"/>
  <c r="EE46" i="2"/>
  <c r="EC46" i="2"/>
  <c r="EF46" i="2"/>
  <c r="EN46" i="2"/>
  <c r="EJ46" i="2"/>
  <c r="EQ46" i="2"/>
  <c r="EB46" i="2"/>
  <c r="EG46" i="2"/>
  <c r="ES46" i="2"/>
  <c r="EU46" i="2" s="1"/>
  <c r="EL46" i="2"/>
  <c r="EA46" i="2"/>
  <c r="ET46" i="2" s="1"/>
  <c r="EI46" i="2"/>
  <c r="DU46" i="2"/>
  <c r="EK46" i="2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V33" i="2"/>
  <c r="EJ33" i="2"/>
  <c r="EF33" i="2"/>
  <c r="DV33" i="2"/>
  <c r="EA33" i="2"/>
  <c r="ET33" i="2" s="1"/>
  <c r="ER33" i="2"/>
  <c r="EG33" i="2"/>
  <c r="EN33" i="2"/>
  <c r="EP33" i="2"/>
  <c r="EB33" i="2"/>
  <c r="DW33" i="2"/>
  <c r="EC33" i="2"/>
  <c r="EH33" i="2"/>
  <c r="EE33" i="2"/>
  <c r="ED33" i="2"/>
  <c r="EQ33" i="2"/>
  <c r="EI33" i="2"/>
  <c r="DZ33" i="2"/>
  <c r="EO33" i="2"/>
  <c r="DX33" i="2"/>
  <c r="DY33" i="2" s="1"/>
  <c r="ES33" i="2"/>
  <c r="EU33" i="2" s="1"/>
  <c r="EK33" i="2"/>
  <c r="EM33" i="2"/>
  <c r="EL33" i="2"/>
  <c r="DU33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R56" i="2"/>
  <c r="EH56" i="2"/>
  <c r="DV56" i="2"/>
  <c r="ED56" i="2"/>
  <c r="ES56" i="2"/>
  <c r="EU56" i="2" s="1"/>
  <c r="EN56" i="2"/>
  <c r="EB56" i="2"/>
  <c r="EQ56" i="2"/>
  <c r="EV56" i="2"/>
  <c r="DU56" i="2"/>
  <c r="EL56" i="2"/>
  <c r="EO56" i="2"/>
  <c r="EK56" i="2"/>
  <c r="EM56" i="2"/>
  <c r="DW56" i="2"/>
  <c r="EC56" i="2"/>
  <c r="EE56" i="2"/>
  <c r="EP56" i="2"/>
  <c r="DX56" i="2"/>
  <c r="DY56" i="2" s="1"/>
  <c r="EA56" i="2"/>
  <c r="ET56" i="2" s="1"/>
  <c r="EI56" i="2"/>
  <c r="EG56" i="2"/>
  <c r="EJ56" i="2"/>
  <c r="EF56" i="2"/>
  <c r="DZ56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DV140" i="2"/>
  <c r="EL140" i="2"/>
  <c r="EH140" i="2"/>
  <c r="EA140" i="2"/>
  <c r="ET140" i="2" s="1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DX118" i="2"/>
  <c r="DY118" i="2" s="1"/>
  <c r="EV118" i="2"/>
  <c r="EG118" i="2"/>
  <c r="EJ118" i="2"/>
  <c r="EI118" i="2"/>
  <c r="EM118" i="2"/>
  <c r="ED118" i="2"/>
  <c r="EH118" i="2"/>
  <c r="EQ118" i="2"/>
  <c r="ER118" i="2"/>
  <c r="DW118" i="2"/>
  <c r="EE118" i="2"/>
  <c r="EB118" i="2"/>
  <c r="EF118" i="2"/>
  <c r="EN118" i="2"/>
  <c r="EK118" i="2"/>
  <c r="DU118" i="2"/>
  <c r="EC118" i="2"/>
  <c r="EO118" i="2"/>
  <c r="EA118" i="2"/>
  <c r="ET118" i="2" s="1"/>
  <c r="DV118" i="2"/>
  <c r="ES118" i="2"/>
  <c r="EU118" i="2" s="1"/>
  <c r="EL118" i="2"/>
  <c r="DZ118" i="2"/>
  <c r="EP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W4" i="2"/>
  <c r="DX4" i="2" s="1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P169" i="2" l="1"/>
  <c r="EF169" i="2"/>
  <c r="EG169" i="2"/>
  <c r="EE169" i="2"/>
  <c r="EI169" i="2"/>
  <c r="DV169" i="2"/>
  <c r="EQ169" i="2"/>
  <c r="EA169" i="2"/>
  <c r="ET169" i="2" s="1"/>
  <c r="EM169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L129" i="2"/>
  <c r="EQ129" i="2"/>
  <c r="EA129" i="2"/>
  <c r="ET129" i="2" s="1"/>
  <c r="EJ129" i="2"/>
  <c r="EE129" i="2"/>
  <c r="EO129" i="2"/>
  <c r="EK129" i="2"/>
  <c r="DV129" i="2"/>
  <c r="DU40" i="2"/>
  <c r="DZ40" i="2"/>
  <c r="EP40" i="2"/>
  <c r="EL40" i="2"/>
  <c r="EO40" i="2"/>
  <c r="EA40" i="2"/>
  <c r="ET40" i="2" s="1"/>
  <c r="EK40" i="2"/>
  <c r="EE40" i="2"/>
  <c r="EC142" i="2"/>
  <c r="ED142" i="2"/>
  <c r="EA142" i="2"/>
  <c r="ET142" i="2" s="1"/>
  <c r="EO142" i="2"/>
  <c r="EI142" i="2"/>
  <c r="EL142" i="2"/>
  <c r="EH142" i="2"/>
  <c r="EN142" i="2"/>
  <c r="EN51" i="2"/>
  <c r="EF51" i="2"/>
  <c r="ER51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EC198" i="2"/>
  <c r="EH198" i="2"/>
  <c r="EB198" i="2"/>
  <c r="EM198" i="2"/>
  <c r="ED198" i="2"/>
  <c r="EF198" i="2"/>
  <c r="EE19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BI10" i="2"/>
  <c r="AQ10" i="2" s="1"/>
  <c r="BI11" i="2"/>
  <c r="AQ11" i="2" s="1"/>
  <c r="IY9" i="2"/>
  <c r="EY19" i="2"/>
  <c r="EY18" i="2"/>
  <c r="M34" i="9" s="1"/>
  <c r="EY20" i="2"/>
  <c r="L16" i="9"/>
  <c r="IO12" i="2"/>
  <c r="IO7" i="2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BI8" i="2" l="1"/>
  <c r="AQ8" i="2" s="1"/>
  <c r="BI7" i="2"/>
  <c r="AQ7" i="2" s="1"/>
  <c r="O4" i="9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AQ3" i="2"/>
  <c r="HR11" i="2"/>
  <c r="HR4" i="2"/>
  <c r="HR8" i="2"/>
  <c r="HR10" i="2"/>
  <c r="HR12" i="2"/>
  <c r="HR3" i="2"/>
  <c r="HR2" i="2"/>
  <c r="HU29" i="2" s="1"/>
  <c r="A11" i="1"/>
  <c r="A14" i="1" s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P5" i="9" s="1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3" i="2" l="1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4" i="2"/>
  <c r="AL14" i="2"/>
  <c r="A15" i="1"/>
  <c r="A16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9" i="2"/>
  <c r="BJ11" i="2"/>
  <c r="BJ13" i="2"/>
  <c r="BJ12" i="2"/>
  <c r="BJ10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7" i="2" l="1"/>
  <c r="BJ8" i="2"/>
  <c r="B23" i="9"/>
  <c r="BJ4" i="2"/>
  <c r="BM9" i="2"/>
  <c r="CT11" i="2" s="1"/>
  <c r="CT19" i="2" s="1"/>
  <c r="BJ2" i="2"/>
  <c r="BJ6" i="2"/>
  <c r="BJ3" i="2"/>
  <c r="BJ5" i="2"/>
  <c r="BM3" i="2" s="1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CY7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3" i="2" s="1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B22" i="9"/>
  <c r="D24" i="9"/>
  <c r="HY4" i="2" l="1"/>
  <c r="Y33" i="8" s="1"/>
  <c r="CT3" i="2"/>
  <c r="B16" i="5" s="1"/>
  <c r="EJ3" i="2"/>
  <c r="EL3" i="2" s="1"/>
  <c r="Q3" i="9" s="1"/>
  <c r="ED3" i="2"/>
  <c r="EG3" i="2" s="1"/>
  <c r="EI3" i="2" s="1"/>
  <c r="EC3" i="2"/>
  <c r="EF3" i="2" s="1"/>
  <c r="EK3" i="2"/>
  <c r="EM3" i="2" s="1"/>
  <c r="R3" i="9" s="1"/>
  <c r="ES3" i="2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R12" i="9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Q13" i="9"/>
  <c r="Q12" i="9"/>
  <c r="EQ4" i="2"/>
  <c r="R13" i="9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BM16" i="2"/>
  <c r="B22" i="5" s="1"/>
  <c r="B24" i="5" s="1"/>
  <c r="BM7" i="2"/>
  <c r="BM14" i="2" s="1"/>
  <c r="BM5" i="2"/>
  <c r="BM12" i="2" s="1"/>
  <c r="BM6" i="2"/>
  <c r="BM4" i="2"/>
  <c r="BM11" i="2" s="1"/>
  <c r="EH3" i="2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Q4" i="9" l="1"/>
  <c r="EN3" i="2"/>
  <c r="EO3" i="2"/>
  <c r="EJ2" i="2"/>
  <c r="EL2" i="2" s="1"/>
  <c r="EN2" i="2" s="1"/>
  <c r="ES2" i="2"/>
  <c r="EK2" i="2"/>
  <c r="EM2" i="2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5" i="2"/>
  <c r="BM31" i="8"/>
  <c r="BL31" i="8"/>
  <c r="CT20" i="2"/>
  <c r="CT23" i="2" s="1"/>
  <c r="CU12" i="2"/>
  <c r="CU4" i="2"/>
  <c r="CB13" i="2"/>
  <c r="CU23" i="2"/>
  <c r="CU24" i="2"/>
  <c r="CU21" i="2"/>
  <c r="CU22" i="2"/>
  <c r="CU13" i="2"/>
  <c r="CU5" i="2"/>
  <c r="EV6" i="2"/>
  <c r="CT4" i="2"/>
  <c r="B17" i="5" s="1"/>
  <c r="BB4" i="2" s="1"/>
  <c r="CT12" i="2"/>
  <c r="BM13" i="2"/>
  <c r="CT7" i="2"/>
  <c r="B20" i="5" s="1"/>
  <c r="BB7" i="2" s="1"/>
  <c r="CT15" i="2"/>
  <c r="B23" i="5"/>
  <c r="BB8" i="2"/>
  <c r="CT13" i="2"/>
  <c r="CT5" i="2"/>
  <c r="B18" i="5" s="1"/>
  <c r="BB5" i="2" s="1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Q5" i="9" l="1"/>
  <c r="EN4" i="2"/>
  <c r="R5" i="9"/>
  <c r="EO4" i="2"/>
  <c r="EO2" i="2"/>
  <c r="EY34" i="2"/>
  <c r="EY35" i="2" s="1"/>
  <c r="ET3" i="2" s="1"/>
  <c r="EV13" i="2"/>
  <c r="R11" i="9"/>
  <c r="Q34" i="9"/>
  <c r="Q11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2" i="2" l="1"/>
  <c r="ET4" i="2"/>
  <c r="ER4" i="2" s="1"/>
  <c r="A20" i="2"/>
  <c r="AL20" i="2"/>
  <c r="A21" i="1"/>
  <c r="GW14" i="2"/>
  <c r="GW12" i="2"/>
  <c r="GW13" i="2" s="1"/>
  <c r="GW10" i="2"/>
  <c r="AA36" i="8"/>
  <c r="AA37" i="8" s="1"/>
  <c r="ER3" i="2" l="1"/>
  <c r="EY2" i="2"/>
  <c r="EU3" i="2" s="1"/>
  <c r="ER2" i="2"/>
  <c r="EY31" i="2" s="1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V3" i="2" l="1"/>
  <c r="EV4" i="2"/>
  <c r="EV2" i="2"/>
  <c r="EY3" i="2" s="1"/>
  <c r="EY4" i="2" s="1"/>
  <c r="EY11" i="2" s="1"/>
  <c r="EY9" i="2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27" i="2" l="1"/>
  <c r="B12" i="9"/>
  <c r="EY7" i="2"/>
  <c r="EY14" i="2" s="1"/>
  <c r="EY24" i="2"/>
  <c r="B11" i="9"/>
  <c r="EY5" i="2"/>
  <c r="EY12" i="2" s="1"/>
  <c r="EY6" i="2"/>
  <c r="EY13" i="2" s="1"/>
  <c r="A24" i="1"/>
  <c r="A23" i="2"/>
  <c r="AL23" i="2"/>
  <c r="GW21" i="2"/>
  <c r="Q7" i="9" l="1"/>
  <c r="Q8" i="9"/>
  <c r="R7" i="9"/>
  <c r="R8" i="9"/>
  <c r="R10" i="9"/>
  <c r="R6" i="9"/>
  <c r="Q10" i="9"/>
  <c r="Q6" i="9"/>
  <c r="EY30" i="2"/>
  <c r="B15" i="9"/>
  <c r="R9" i="9"/>
  <c r="Q9" i="9"/>
  <c r="B14" i="9"/>
  <c r="B13" i="9"/>
  <c r="EY28" i="2"/>
  <c r="EY29" i="2"/>
  <c r="L39" i="8"/>
  <c r="GW19" i="2"/>
  <c r="GW20" i="2" s="1"/>
  <c r="AL24" i="2"/>
  <c r="A24" i="2"/>
  <c r="A25" i="1"/>
  <c r="GW17" i="2"/>
  <c r="GZ2" i="2"/>
  <c r="GZ3" i="2" s="1"/>
  <c r="A26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AJ12" i="2"/>
  <c r="AJ23" i="2"/>
  <c r="CY4" i="2"/>
  <c r="AJ11" i="2"/>
  <c r="CY18" i="2"/>
  <c r="H170" i="5"/>
  <c r="CY14" i="2"/>
  <c r="CY25" i="2"/>
  <c r="G169" i="5"/>
  <c r="CY10" i="2"/>
  <c r="J122" i="5"/>
  <c r="H104" i="5"/>
  <c r="E176" i="5"/>
  <c r="F51" i="5"/>
  <c r="H49" i="5"/>
  <c r="AJ9" i="2"/>
  <c r="CY23" i="2"/>
  <c r="J129" i="5"/>
  <c r="G141" i="5"/>
  <c r="I201" i="5"/>
  <c r="E56" i="5"/>
  <c r="G170" i="5"/>
  <c r="I145" i="5"/>
  <c r="AJ8" i="2"/>
  <c r="E43" i="5"/>
  <c r="I188" i="5"/>
  <c r="J176" i="5"/>
  <c r="J96" i="5"/>
  <c r="F64" i="5"/>
  <c r="AJ19" i="2"/>
  <c r="CY6" i="2"/>
  <c r="J105" i="5"/>
  <c r="J163" i="5"/>
  <c r="E72" i="5"/>
  <c r="H134" i="5"/>
  <c r="AJ16" i="2"/>
  <c r="J40" i="5"/>
  <c r="J107" i="5"/>
  <c r="F201" i="5"/>
  <c r="J178" i="5"/>
  <c r="G89" i="5"/>
  <c r="F44" i="5"/>
  <c r="E63" i="5"/>
  <c r="I128" i="5"/>
  <c r="J55" i="5"/>
  <c r="G57" i="5"/>
  <c r="G97" i="5"/>
  <c r="BB3" i="2"/>
  <c r="I193" i="5"/>
  <c r="E185" i="5"/>
  <c r="J91" i="5"/>
  <c r="F60" i="5"/>
  <c r="I162" i="5"/>
  <c r="I80" i="5"/>
  <c r="F70" i="5"/>
  <c r="J48" i="5"/>
  <c r="H77" i="5"/>
  <c r="J18" i="5"/>
  <c r="J175" i="5"/>
  <c r="CY12" i="2"/>
  <c r="F173" i="5"/>
  <c r="J134" i="5"/>
  <c r="CY21" i="2"/>
  <c r="I66" i="5"/>
  <c r="J189" i="5"/>
  <c r="G144" i="5"/>
  <c r="J79" i="5"/>
  <c r="G151" i="5"/>
  <c r="H160" i="5"/>
  <c r="H153" i="5"/>
  <c r="F91" i="5"/>
  <c r="G106" i="5"/>
  <c r="H63" i="5"/>
  <c r="E103" i="5"/>
  <c r="J150" i="5"/>
  <c r="AJ17" i="2"/>
  <c r="AJ15" i="2"/>
  <c r="AJ4" i="2"/>
  <c r="H172" i="5"/>
  <c r="E178" i="5"/>
  <c r="F35" i="5"/>
  <c r="E80" i="5"/>
  <c r="J72" i="5"/>
  <c r="I196" i="5"/>
  <c r="G167" i="5"/>
  <c r="J113" i="5"/>
  <c r="I112" i="5"/>
  <c r="H69" i="5"/>
  <c r="E167" i="5"/>
  <c r="H60" i="5"/>
  <c r="F190" i="5"/>
  <c r="I181" i="5"/>
  <c r="J21" i="5"/>
  <c r="F73" i="5"/>
  <c r="H120" i="5"/>
  <c r="I58" i="5"/>
  <c r="F128" i="5"/>
  <c r="F143" i="5"/>
  <c r="E195" i="5"/>
  <c r="J43" i="5"/>
  <c r="J23" i="5"/>
  <c r="E107" i="5"/>
  <c r="H152" i="5"/>
  <c r="I115" i="5"/>
  <c r="J169" i="5"/>
  <c r="I54" i="5"/>
  <c r="J193" i="5"/>
  <c r="F135" i="5"/>
  <c r="F49" i="5"/>
  <c r="J118" i="5"/>
  <c r="H107" i="5"/>
  <c r="H71" i="5"/>
  <c r="I195" i="5"/>
  <c r="E52" i="5"/>
  <c r="H187" i="5"/>
  <c r="E93" i="5"/>
  <c r="H99" i="5"/>
  <c r="E183" i="5"/>
  <c r="E164" i="5"/>
  <c r="E198" i="5"/>
  <c r="I47" i="5"/>
  <c r="J125" i="5"/>
  <c r="G32" i="5"/>
  <c r="H34" i="5"/>
  <c r="F163" i="5"/>
  <c r="E113" i="5"/>
  <c r="E110" i="5"/>
  <c r="J130" i="5"/>
  <c r="H75" i="5"/>
  <c r="J126" i="5"/>
  <c r="J198" i="5"/>
  <c r="G31" i="5"/>
  <c r="H138" i="5"/>
  <c r="I100" i="5"/>
  <c r="E135" i="5"/>
  <c r="G160" i="5"/>
  <c r="E51" i="5"/>
  <c r="H113" i="5"/>
  <c r="E118" i="5"/>
  <c r="F69" i="5"/>
  <c r="I67" i="5"/>
  <c r="CY2" i="2"/>
  <c r="G49" i="5"/>
  <c r="G134" i="5"/>
  <c r="E90" i="5"/>
  <c r="J191" i="5"/>
  <c r="J26" i="5"/>
  <c r="H146" i="5"/>
  <c r="F87" i="5"/>
  <c r="E152" i="5"/>
  <c r="J104" i="5"/>
  <c r="E106" i="5"/>
  <c r="H165" i="5"/>
  <c r="G84" i="5"/>
  <c r="E134" i="5"/>
  <c r="E48" i="5"/>
  <c r="J89" i="5"/>
  <c r="AJ22" i="2"/>
  <c r="H97" i="5"/>
  <c r="H123" i="5"/>
  <c r="G92" i="5"/>
  <c r="I61" i="5"/>
  <c r="E64" i="5"/>
  <c r="H106" i="5"/>
  <c r="I183" i="5"/>
  <c r="I187" i="5"/>
  <c r="E122" i="5"/>
  <c r="J103" i="5"/>
  <c r="I87" i="5"/>
  <c r="J19" i="5"/>
  <c r="E37" i="5"/>
  <c r="F158" i="5"/>
  <c r="F136" i="5"/>
  <c r="F45" i="5"/>
  <c r="F126" i="5"/>
  <c r="J37" i="5"/>
  <c r="I124" i="5"/>
  <c r="F177" i="5"/>
  <c r="J139" i="5"/>
  <c r="J188" i="5"/>
  <c r="F68" i="5"/>
  <c r="I197" i="5"/>
  <c r="F57" i="5"/>
  <c r="I184" i="5"/>
  <c r="G88" i="5"/>
  <c r="F99" i="5"/>
  <c r="J100" i="5"/>
  <c r="G124" i="5"/>
  <c r="J50" i="5"/>
  <c r="J165" i="5"/>
  <c r="E163" i="5"/>
  <c r="J25" i="5"/>
  <c r="J120" i="5"/>
  <c r="E82" i="5"/>
  <c r="G122" i="5"/>
  <c r="CY20" i="2"/>
  <c r="G83" i="5"/>
  <c r="J70" i="5"/>
  <c r="G178" i="5"/>
  <c r="H199" i="5"/>
  <c r="E187" i="5"/>
  <c r="I108" i="5"/>
  <c r="I49" i="5"/>
  <c r="F61" i="5"/>
  <c r="H32" i="5"/>
  <c r="H51" i="5"/>
  <c r="H190" i="5"/>
  <c r="F40" i="5"/>
  <c r="G103" i="5"/>
  <c r="J136" i="5"/>
  <c r="H38" i="5"/>
  <c r="J127" i="5"/>
  <c r="CY22" i="2"/>
  <c r="I99" i="5"/>
  <c r="J141" i="5"/>
  <c r="J54" i="5"/>
  <c r="I106" i="5"/>
  <c r="AJ2" i="2"/>
  <c r="F198" i="5"/>
  <c r="E42" i="5"/>
  <c r="E191" i="5"/>
  <c r="I78" i="5"/>
  <c r="G168" i="5"/>
  <c r="I30" i="5"/>
  <c r="I63" i="5"/>
  <c r="J32" i="5"/>
  <c r="E40" i="5"/>
  <c r="E125" i="5"/>
  <c r="F106" i="5"/>
  <c r="F159" i="5"/>
  <c r="J158" i="5"/>
  <c r="G75" i="5"/>
  <c r="CY8" i="2"/>
  <c r="I113" i="5"/>
  <c r="I70" i="5"/>
  <c r="F153" i="5"/>
  <c r="G177" i="5"/>
  <c r="H182" i="5"/>
  <c r="H110" i="5"/>
  <c r="I83" i="5"/>
  <c r="F74" i="5"/>
  <c r="F160" i="5"/>
  <c r="I190" i="5"/>
  <c r="G195" i="5"/>
  <c r="J9" i="5"/>
  <c r="I75" i="5"/>
  <c r="E88" i="5"/>
  <c r="J119" i="5"/>
  <c r="F161" i="5"/>
  <c r="J138" i="5"/>
  <c r="J201" i="5"/>
  <c r="I56" i="5"/>
  <c r="G190" i="5"/>
  <c r="G194" i="5"/>
  <c r="G156" i="5"/>
  <c r="AJ20" i="2"/>
  <c r="E130" i="5"/>
  <c r="G43" i="5"/>
  <c r="I37" i="5"/>
  <c r="I200" i="5"/>
  <c r="I91" i="5"/>
  <c r="E84" i="5"/>
  <c r="J38" i="5"/>
  <c r="G165" i="5"/>
  <c r="G115" i="5"/>
  <c r="J97" i="5"/>
  <c r="J197" i="5"/>
  <c r="J31" i="5"/>
  <c r="E46" i="5"/>
  <c r="E192" i="5"/>
  <c r="I163" i="5"/>
  <c r="J123" i="5"/>
  <c r="F145" i="5"/>
  <c r="F30" i="5"/>
  <c r="G127" i="5"/>
  <c r="CY9" i="2"/>
  <c r="H83" i="5"/>
  <c r="J14" i="5"/>
  <c r="F107" i="5"/>
  <c r="F89" i="5"/>
  <c r="H196" i="5"/>
  <c r="H145" i="5"/>
  <c r="I146" i="5"/>
  <c r="F130" i="5"/>
  <c r="E81" i="5"/>
  <c r="I105" i="5"/>
  <c r="G94" i="5"/>
  <c r="J65" i="5"/>
  <c r="I151" i="5"/>
  <c r="F156" i="5"/>
  <c r="J88" i="5"/>
  <c r="G150" i="5"/>
  <c r="J143" i="5"/>
  <c r="E175" i="5"/>
  <c r="CY11" i="2"/>
  <c r="J22" i="5"/>
  <c r="F164" i="5"/>
  <c r="F36" i="5"/>
  <c r="AJ14" i="2"/>
  <c r="F186" i="5"/>
  <c r="G80" i="5"/>
  <c r="E33" i="5"/>
  <c r="G133" i="5"/>
  <c r="J61" i="5"/>
  <c r="G137" i="5"/>
  <c r="H40" i="5"/>
  <c r="H50" i="5"/>
  <c r="H179" i="5"/>
  <c r="F117" i="5"/>
  <c r="E197" i="5"/>
  <c r="F34" i="5"/>
  <c r="J6" i="5"/>
  <c r="G123" i="5"/>
  <c r="J196" i="5"/>
  <c r="F101" i="5"/>
  <c r="CY24" i="2"/>
  <c r="E55" i="5"/>
  <c r="I192" i="5"/>
  <c r="H62" i="5"/>
  <c r="F65" i="5"/>
  <c r="J53" i="5"/>
  <c r="F193" i="5"/>
  <c r="G102" i="5"/>
  <c r="H185" i="5"/>
  <c r="I82" i="5"/>
  <c r="G153" i="5"/>
  <c r="F200" i="5"/>
  <c r="J142" i="5"/>
  <c r="F199" i="5"/>
  <c r="G149" i="5"/>
  <c r="I147" i="5"/>
  <c r="F114" i="5"/>
  <c r="J92" i="5"/>
  <c r="E143" i="5"/>
  <c r="J63" i="5"/>
  <c r="I95" i="5"/>
  <c r="F152" i="5"/>
  <c r="G48" i="5"/>
  <c r="J183" i="5"/>
  <c r="F71" i="5"/>
  <c r="I170" i="5"/>
  <c r="G52" i="5"/>
  <c r="G166" i="5"/>
  <c r="H95" i="5"/>
  <c r="H72" i="5"/>
  <c r="J180" i="5"/>
  <c r="F84" i="5"/>
  <c r="F52" i="5"/>
  <c r="H58" i="5"/>
  <c r="E132" i="5"/>
  <c r="J115" i="5"/>
  <c r="F149" i="5"/>
  <c r="G186" i="5"/>
  <c r="G197" i="5"/>
  <c r="F88" i="5"/>
  <c r="I174" i="5"/>
  <c r="H164" i="5"/>
  <c r="F155" i="5"/>
  <c r="AJ3" i="2"/>
  <c r="J33" i="5"/>
  <c r="J28" i="5"/>
  <c r="I148" i="5"/>
  <c r="I104" i="5"/>
  <c r="E73" i="5"/>
  <c r="J67" i="5"/>
  <c r="F118" i="5"/>
  <c r="G155" i="5"/>
  <c r="E85" i="5"/>
  <c r="J35" i="5"/>
  <c r="F162" i="5"/>
  <c r="E61" i="5"/>
  <c r="H117" i="5"/>
  <c r="F112" i="5"/>
  <c r="I38" i="5"/>
  <c r="H33" i="5"/>
  <c r="J39" i="5"/>
  <c r="F67" i="5"/>
  <c r="G34" i="5"/>
  <c r="F147" i="5"/>
  <c r="G116" i="5"/>
  <c r="E29" i="5"/>
  <c r="E99" i="5"/>
  <c r="E194" i="5"/>
  <c r="H184" i="5"/>
  <c r="I107" i="5"/>
  <c r="F176" i="5"/>
  <c r="J58" i="5"/>
  <c r="I122" i="5"/>
  <c r="I180" i="5"/>
  <c r="H122" i="5"/>
  <c r="F127" i="5"/>
  <c r="I165" i="5"/>
  <c r="E177" i="5"/>
  <c r="G157" i="5"/>
  <c r="G196" i="5"/>
  <c r="G132" i="5"/>
  <c r="I150" i="5"/>
  <c r="J71" i="5"/>
  <c r="J124" i="5"/>
  <c r="J87" i="5"/>
  <c r="E54" i="5"/>
  <c r="H118" i="5"/>
  <c r="F188" i="5"/>
  <c r="I109" i="5"/>
  <c r="E146" i="5"/>
  <c r="H129" i="5"/>
  <c r="E78" i="5"/>
  <c r="H200" i="5"/>
  <c r="J76" i="5"/>
  <c r="J7" i="5"/>
  <c r="G108" i="5"/>
  <c r="E139" i="5"/>
  <c r="G100" i="5"/>
  <c r="J109" i="5"/>
  <c r="J186" i="5"/>
  <c r="E83" i="5"/>
  <c r="CY13" i="2"/>
  <c r="H109" i="5"/>
  <c r="H78" i="5"/>
  <c r="H175" i="5"/>
  <c r="G96" i="5"/>
  <c r="H158" i="5"/>
  <c r="F141" i="5"/>
  <c r="F54" i="5"/>
  <c r="J167" i="5"/>
  <c r="G39" i="5"/>
  <c r="I88" i="5"/>
  <c r="F124" i="5"/>
  <c r="J174" i="5"/>
  <c r="G142" i="5"/>
  <c r="E127" i="5"/>
  <c r="J154" i="5"/>
  <c r="H65" i="5"/>
  <c r="E109" i="5"/>
  <c r="E158" i="5"/>
  <c r="F111" i="5"/>
  <c r="F133" i="5"/>
  <c r="G63" i="5"/>
  <c r="G69" i="5"/>
  <c r="F180" i="5"/>
  <c r="F98" i="5"/>
  <c r="G44" i="5"/>
  <c r="F103" i="5"/>
  <c r="H91" i="5"/>
  <c r="J116" i="5"/>
  <c r="F29" i="5"/>
  <c r="H137" i="5"/>
  <c r="H87" i="5"/>
  <c r="H121" i="5"/>
  <c r="I137" i="5"/>
  <c r="G110" i="5"/>
  <c r="G101" i="5"/>
  <c r="I101" i="5"/>
  <c r="J84" i="5"/>
  <c r="F165" i="5"/>
  <c r="G71" i="5"/>
  <c r="J128" i="5"/>
  <c r="J144" i="5"/>
  <c r="H96" i="5"/>
  <c r="H125" i="5"/>
  <c r="H57" i="5"/>
  <c r="F116" i="5"/>
  <c r="G176" i="5"/>
  <c r="I73" i="5"/>
  <c r="G179" i="5"/>
  <c r="J146" i="5"/>
  <c r="H93" i="5"/>
  <c r="H178" i="5"/>
  <c r="I129" i="5"/>
  <c r="E59" i="5"/>
  <c r="E70" i="5"/>
  <c r="J10" i="5"/>
  <c r="H31" i="5"/>
  <c r="CY3" i="2"/>
  <c r="J133" i="5"/>
  <c r="G37" i="5"/>
  <c r="G119" i="5"/>
  <c r="E101" i="5"/>
  <c r="J16" i="5"/>
  <c r="E94" i="5"/>
  <c r="F196" i="5"/>
  <c r="E128" i="5"/>
  <c r="H194" i="5"/>
  <c r="G183" i="5"/>
  <c r="I125" i="5"/>
  <c r="G143" i="5"/>
  <c r="E151" i="5"/>
  <c r="I111" i="5"/>
  <c r="E173" i="5"/>
  <c r="G198" i="5"/>
  <c r="J78" i="5"/>
  <c r="I198" i="5"/>
  <c r="I60" i="5"/>
  <c r="E193" i="5"/>
  <c r="H140" i="5"/>
  <c r="G117" i="5"/>
  <c r="I191" i="5"/>
  <c r="J59" i="5"/>
  <c r="H157" i="5"/>
  <c r="J41" i="5"/>
  <c r="G146" i="5"/>
  <c r="H80" i="5"/>
  <c r="F174" i="5"/>
  <c r="H131" i="5"/>
  <c r="F63" i="5"/>
  <c r="F185" i="5"/>
  <c r="I142" i="5"/>
  <c r="F97" i="5"/>
  <c r="H177" i="5"/>
  <c r="F50" i="5"/>
  <c r="E111" i="5"/>
  <c r="I50" i="5"/>
  <c r="H36" i="5"/>
  <c r="I81" i="5"/>
  <c r="G129" i="5"/>
  <c r="I114" i="5"/>
  <c r="F182" i="5"/>
  <c r="H55" i="5"/>
  <c r="I64" i="5"/>
  <c r="H189" i="5"/>
  <c r="G109" i="5"/>
  <c r="E91" i="5"/>
  <c r="H46" i="5"/>
  <c r="H53" i="5"/>
  <c r="E144" i="5"/>
  <c r="G139" i="5"/>
  <c r="J148" i="5"/>
  <c r="I103" i="5"/>
  <c r="J20" i="5"/>
  <c r="F142" i="5"/>
  <c r="G185" i="5"/>
  <c r="I185" i="5"/>
  <c r="H90" i="5"/>
  <c r="E114" i="5"/>
  <c r="J42" i="5"/>
  <c r="G62" i="5"/>
  <c r="J194" i="5"/>
  <c r="J177" i="5"/>
  <c r="J27" i="5"/>
  <c r="E69" i="5"/>
  <c r="H82" i="5"/>
  <c r="J135" i="5"/>
  <c r="G73" i="5"/>
  <c r="I127" i="5"/>
  <c r="J2" i="5"/>
  <c r="F132" i="5"/>
  <c r="H169" i="5"/>
  <c r="F119" i="5"/>
  <c r="F92" i="5"/>
  <c r="J85" i="5"/>
  <c r="F184" i="5"/>
  <c r="J168" i="5"/>
  <c r="E149" i="5"/>
  <c r="E124" i="5"/>
  <c r="J52" i="5"/>
  <c r="I166" i="5"/>
  <c r="J82" i="5"/>
  <c r="H193" i="5"/>
  <c r="G67" i="5"/>
  <c r="E140" i="5"/>
  <c r="G164" i="5"/>
  <c r="I141" i="5"/>
  <c r="G38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E58" i="5" l="1"/>
  <c r="AJ7" i="2"/>
  <c r="J56" i="5"/>
  <c r="F47" i="5"/>
  <c r="I41" i="5"/>
  <c r="J132" i="5"/>
  <c r="E60" i="5"/>
  <c r="J69" i="5"/>
  <c r="I53" i="5"/>
  <c r="F48" i="5"/>
  <c r="H74" i="5"/>
  <c r="E57" i="5"/>
  <c r="F33" i="5"/>
  <c r="I32" i="5"/>
  <c r="F189" i="5"/>
  <c r="F41" i="5"/>
  <c r="G180" i="5"/>
  <c r="G192" i="5"/>
  <c r="G191" i="5"/>
  <c r="E39" i="5"/>
  <c r="I138" i="5"/>
  <c r="H47" i="5"/>
  <c r="G33" i="5"/>
  <c r="I182" i="5"/>
  <c r="G91" i="5"/>
  <c r="E75" i="5"/>
  <c r="I86" i="5"/>
  <c r="F80" i="5"/>
  <c r="F140" i="5"/>
  <c r="I35" i="5"/>
  <c r="F179" i="5"/>
  <c r="I152" i="5"/>
  <c r="H70" i="5"/>
  <c r="F110" i="5"/>
  <c r="F146" i="5"/>
  <c r="J172" i="5"/>
  <c r="I79" i="5"/>
  <c r="J171" i="5"/>
  <c r="H43" i="5"/>
  <c r="E67" i="5"/>
  <c r="I72" i="5"/>
  <c r="F85" i="5"/>
  <c r="F171" i="5"/>
  <c r="J93" i="5"/>
  <c r="G104" i="5"/>
  <c r="J94" i="5"/>
  <c r="J11" i="5"/>
  <c r="F58" i="5"/>
  <c r="F151" i="5"/>
  <c r="I31" i="5"/>
  <c r="H168" i="5"/>
  <c r="G36" i="5"/>
  <c r="G126" i="5"/>
  <c r="F76" i="5"/>
  <c r="F96" i="5"/>
  <c r="J106" i="5"/>
  <c r="E49" i="5"/>
  <c r="I33" i="5"/>
  <c r="G54" i="5"/>
  <c r="J5" i="5"/>
  <c r="I71" i="5"/>
  <c r="G95" i="5"/>
  <c r="I119" i="5"/>
  <c r="I189" i="5"/>
  <c r="H171" i="5"/>
  <c r="G40" i="5"/>
  <c r="H29" i="5"/>
  <c r="I186" i="5"/>
  <c r="I68" i="5"/>
  <c r="G50" i="5"/>
  <c r="F105" i="5"/>
  <c r="E65" i="5"/>
  <c r="G77" i="5"/>
  <c r="E119" i="5"/>
  <c r="F172" i="5"/>
  <c r="H44" i="5"/>
  <c r="I158" i="5"/>
  <c r="E196" i="5"/>
  <c r="I94" i="5"/>
  <c r="J101" i="5"/>
  <c r="H39" i="5"/>
  <c r="J90" i="5"/>
  <c r="G65" i="5"/>
  <c r="J83" i="5"/>
  <c r="G70" i="5"/>
  <c r="I74" i="5"/>
  <c r="H111" i="5"/>
  <c r="E145" i="5"/>
  <c r="G68" i="5"/>
  <c r="H101" i="5"/>
  <c r="J80" i="5"/>
  <c r="E159" i="5"/>
  <c r="G148" i="5"/>
  <c r="H147" i="5"/>
  <c r="I156" i="5"/>
  <c r="J66" i="5"/>
  <c r="G184" i="5"/>
  <c r="J200" i="5"/>
  <c r="G59" i="5"/>
  <c r="F94" i="5"/>
  <c r="J73" i="5"/>
  <c r="F192" i="5"/>
  <c r="I160" i="5"/>
  <c r="I168" i="5"/>
  <c r="H126" i="5"/>
  <c r="G125" i="5"/>
  <c r="J30" i="5"/>
  <c r="F100" i="5"/>
  <c r="G55" i="5"/>
  <c r="F187" i="5"/>
  <c r="I153" i="5"/>
  <c r="H54" i="5"/>
  <c r="F102" i="5"/>
  <c r="J3" i="5"/>
  <c r="E71" i="5"/>
  <c r="H105" i="5"/>
  <c r="G136" i="5"/>
  <c r="F191" i="5"/>
  <c r="H119" i="5"/>
  <c r="E199" i="5"/>
  <c r="E153" i="5"/>
  <c r="J13" i="5"/>
  <c r="J12" i="5"/>
  <c r="F39" i="5"/>
  <c r="F195" i="5"/>
  <c r="E170" i="5"/>
  <c r="H98" i="5"/>
  <c r="G199" i="5"/>
  <c r="G193" i="5"/>
  <c r="J74" i="5"/>
  <c r="J187" i="5"/>
  <c r="H174" i="5"/>
  <c r="J51" i="5"/>
  <c r="F138" i="5"/>
  <c r="I169" i="5"/>
  <c r="I120" i="5"/>
  <c r="E77" i="5"/>
  <c r="J185" i="5"/>
  <c r="E200" i="5"/>
  <c r="F181" i="5"/>
  <c r="E53" i="5"/>
  <c r="E133" i="5"/>
  <c r="AJ5" i="2"/>
  <c r="E96" i="5"/>
  <c r="E68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G33" i="9" s="1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K7" i="2" l="1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D3" i="2" s="1"/>
  <c r="HE5" i="2"/>
  <c r="HE6" i="2"/>
  <c r="HE8" i="2"/>
  <c r="L33" i="8" l="1"/>
  <c r="HD2" i="2"/>
  <c r="I37" i="8" s="1"/>
  <c r="FW7" i="2" s="1"/>
  <c r="FW29" i="2" l="1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<sst xmlns="http://schemas.openxmlformats.org/spreadsheetml/2006/main" count="849" uniqueCount="340">
  <si>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</si>
  <si>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</si>
  <si>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</si>
  <si>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</si>
  <si>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</si>
  <si>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</si>
  <si>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</si>
  <si>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</si>
  <si>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</si>
  <si>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</si>
  <si>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</si>
  <si>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</si>
  <si>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Neuman et al.</t>
  </si>
  <si>
    <t>Yes</t>
  </si>
  <si>
    <t>French</t>
  </si>
  <si>
    <t>Outcome 1</t>
  </si>
  <si>
    <t>Outcome 2</t>
  </si>
  <si>
    <t>Total</t>
  </si>
  <si>
    <t>English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</si>
  <si>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</si>
  <si>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</si>
  <si>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 xml:space="preserve">Quan et al. </t>
  </si>
  <si>
    <t>No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</si>
  <si>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</si>
  <si>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</si>
  <si>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Hazarika et al. (A)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</si>
  <si>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</si>
  <si>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</si>
  <si>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</si>
  <si>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</si>
  <si>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</si>
  <si>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</si>
  <si>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</si>
  <si>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</si>
  <si>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</si>
  <si>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</si>
  <si>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</si>
  <si>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</si>
  <si>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</si>
  <si>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</si>
  <si>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</si>
  <si>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</si>
  <si>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</si>
  <si>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</si>
  <si>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</si>
  <si>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</si>
  <si>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</si>
  <si>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</si>
  <si>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</si>
  <si>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</si>
  <si>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</si>
  <si>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</si>
  <si>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</si>
  <si>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</si>
  <si>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</si>
  <si>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</si>
  <si>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</si>
  <si>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</si>
  <si>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</si>
  <si>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</si>
  <si>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</si>
  <si>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</si>
  <si>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</si>
  <si>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</si>
  <si>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</si>
  <si>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</si>
  <si>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</si>
  <si>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</si>
  <si>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</si>
  <si>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</si>
  <si>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</si>
  <si>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</si>
  <si>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</si>
  <si>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</si>
  <si>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</si>
  <si>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</si>
  <si>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</si>
  <si>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</si>
  <si>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</si>
  <si>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</si>
  <si>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</si>
  <si>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</si>
  <si>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</si>
  <si>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</si>
  <si>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</si>
  <si>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</si>
  <si>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</si>
  <si>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</si>
  <si>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</si>
  <si>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</si>
  <si>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</si>
  <si>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</si>
  <si>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</si>
  <si>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</si>
  <si>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</si>
  <si>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</si>
  <si>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</si>
  <si>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</si>
  <si>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</si>
  <si>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</si>
  <si>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</si>
  <si>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</si>
  <si>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</si>
  <si>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</si>
  <si>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</si>
  <si>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</si>
  <si>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</si>
  <si>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</si>
  <si>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</si>
  <si>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</si>
  <si>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</si>
  <si>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</si>
  <si>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</si>
  <si>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</si>
  <si>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</si>
  <si>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</si>
  <si>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</si>
  <si>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</si>
  <si>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</si>
  <si>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</si>
  <si>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</si>
  <si>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</si>
  <si>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</si>
  <si>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</si>
  <si>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</si>
  <si>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</si>
  <si>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</si>
  <si>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</si>
  <si>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</si>
  <si>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</si>
  <si>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</si>
  <si>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</si>
  <si>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</si>
  <si>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</si>
  <si>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</si>
  <si>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</si>
  <si>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</si>
  <si>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</si>
  <si>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</si>
  <si>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</si>
  <si>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</si>
  <si>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</si>
  <si>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</si>
  <si>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</si>
  <si>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</si>
  <si>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</si>
  <si>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</si>
  <si>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</si>
  <si>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</si>
  <si>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</si>
  <si>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</si>
  <si>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</si>
  <si>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</si>
  <si>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</si>
  <si>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</si>
  <si>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</si>
  <si>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</si>
  <si>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</si>
  <si>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</si>
  <si>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</si>
  <si>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</si>
  <si>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</si>
  <si>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</si>
  <si>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</si>
  <si>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</si>
  <si>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</si>
  <si>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</si>
  <si>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</si>
  <si>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</si>
  <si>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</si>
  <si>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</si>
  <si>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</si>
  <si>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</si>
  <si>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</si>
  <si>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</si>
  <si>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</si>
  <si>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</si>
  <si>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</si>
  <si>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</si>
  <si>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</si>
  <si>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</si>
  <si>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</si>
  <si>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</si>
  <si>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</si>
  <si>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</si>
  <si>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</si>
  <si>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</si>
  <si>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</si>
  <si>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</si>
  <si>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</si>
  <si>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</si>
  <si>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</si>
  <si>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</si>
  <si>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</si>
  <si>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</si>
  <si>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</si>
  <si>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</si>
  <si>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</si>
  <si>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</si>
  <si>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</si>
  <si>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</si>
  <si>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</si>
  <si>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</si>
  <si>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</si>
  <si>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</si>
  <si>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</si>
  <si>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</si>
  <si>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</si>
  <si>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</si>
  <si>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</si>
  <si>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</si>
  <si>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</si>
  <si>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</si>
  <si>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</si>
  <si>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</si>
  <si>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</si>
  <si>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</si>
  <si>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</si>
  <si>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</si>
  <si>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</si>
  <si>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</si>
  <si>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</si>
  <si>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</si>
  <si>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</si>
  <si>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</si>
  <si>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</si>
  <si>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</si>
  <si>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</si>
  <si>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</si>
  <si>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</si>
  <si>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</si>
  <si>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</si>
  <si>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</si>
  <si>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</si>
  <si>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</si>
  <si>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</si>
  <si>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</si>
  <si>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</si>
  <si>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</si>
  <si>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</si>
  <si>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</si>
  <si>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</si>
  <si>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</si>
  <si>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</si>
  <si>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</si>
  <si>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</si>
  <si>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</si>
  <si>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</si>
  <si>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</si>
  <si>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</si>
  <si>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</si>
  <si>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</si>
  <si>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</si>
  <si>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</si>
  <si>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</si>
  <si>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</si>
  <si>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</si>
  <si>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</si>
  <si>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</si>
  <si>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</si>
  <si>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</si>
  <si>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</si>
  <si>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</si>
  <si>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</si>
  <si>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</si>
  <si>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</si>
  <si>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</si>
  <si>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</si>
  <si>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</si>
  <si>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</si>
  <si>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</si>
  <si>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</si>
  <si>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</si>
  <si>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</si>
  <si>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</si>
  <si>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</si>
  <si>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</si>
  <si>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</si>
  <si>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</si>
  <si>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</si>
  <si>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</si>
  <si>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</si>
  <si>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</si>
  <si>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</si>
  <si>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</si>
  <si>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</si>
  <si>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</si>
  <si>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</si>
  <si>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</si>
  <si>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</si>
  <si>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</si>
  <si>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</si>
  <si>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</si>
  <si>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</si>
  <si>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</si>
  <si>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</si>
  <si>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</si>
  <si>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</si>
  <si>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</si>
  <si>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</si>
  <si>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</si>
  <si>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</si>
  <si>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</si>
  <si>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</si>
  <si>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</si>
  <si>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</si>
  <si>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</si>
  <si>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</si>
  <si>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</si>
  <si>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</si>
  <si>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</si>
  <si>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</si>
  <si>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</si>
  <si>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</si>
  <si>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</si>
  <si>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</si>
  <si>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</si>
  <si>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</si>
  <si>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</si>
  <si>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</si>
  <si>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</si>
  <si>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</si>
  <si>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</si>
  <si>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</si>
  <si>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</si>
  <si>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</si>
  <si>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</si>
  <si>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</si>
  <si>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</si>
  <si>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</si>
  <si>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</si>
  <si>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</si>
  <si>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</si>
  <si>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</si>
  <si>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</si>
  <si>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</si>
  <si>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</si>
  <si>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 limit</t>
  </si>
  <si>
    <t>Log Odds
 Ratio</t>
  </si>
  <si>
    <t>Standard
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</si>
</sst>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5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15" fillId="37" borderId="6" xfId="3" applyFill="1">
      <alignment horizontal="centerContinuous" vertical="center" wrapText="1"/>
    </xf>
    <xf numFmtId="0" fontId="13" fillId="37" borderId="0" xfId="11" applyNumberFormat="1" applyFill="1"/>
    <xf numFmtId="2" fontId="13" fillId="37" borderId="0" xfId="11" applyFill="1"/>
    <xf numFmtId="10" fontId="13" fillId="37" borderId="0" xfId="1" applyFont="1" applyFill="1"/>
    <xf numFmtId="2" fontId="13" fillId="37" borderId="14" xfId="12" applyFill="1" applyBorder="1"/>
    <xf numFmtId="2" fontId="13" fillId="37" borderId="0" xfId="12" applyFill="1"/>
    <xf numFmtId="2" fontId="13" fillId="37" borderId="10" xfId="12" applyFill="1" applyBorder="1"/>
    <xf numFmtId="2" fontId="13" fillId="37" borderId="15" xfId="12" applyFill="1" applyBorder="1"/>
    <xf numFmtId="164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49" fontId="25" fillId="9" borderId="0" xfId="10" applyNumberFormat="1" applyFont="1">
      <protection locked="0"/>
    </xf>
    <xf numFmtId="0" fontId="25" fillId="9" borderId="0" xfId="10" applyFont="1">
      <protection locked="0"/>
    </xf>
    <xf numFmtId="1" fontId="25" fillId="9" borderId="0" xfId="10" applyNumberFormat="1" applyFont="1">
      <protection locked="0"/>
    </xf>
    <xf numFmtId="0" fontId="26" fillId="0" borderId="34" xfId="0" applyFont="1" applyBorder="1" applyAlignment="1">
      <alignment horizontal="left" vertical="center"/>
    </xf>
    <xf numFmtId="0" fontId="26" fillId="0" borderId="34" xfId="0" applyFont="1" applyBorder="1" applyAlignment="1">
      <alignment vertical="center" wrapText="1"/>
    </xf>
    <xf numFmtId="0" fontId="26" fillId="0" borderId="34" xfId="0" applyFont="1" applyBorder="1" applyAlignment="1">
      <alignment vertical="center"/>
    </xf>
    <xf numFmtId="0" fontId="26" fillId="0" borderId="34" xfId="0" applyFont="1" applyBorder="1" applyAlignment="1">
      <alignment horizontal="center" vertical="center" wrapText="1"/>
    </xf>
    <xf numFmtId="0" fontId="27" fillId="0" borderId="0" xfId="0" applyFont="1"/>
    <xf numFmtId="164" fontId="0" fillId="0" borderId="0" xfId="0" applyNumberFormat="1" applyAlignment="1">
      <alignment horizontal="center" vertic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0.17544653548962721</c:v>
                </c:pt>
                <c:pt idx="1">
                  <c:v>0.15768142851488864</c:v>
                </c:pt>
                <c:pt idx="2">
                  <c:v>0.15287789636313134</c:v>
                </c:pt>
                <c:pt idx="3">
                  <c:v>0.18863921105208137</c:v>
                </c:pt>
                <c:pt idx="4">
                  <c:v>0.20061012435866152</c:v>
                </c:pt>
                <c:pt idx="5">
                  <c:v>0.1247448042216099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0.4668399740147875</c:v>
                  </c:pt>
                  <c:pt idx="1">
                    <c:v>0.52105510891234208</c:v>
                  </c:pt>
                  <c:pt idx="2">
                    <c:v>#N/A</c:v>
                  </c:pt>
                  <c:pt idx="3">
                    <c:v>0.62117099318741431</c:v>
                  </c:pt>
                  <c:pt idx="4">
                    <c:v>0.42467211850532793</c:v>
                  </c:pt>
                  <c:pt idx="5">
                    <c:v>0.36466201074807825</c:v>
                  </c:pt>
                  <c:pt idx="6">
                    <c:v>0.54460801416189075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0.32792913274338076</c:v>
                  </c:pt>
                  <c:pt idx="1">
                    <c:v>0.35904641540766868</c:v>
                  </c:pt>
                  <c:pt idx="2">
                    <c:v>#N/A</c:v>
                  </c:pt>
                  <c:pt idx="3">
                    <c:v>0.4255371692361265</c:v>
                  </c:pt>
                  <c:pt idx="4">
                    <c:v>0.30206753137460207</c:v>
                  </c:pt>
                  <c:pt idx="5">
                    <c:v>0.26207342247923782</c:v>
                  </c:pt>
                  <c:pt idx="6">
                    <c:v>0.35821844263844793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1.102076889085285</c:v>
                </c:pt>
                <c:pt idx="1">
                  <c:v>1.1547711733101051</c:v>
                </c:pt>
                <c:pt idx="2">
                  <c:v>#N/A</c:v>
                </c:pt>
                <c:pt idx="3">
                  <c:v>1.3511536027552333</c:v>
                </c:pt>
                <c:pt idx="4">
                  <c:v>1.0462875939849625</c:v>
                </c:pt>
                <c:pt idx="5">
                  <c:v>0.93156775834039651</c:v>
                </c:pt>
                <c:pt idx="6">
                  <c:v>1.04667140488036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0.17544653548962721</c:v>
                </c:pt>
                <c:pt idx="1">
                  <c:v>0.15768142851488864</c:v>
                </c:pt>
                <c:pt idx="2">
                  <c:v>0</c:v>
                </c:pt>
                <c:pt idx="3">
                  <c:v>0.15287789636313134</c:v>
                </c:pt>
                <c:pt idx="4">
                  <c:v>0.18863921105208137</c:v>
                </c:pt>
                <c:pt idx="5">
                  <c:v>0.20061012435866152</c:v>
                </c:pt>
                <c:pt idx="6">
                  <c:v>0.1247448042216099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0.15302547422265755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0.13418000382695627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1.0895434438984208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0.20061012435866152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0.15302547422265755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0.13418000382695627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1.0895434438984208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0.20061012435866152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0.4668399740147875</c:v>
                  </c:pt>
                  <c:pt idx="1">
                    <c:v>0.52105510891234208</c:v>
                  </c:pt>
                  <c:pt idx="2">
                    <c:v>#N/A</c:v>
                  </c:pt>
                  <c:pt idx="3">
                    <c:v>0.62117099318741431</c:v>
                  </c:pt>
                  <c:pt idx="4">
                    <c:v>0.42467211850532793</c:v>
                  </c:pt>
                  <c:pt idx="5">
                    <c:v>0.36466201074807825</c:v>
                  </c:pt>
                  <c:pt idx="6">
                    <c:v>0.54460801416189075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0.32792913274338076</c:v>
                  </c:pt>
                  <c:pt idx="1">
                    <c:v>0.35904641540766868</c:v>
                  </c:pt>
                  <c:pt idx="2">
                    <c:v>#N/A</c:v>
                  </c:pt>
                  <c:pt idx="3">
                    <c:v>0.4255371692361265</c:v>
                  </c:pt>
                  <c:pt idx="4">
                    <c:v>0.30206753137460207</c:v>
                  </c:pt>
                  <c:pt idx="5">
                    <c:v>0.26207342247923782</c:v>
                  </c:pt>
                  <c:pt idx="6">
                    <c:v>0.35821844263844793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1.102076889085285</c:v>
                </c:pt>
                <c:pt idx="1">
                  <c:v>1.1547711733101051</c:v>
                </c:pt>
                <c:pt idx="2">
                  <c:v>#N/A</c:v>
                </c:pt>
                <c:pt idx="3">
                  <c:v>1.3511536027552333</c:v>
                </c:pt>
                <c:pt idx="4">
                  <c:v>1.0462875939849625</c:v>
                </c:pt>
                <c:pt idx="5">
                  <c:v>0.93156775834039651</c:v>
                </c:pt>
                <c:pt idx="6">
                  <c:v>1.04667140488036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0.17544653548962721</c:v>
                </c:pt>
                <c:pt idx="1">
                  <c:v>0.15768142851488864</c:v>
                </c:pt>
                <c:pt idx="2">
                  <c:v>0</c:v>
                </c:pt>
                <c:pt idx="3">
                  <c:v>0.15287789636313134</c:v>
                </c:pt>
                <c:pt idx="4">
                  <c:v>0.18863921105208137</c:v>
                </c:pt>
                <c:pt idx="5">
                  <c:v>0.20061012435866152</c:v>
                </c:pt>
                <c:pt idx="6">
                  <c:v>0.1247448042216099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0.15302547422265755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0.13418000382695627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1.0895434438984208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0.20061012435866152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0.15302547422265755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0.13418000382695627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1.0895434438984208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0.20061012435866152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0.4668398760035215</c:v>
                  </c:pt>
                  <c:pt idx="1">
                    <c:v>0.52105510703820301</c:v>
                  </c:pt>
                  <c:pt idx="2">
                    <c:v>#N/A</c:v>
                  </c:pt>
                  <c:pt idx="3">
                    <c:v>0.62117097361281459</c:v>
                  </c:pt>
                  <c:pt idx="4">
                    <c:v>0.42467196189016909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0.32792908438185953</c:v>
                  </c:pt>
                  <c:pt idx="1">
                    <c:v>0.35904641451777997</c:v>
                  </c:pt>
                  <c:pt idx="2">
                    <c:v>#N/A</c:v>
                  </c:pt>
                  <c:pt idx="3">
                    <c:v>0.4255371600497222</c:v>
                  </c:pt>
                  <c:pt idx="4">
                    <c:v>0.30206745213643205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1.102076889085285</c:v>
                </c:pt>
                <c:pt idx="1">
                  <c:v>1.1547711733101051</c:v>
                </c:pt>
                <c:pt idx="2">
                  <c:v>#N/A</c:v>
                </c:pt>
                <c:pt idx="3">
                  <c:v>1.3511536027552333</c:v>
                </c:pt>
                <c:pt idx="4">
                  <c:v>1.0462875939849625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5</c:v>
                </c:pt>
                <c:pt idx="1">
                  <c:v>1</c:v>
                </c:pt>
                <c:pt idx="2">
                  <c:v>#N/A</c:v>
                </c:pt>
                <c:pt idx="3">
                  <c:v>1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0.31586917261505648</c:v>
                </c:pt>
                <c:pt idx="2">
                  <c:v>0</c:v>
                </c:pt>
                <c:pt idx="3">
                  <c:v>0.30624668415401279</c:v>
                </c:pt>
                <c:pt idx="4">
                  <c:v>0.37788414323093078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0.4668398760035215</c:v>
                  </c:pt>
                  <c:pt idx="1">
                    <c:v>0.52105510703820301</c:v>
                  </c:pt>
                  <c:pt idx="2">
                    <c:v>#N/A</c:v>
                  </c:pt>
                  <c:pt idx="3">
                    <c:v>0.62117097361281459</c:v>
                  </c:pt>
                  <c:pt idx="4">
                    <c:v>0.42467196189016909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0.32792908438185953</c:v>
                  </c:pt>
                  <c:pt idx="1">
                    <c:v>0.35904641451777997</c:v>
                  </c:pt>
                  <c:pt idx="2">
                    <c:v>#N/A</c:v>
                  </c:pt>
                  <c:pt idx="3">
                    <c:v>0.4255371600497222</c:v>
                  </c:pt>
                  <c:pt idx="4">
                    <c:v>0.30206745213643205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1.102076889085285</c:v>
                </c:pt>
                <c:pt idx="1">
                  <c:v>1.1547711733101051</c:v>
                </c:pt>
                <c:pt idx="2">
                  <c:v>#N/A</c:v>
                </c:pt>
                <c:pt idx="3">
                  <c:v>1.3511536027552333</c:v>
                </c:pt>
                <c:pt idx="4">
                  <c:v>1.0462875939849625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5</c:v>
                </c:pt>
                <c:pt idx="1">
                  <c:v>1</c:v>
                </c:pt>
                <c:pt idx="2">
                  <c:v>#N/A</c:v>
                </c:pt>
                <c:pt idx="3">
                  <c:v>1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0.31586917261505648</c:v>
                </c:pt>
                <c:pt idx="2">
                  <c:v>0</c:v>
                </c:pt>
                <c:pt idx="3">
                  <c:v>0.30624668415401279</c:v>
                </c:pt>
                <c:pt idx="4">
                  <c:v>0.37788414323093078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6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4.7364400305576773E-2</c:v>
                </c:pt>
                <c:pt idx="1">
                  <c:v>5.1797987847395158E-3</c:v>
                </c:pt>
                <c:pt idx="2">
                  <c:v>#N/A</c:v>
                </c:pt>
                <c:pt idx="3">
                  <c:v>1.4012363850456285E-2</c:v>
                </c:pt>
                <c:pt idx="4">
                  <c:v>7.1065989847715741E-2</c:v>
                </c:pt>
                <c:pt idx="5">
                  <c:v>8.0203045685279181E-2</c:v>
                </c:pt>
                <c:pt idx="6">
                  <c:v>4.5685279187817257E-2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5.1948051948051951E-2</c:v>
                </c:pt>
                <c:pt idx="1">
                  <c:v>5.976690905468672E-3</c:v>
                </c:pt>
                <c:pt idx="2">
                  <c:v>#N/A</c:v>
                </c:pt>
                <c:pt idx="3">
                  <c:v>1.8840153076243746E-2</c:v>
                </c:pt>
                <c:pt idx="4">
                  <c:v>7.4111675126903559E-2</c:v>
                </c:pt>
                <c:pt idx="5">
                  <c:v>7.5126903553299498E-2</c:v>
                </c:pt>
                <c:pt idx="6">
                  <c:v>4.7715736040609136E-2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30.823631156045103</c:v>
                </c:pt>
                <c:pt idx="1">
                  <c:v>27.702537295121299</c:v>
                </c:pt>
                <c:pt idx="2">
                  <c:v>0</c:v>
                </c:pt>
                <c:pt idx="3">
                  <c:v>26.85862035553189</c:v>
                </c:pt>
                <c:pt idx="4">
                  <c:v>33.141409414610365</c:v>
                </c:pt>
                <c:pt idx="5">
                  <c:v>35.244540236391877</c:v>
                </c:pt>
                <c:pt idx="6">
                  <c:v>21.916008903962037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8.0203045685279181E-2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8.6800333497854792E-2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0.50912493239173628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-2.570581835636315</c:v>
                </c:pt>
                <c:pt idx="1">
                  <c:v>-2.0614569032445789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5.9367112306724064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2.570581835636315</c:v>
                </c:pt>
                <c:pt idx="1">
                  <c:v>3.0797067680280512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5.5519033813679703</c:v>
                </c:pt>
                <c:pt idx="1">
                  <c:v>5.2633199879088961</c:v>
                </c:pt>
                <c:pt idx="2">
                  <c:v>#N/A</c:v>
                </c:pt>
                <c:pt idx="3">
                  <c:v>5.182530304352488</c:v>
                </c:pt>
                <c:pt idx="4">
                  <c:v>5.7568575989519113</c:v>
                </c:pt>
                <c:pt idx="5">
                  <c:v>5.9367112306724064</c:v>
                </c:pt>
                <c:pt idx="6">
                  <c:v>4.6814537169518227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0.53962546933598488</c:v>
                </c:pt>
                <c:pt idx="1">
                  <c:v>0.75740335714132823</c:v>
                </c:pt>
                <c:pt idx="2">
                  <c:v>#N/A</c:v>
                </c:pt>
                <c:pt idx="3">
                  <c:v>1.5597278324656407</c:v>
                </c:pt>
                <c:pt idx="4">
                  <c:v>0.26048787174469445</c:v>
                </c:pt>
                <c:pt idx="5">
                  <c:v>-0.42083179299499174</c:v>
                </c:pt>
                <c:pt idx="6">
                  <c:v>0.21354469011888383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9.7196480606444369E-2</c:v>
                </c:pt>
                <c:pt idx="1">
                  <c:v>0.14390220599949552</c:v>
                </c:pt>
                <c:pt idx="2">
                  <c:v>#N/A</c:v>
                </c:pt>
                <c:pt idx="3">
                  <c:v>0.30095874811493556</c:v>
                </c:pt>
                <c:pt idx="4">
                  <c:v>4.5248274300222172E-2</c:v>
                </c:pt>
                <c:pt idx="5">
                  <c:v>-7.0886350479830787E-2</c:v>
                </c:pt>
                <c:pt idx="6">
                  <c:v>4.561503819756367E-2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0.18011840828426004</c:v>
                </c:pt>
                <c:pt idx="1">
                  <c:v>0.18999414861669803</c:v>
                </c:pt>
                <c:pt idx="2">
                  <c:v>#N/A</c:v>
                </c:pt>
                <c:pt idx="3">
                  <c:v>0.19295593875450406</c:v>
                </c:pt>
                <c:pt idx="4">
                  <c:v>0.17370587734913909</c:v>
                </c:pt>
                <c:pt idx="5">
                  <c:v>0.16844342955969202</c:v>
                </c:pt>
                <c:pt idx="6">
                  <c:v>0.21360886178986249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-0.57316012237115188</c:v>
                </c:pt>
                <c:pt idx="1">
                  <c:v>8.5758749686410396E-2</c:v>
                </c:pt>
                <c:pt idx="2">
                  <c:v>0.74467762174397267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0.25633063414783497</c:v>
                </c:pt>
                <c:pt idx="1">
                  <c:v>0</c:v>
                </c:pt>
                <c:pt idx="2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8.5758749686410396E-2</c:v>
                </c:pt>
                <c:pt idx="1">
                  <c:v>8.5758749686410396E-2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8.5758749686410396E-2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8.5758749686410396E-2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0.23496974796884876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8.5758749686410396E-2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0.19393756262202361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8.5758749686410396E-2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0.25633063414783497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0.19920132478926703</c:v>
                </c:pt>
                <c:pt idx="1">
                  <c:v>0.63364000077970128</c:v>
                </c:pt>
                <c:pt idx="2">
                  <c:v>#N/A</c:v>
                </c:pt>
                <c:pt idx="3">
                  <c:v>1.2521195202652198</c:v>
                </c:pt>
                <c:pt idx="4">
                  <c:v>-0.19920132478926703</c:v>
                </c:pt>
                <c:pt idx="5">
                  <c:v>-1.2521195202652196</c:v>
                </c:pt>
                <c:pt idx="6">
                  <c:v>-0.63364000077970106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0.53962546933598488</c:v>
                </c:pt>
                <c:pt idx="1">
                  <c:v>0.75740335714132823</c:v>
                </c:pt>
                <c:pt idx="2">
                  <c:v>#N/A</c:v>
                </c:pt>
                <c:pt idx="3">
                  <c:v>1.5597278324656407</c:v>
                </c:pt>
                <c:pt idx="4">
                  <c:v>0.26048787174469445</c:v>
                </c:pt>
                <c:pt idx="5">
                  <c:v>-0.42083179299499174</c:v>
                </c:pt>
                <c:pt idx="6">
                  <c:v>0.21354469011888383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-0.41253662990326795</c:v>
                </c:pt>
                <c:pt idx="1">
                  <c:v>1.3825224391737816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-1.2521195202652196</c:v>
                </c:pt>
                <c:pt idx="1">
                  <c:v>1.2521195202652198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0.48499290463525674</c:v>
                </c:pt>
                <c:pt idx="1">
                  <c:v>0.48499290463525674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0.33333333333333331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-1.05</c:v>
                </c:pt>
                <c:pt idx="2">
                  <c:v>-1.05; -0.75</c:v>
                </c:pt>
                <c:pt idx="3">
                  <c:v>-0.75; -0.45</c:v>
                </c:pt>
                <c:pt idx="4">
                  <c:v>-0.45; -0.15</c:v>
                </c:pt>
                <c:pt idx="5">
                  <c:v>-0.15; 0.15</c:v>
                </c:pt>
                <c:pt idx="6">
                  <c:v>0.15; 0.45</c:v>
                </c:pt>
                <c:pt idx="7">
                  <c:v>0.45; 0.75</c:v>
                </c:pt>
                <c:pt idx="8">
                  <c:v>0.75; 1.05</c:v>
                </c:pt>
                <c:pt idx="9">
                  <c:v>1.05;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0.14685905637589594</c:v>
                </c:pt>
                <c:pt idx="2">
                  <c:v>7.9768296000972266E-2</c:v>
                </c:pt>
                <c:pt idx="3">
                  <c:v>9.9727867911051815E-2</c:v>
                </c:pt>
                <c:pt idx="4">
                  <c:v>0.11402708734183747</c:v>
                </c:pt>
                <c:pt idx="5">
                  <c:v>0.11923538474048501</c:v>
                </c:pt>
                <c:pt idx="6">
                  <c:v>0.11402708734183742</c:v>
                </c:pt>
                <c:pt idx="7">
                  <c:v>9.9727867911051815E-2</c:v>
                </c:pt>
                <c:pt idx="8">
                  <c:v>7.976829600097235E-2</c:v>
                </c:pt>
                <c:pt idx="9">
                  <c:v>0.14685905637589591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447675</xdr:colOff>
      <xdr:row>0</xdr:row>
      <xdr:rowOff>304800</xdr:rowOff>
    </xdr:from>
    <xdr:to>
      <xdr:col>11</xdr:col>
      <xdr:colOff>4781550</xdr:colOff>
      <xdr:row>208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476250</xdr:colOff>
      <xdr:row>0</xdr:row>
      <xdr:rowOff>9525</xdr:rowOff>
    </xdr:from>
    <xdr:to>
      <xdr:col>11</xdr:col>
      <xdr:colOff>1314450</xdr:colOff>
      <xdr:row>26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tabSelected="1" zoomScaleNormal="100" workbookViewId="0">
      <pane ySplit="1" topLeftCell="A2" activePane="bottomLeft" state="frozen"/>
      <selection pane="bottomLeft" activeCell="E12" sqref="E12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.33203125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>
      <c r="A2" s="6">
        <f>IF(AND(Sufficient_data="Yes",Include_study?="Yes"),1,"")</f>
        <v>1</v>
      </c>
      <c r="B2" s="12" t="s">
        <v>12</v>
      </c>
      <c r="C2" s="5" t="s">
        <v>13</v>
      </c>
      <c r="D2" s="27">
        <v>68</v>
      </c>
      <c r="E2" s="27"/>
      <c r="F2" s="27">
        <v>62</v>
      </c>
      <c r="G2" s="27"/>
      <c r="H2" s="27">
        <v>1309</v>
      </c>
      <c r="I2" s="27">
        <v>1309</v>
      </c>
      <c r="J2" s="3" t="str">
        <f t="shared" ref="J2:J33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2.95">
      <c r="A3" s="6">
        <f>IF(AND(Sufficient_data="Yes",Include_study?="Yes"),1,"")</f>
        <v>1</v>
      </c>
      <c r="B3" s="12" t="s">
        <v>12</v>
      </c>
      <c r="C3" s="5" t="s">
        <v>13</v>
      </c>
      <c r="D3" s="27">
        <v>60</v>
      </c>
      <c r="E3" s="27"/>
      <c r="F3" s="27">
        <v>52</v>
      </c>
      <c r="G3" s="27"/>
      <c r="H3" s="27">
        <v>10039</v>
      </c>
      <c r="I3" s="27">
        <v>10039</v>
      </c>
      <c r="J3" s="3" t="str">
        <f t="shared" si="0"/>
        <v>Yes</v>
      </c>
      <c r="K3" s="5" t="s">
        <v>18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>
      <c r="A4" s="6" t="str">
        <f>IF(AND(Sufficient_data="Yes",Include_study?="Yes"),1,"")</f>
        <v/>
      </c>
      <c r="B4" s="103" t="s">
        <v>21</v>
      </c>
      <c r="C4" s="104" t="s">
        <v>22</v>
      </c>
      <c r="D4" s="105">
        <v>47</v>
      </c>
      <c r="E4" s="105"/>
      <c r="F4" s="105">
        <v>45</v>
      </c>
      <c r="G4" s="105"/>
      <c r="H4" s="105">
        <v>985</v>
      </c>
      <c r="I4" s="105">
        <v>985</v>
      </c>
      <c r="J4" s="3" t="str">
        <f t="shared" si="0"/>
        <v>Yes</v>
      </c>
      <c r="K4" s="5" t="s">
        <v>18</v>
      </c>
      <c r="L4" s="27"/>
      <c r="N4" s="2" t="s">
        <v>23</v>
      </c>
      <c r="O4" s="3" t="s">
        <v>5</v>
      </c>
      <c r="P4" s="3" t="s">
        <v>6</v>
      </c>
      <c r="Q4" s="3" t="s">
        <v>24</v>
      </c>
      <c r="S4" s="92"/>
      <c r="T4" s="92"/>
    </row>
    <row r="5" spans="1:20">
      <c r="A5" s="6">
        <f>IF(AND(Sufficient_data="Yes",Include_study?="Yes"),1,"")</f>
        <v>1</v>
      </c>
      <c r="B5" s="12" t="s">
        <v>25</v>
      </c>
      <c r="C5" s="5" t="s">
        <v>13</v>
      </c>
      <c r="D5" s="27">
        <v>64</v>
      </c>
      <c r="E5" s="27"/>
      <c r="F5" s="27">
        <v>47.6</v>
      </c>
      <c r="G5" s="27"/>
      <c r="H5" s="27">
        <v>3397</v>
      </c>
      <c r="I5" s="27">
        <v>3397</v>
      </c>
      <c r="J5" s="3" t="str">
        <f t="shared" si="0"/>
        <v>Yes</v>
      </c>
      <c r="K5" s="5" t="s">
        <v>18</v>
      </c>
      <c r="L5" s="27"/>
      <c r="S5" s="92"/>
      <c r="T5" s="92"/>
    </row>
    <row r="6" spans="1:20">
      <c r="A6" s="6">
        <f>IF(AND(Sufficient_data="Yes",Include_study?="Yes"),1,"")</f>
        <v>1</v>
      </c>
      <c r="B6" s="12" t="s">
        <v>21</v>
      </c>
      <c r="C6" s="5" t="s">
        <v>13</v>
      </c>
      <c r="D6" s="27">
        <v>73</v>
      </c>
      <c r="E6" s="27"/>
      <c r="F6" s="27">
        <v>70</v>
      </c>
      <c r="G6" s="27"/>
      <c r="H6" s="27">
        <v>985</v>
      </c>
      <c r="I6" s="27">
        <v>985</v>
      </c>
      <c r="J6" s="3" t="str">
        <f t="shared" si="0"/>
        <v>Yes</v>
      </c>
      <c r="K6" s="5" t="s">
        <v>18</v>
      </c>
      <c r="L6" s="27"/>
      <c r="S6" s="92"/>
      <c r="T6" s="92"/>
    </row>
    <row r="7" spans="1:20">
      <c r="A7" s="6">
        <f>IF(AND(Sufficient_data="Yes",Include_study?="Yes"),1,"")</f>
        <v>1</v>
      </c>
      <c r="B7" s="12" t="s">
        <v>21</v>
      </c>
      <c r="C7" s="5" t="s">
        <v>13</v>
      </c>
      <c r="D7" s="27">
        <v>74</v>
      </c>
      <c r="E7" s="27"/>
      <c r="F7" s="27">
        <v>79</v>
      </c>
      <c r="G7" s="27"/>
      <c r="H7" s="27">
        <v>985</v>
      </c>
      <c r="I7" s="27">
        <v>985</v>
      </c>
      <c r="J7" s="3" t="str">
        <f t="shared" si="0"/>
        <v>Yes</v>
      </c>
      <c r="K7" s="5"/>
      <c r="L7" s="27"/>
      <c r="S7" s="92"/>
      <c r="T7" s="92"/>
    </row>
    <row r="8" spans="1:20">
      <c r="A8" s="6">
        <f>IF(AND(Sufficient_data="Yes",Include_study?="Yes"),1,"")</f>
        <v>1</v>
      </c>
      <c r="B8" s="12" t="s">
        <v>21</v>
      </c>
      <c r="C8" s="5" t="s">
        <v>13</v>
      </c>
      <c r="D8" s="27">
        <v>47</v>
      </c>
      <c r="E8" s="27"/>
      <c r="F8" s="27">
        <v>45</v>
      </c>
      <c r="G8" s="27"/>
      <c r="H8" s="27">
        <v>985</v>
      </c>
      <c r="I8" s="27">
        <v>985</v>
      </c>
      <c r="J8" s="3" t="str">
        <f t="shared" si="0"/>
        <v>Yes</v>
      </c>
      <c r="K8" s="5"/>
      <c r="L8" s="27"/>
      <c r="S8" s="92"/>
      <c r="T8" s="92"/>
    </row>
    <row r="9" spans="1:20">
      <c r="A9" s="6" t="str">
        <f>IF(AND(Sufficient_data="Yes",Include_study?="Yes"),1,"")</f>
        <v/>
      </c>
      <c r="B9" s="12"/>
      <c r="C9" s="5" t="s">
        <v>13</v>
      </c>
      <c r="D9" s="27"/>
      <c r="E9" s="27"/>
      <c r="F9" s="27"/>
      <c r="G9" s="27"/>
      <c r="H9" s="27"/>
      <c r="I9" s="27"/>
      <c r="J9" s="3" t="str">
        <f t="shared" si="0"/>
        <v>No</v>
      </c>
      <c r="K9" s="5" t="s">
        <v>18</v>
      </c>
      <c r="L9" s="27"/>
      <c r="S9" s="92"/>
      <c r="T9" s="92"/>
    </row>
    <row r="10" spans="1:20">
      <c r="A10" s="6" t="str">
        <f>IF(AND(Sufficient_data="Yes",Include_study?="Yes"),COUNT(A$2:A9)+1,"")</f>
        <v/>
      </c>
      <c r="B10" s="12"/>
      <c r="C10" s="5"/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>
      <c r="A11" s="6" t="str">
        <f>IF(AND(Sufficient_data="Yes",Include_study?="Yes"),COUNT(A$2:A10)+1,"")</f>
        <v/>
      </c>
      <c r="B11" s="12"/>
      <c r="C11" s="5"/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>
      <c r="A12" s="6"/>
      <c r="B12" s="12"/>
      <c r="C12" s="5"/>
      <c r="D12" s="27"/>
      <c r="E12" s="27"/>
      <c r="F12" s="27"/>
      <c r="G12" s="27"/>
      <c r="H12" s="27"/>
      <c r="I12" s="27"/>
      <c r="J12" s="3" t="str">
        <f t="shared" si="0"/>
        <v>No</v>
      </c>
      <c r="K12" s="5"/>
      <c r="L12" s="27"/>
      <c r="S12" s="92"/>
      <c r="T12" s="92"/>
    </row>
    <row r="13" spans="1:20">
      <c r="A13" s="6"/>
      <c r="B13" s="12"/>
      <c r="C13" s="5"/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>
      <c r="A14" s="6" t="str">
        <f>IF(AND(Sufficient_data="Yes",Include_study?="Yes"),COUNT(A$2:A13)+1,"")</f>
        <v/>
      </c>
      <c r="B14" s="12"/>
      <c r="C14" s="5"/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</row>
    <row r="15" spans="1:20">
      <c r="A15" s="6" t="str">
        <f>IF(AND(Sufficient_data="Yes",Include_study?="Yes"),COUNT(A$2:A14)+1,"")</f>
        <v/>
      </c>
      <c r="B15" s="12"/>
      <c r="C15" s="5"/>
      <c r="D15" s="27"/>
      <c r="E15" s="27"/>
      <c r="F15" s="27"/>
      <c r="G15" s="27"/>
      <c r="H15" s="27"/>
      <c r="I15" s="27"/>
      <c r="J15" s="3" t="str">
        <f>IF(AND(OR(AND(a_&lt;&gt;"",b_&lt;&gt;""),AND(OR(a_&lt;&gt;"",b_&lt;&gt;""),n1_&lt;&gt;"")),OR(AND(c_&lt;&gt;"",d_&lt;&gt;""),AND(OR(c_&lt;&gt;"",d_&lt;&gt;""),n2_&lt;&gt;""))),"Yes","No")</f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0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0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22</v>
      </c>
      <c r="D30" s="27"/>
      <c r="E30" s="27"/>
      <c r="F30" s="27"/>
      <c r="G30" s="27"/>
      <c r="H30" s="5"/>
      <c r="I30" s="5"/>
      <c r="J30" s="3" t="str">
        <f t="shared" si="0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22</v>
      </c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22</v>
      </c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22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22</v>
      </c>
      <c r="D34" s="27"/>
      <c r="E34" s="27"/>
      <c r="F34" s="27"/>
      <c r="G34" s="27"/>
      <c r="H34" s="5"/>
      <c r="I34" s="5"/>
      <c r="J34" s="3" t="str">
        <f t="shared" ref="J34:J65" si="1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22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22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22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22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22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22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22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22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22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22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22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22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22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22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22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22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22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22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22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22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22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22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22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22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22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22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22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22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22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22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22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22</v>
      </c>
      <c r="D66" s="5"/>
      <c r="E66" s="5"/>
      <c r="F66" s="5"/>
      <c r="G66" s="5"/>
      <c r="H66" s="5"/>
      <c r="I66" s="5"/>
      <c r="J66" s="3" t="str">
        <f t="shared" ref="J66:J97" si="2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22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22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22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22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22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22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22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22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22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22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22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22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22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22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22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22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22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22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22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22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22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22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22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22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22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22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22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22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22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22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22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22</v>
      </c>
      <c r="D98" s="5"/>
      <c r="E98" s="5"/>
      <c r="F98" s="5"/>
      <c r="G98" s="5"/>
      <c r="H98" s="5"/>
      <c r="I98" s="5"/>
      <c r="J98" s="3" t="str">
        <f t="shared" ref="J98:J129" si="3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22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22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22</v>
      </c>
      <c r="D101" s="5"/>
      <c r="E101" s="5"/>
      <c r="F101" s="5"/>
      <c r="G101" s="5"/>
      <c r="H101" s="5"/>
      <c r="I101" s="5"/>
      <c r="J101" s="3" t="str">
        <f t="shared" si="3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22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22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22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22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22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22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22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22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22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22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22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22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22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22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22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22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22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22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22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22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22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22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22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22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22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22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22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22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22</v>
      </c>
      <c r="D130" s="5"/>
      <c r="E130" s="5"/>
      <c r="F130" s="5"/>
      <c r="G130" s="5"/>
      <c r="H130" s="5"/>
      <c r="I130" s="5"/>
      <c r="J130" s="3" t="str">
        <f t="shared" ref="J130:J161" si="4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22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22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22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5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6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6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6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" activePane="bottomLeft" state="frozen"/>
      <selection pane="bottomLeft" activeCell="E2" sqref="E2:I7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19.6640625" customWidth="1"/>
    <col min="6" max="9" width="9.5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2" t="s">
        <v>26</v>
      </c>
      <c r="B1" s="112"/>
      <c r="D1" s="1" t="s">
        <v>27</v>
      </c>
      <c r="E1" s="93" t="s">
        <v>1</v>
      </c>
      <c r="F1" s="93" t="str">
        <f>IF(Present_Effect_size_measure&lt;&gt;"",Present_Effect_size_measure,"")</f>
        <v>Odds Ratio</v>
      </c>
      <c r="G1" s="93" t="s">
        <v>28</v>
      </c>
      <c r="H1" s="93" t="s">
        <v>29</v>
      </c>
      <c r="I1" s="93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31</v>
      </c>
      <c r="B2" s="5" t="s">
        <v>32</v>
      </c>
      <c r="D2" s="47">
        <v>1</v>
      </c>
      <c r="E2" s="94" t="str">
        <f>IF(Number&lt;=COUNT(Entry_number),INDEX(Lookup_table,MATCH(Number,Calculations!AK:AK,0),3),"")</f>
        <v>Neuman et al.</v>
      </c>
      <c r="F2" s="95">
        <f>IF(Ranked_number&lt;=COUNT(Entry_number),INDEX(Lookup_table,MATCH(Number,Calculations!AK:AK,0),5),"")</f>
        <v>1.102076889085285</v>
      </c>
      <c r="G2" s="95">
        <f>IF(Ranked_number&lt;=COUNT(Entry_number),INDEX(Lookup_table,MATCH(Number,Calculations!AK:AK,0),9),"")</f>
        <v>0.77414775634190425</v>
      </c>
      <c r="H2" s="95">
        <f>IF(Ranked_number&lt;=COUNT(Entry_number),INDEX(Lookup_table,MATCH(Number,Calculations!AK:AK,0),10),"")</f>
        <v>1.5689168631000725</v>
      </c>
      <c r="I2" s="96">
        <f>IF(D2&lt;=COUNT(Entry_number),INDEX(Lookup_table,MATCH(Number,Calculations!AK:AK,0),11),"")</f>
        <v>0.17544653548962721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25" t="s">
        <v>34</v>
      </c>
      <c r="O2" s="126" t="s">
        <v>35</v>
      </c>
    </row>
    <row r="3" spans="1:15">
      <c r="A3" s="3" t="s">
        <v>36</v>
      </c>
      <c r="B3" s="29">
        <v>0.95</v>
      </c>
      <c r="D3" s="48">
        <v>2</v>
      </c>
      <c r="E3" s="94" t="str">
        <f>IF(Number&lt;=COUNT(Entry_number),INDEX(Lookup_table,MATCH(Number,Calculations!AK:AK,0),3),"")</f>
        <v>Neuman et al.</v>
      </c>
      <c r="F3" s="95">
        <f>IF(Ranked_number&lt;=COUNT(Entry_number),INDEX(Lookup_table,MATCH(Number,Calculations!AK:AK,0),5),"")</f>
        <v>1.1547711733101051</v>
      </c>
      <c r="G3" s="95">
        <f>IF(Ranked_number&lt;=COUNT(Entry_number),INDEX(Lookup_table,MATCH(Number,Calculations!AK:AK,0),9),"")</f>
        <v>0.79572475790243646</v>
      </c>
      <c r="H3" s="95">
        <f>IF(Ranked_number&lt;=COUNT(Entry_number),INDEX(Lookup_table,MATCH(Number,Calculations!AK:AK,0),10),"")</f>
        <v>1.6758262822224472</v>
      </c>
      <c r="I3" s="96">
        <f>IF(D3&lt;=COUNT(Entry_number),INDEX(Lookup_table,MATCH(Number,Calculations!AK:AK,0),11),"")</f>
        <v>0.15768142851488864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5"/>
      <c r="O3" s="126"/>
    </row>
    <row r="4" spans="1:15">
      <c r="D4" s="48">
        <v>3</v>
      </c>
      <c r="E4" s="16" t="str">
        <f>IF(Number&lt;=COUNT(Entry_number),INDEX(Lookup_table,MATCH(Number,Calculations!AK:AK,0),3),"")</f>
        <v>Hazarika et al. (A)</v>
      </c>
      <c r="F4" s="4">
        <f>IF(Ranked_number&lt;=COUNT(Entry_number),INDEX(Lookup_table,MATCH(Number,Calculations!AK:AK,0),5),"")</f>
        <v>1.3511536027552333</v>
      </c>
      <c r="G4" s="4">
        <f>IF(Ranked_number&lt;=COUNT(Entry_number),INDEX(Lookup_table,MATCH(Number,Calculations!AK:AK,0),9),"")</f>
        <v>0.92561643351910683</v>
      </c>
      <c r="H4" s="4">
        <f>IF(Ranked_number&lt;=COUNT(Entry_number),INDEX(Lookup_table,MATCH(Number,Calculations!AK:AK,0),10),"")</f>
        <v>1.9723245959426476</v>
      </c>
      <c r="I4" s="8">
        <f>IF(D4&lt;=COUNT(Entry_number),INDEX(Lookup_table,MATCH(Number,Calculations!AK:AK,0),11),"")</f>
        <v>0.15287789636313134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25"/>
      <c r="O4" s="126"/>
    </row>
    <row r="5" spans="1:15">
      <c r="A5" s="112" t="s">
        <v>38</v>
      </c>
      <c r="B5" s="112"/>
      <c r="D5" s="48">
        <v>4</v>
      </c>
      <c r="E5" s="16" t="str">
        <f>IF(Number&lt;=COUNT(Entry_number),INDEX(Lookup_table,MATCH(Number,Calculations!AK:AK,0),3),"")</f>
        <v xml:space="preserve">Quan et al. </v>
      </c>
      <c r="F5" s="4">
        <f>IF(Ranked_number&lt;=COUNT(Entry_number),INDEX(Lookup_table,MATCH(Number,Calculations!AK:AK,0),5),"")</f>
        <v>1.0462875939849625</v>
      </c>
      <c r="G5" s="4">
        <f>IF(Ranked_number&lt;=COUNT(Entry_number),INDEX(Lookup_table,MATCH(Number,Calculations!AK:AK,0),9),"")</f>
        <v>0.74422006261036044</v>
      </c>
      <c r="H5" s="4">
        <f>IF(Ranked_number&lt;=COUNT(Entry_number),INDEX(Lookup_table,MATCH(Number,Calculations!AK:AK,0),10),"")</f>
        <v>1.4709597124902904</v>
      </c>
      <c r="I5" s="8">
        <f>IF(D5&lt;=COUNT(Entry_number),INDEX(Lookup_table,MATCH(Number,Calculations!AK:AK,0),11),"")</f>
        <v>0.18863921105208137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5"/>
      <c r="O5" s="126"/>
    </row>
    <row r="6" spans="1:15">
      <c r="A6" s="3" t="s">
        <v>39</v>
      </c>
      <c r="B6" s="5" t="s">
        <v>40</v>
      </c>
      <c r="D6" s="48">
        <v>5</v>
      </c>
      <c r="E6" s="16" t="str">
        <f>IF(Number&lt;=COUNT(Entry_number),INDEX(Lookup_table,MATCH(Number,Calculations!AK:AK,0),3),"")</f>
        <v xml:space="preserve">Quan et al. </v>
      </c>
      <c r="F6" s="4">
        <f>IF(Ranked_number&lt;=COUNT(Entry_number),INDEX(Lookup_table,MATCH(Number,Calculations!AK:AK,0),5),"")</f>
        <v>0.93156775834039651</v>
      </c>
      <c r="G6" s="4">
        <f>IF(Ranked_number&lt;=COUNT(Entry_number),INDEX(Lookup_table,MATCH(Number,Calculations!AK:AK,0),9),"")</f>
        <v>0.6694943358611587</v>
      </c>
      <c r="H6" s="4">
        <f>IF(Ranked_number&lt;=COUNT(Entry_number),INDEX(Lookup_table,MATCH(Number,Calculations!AK:AK,0),10),"")</f>
        <v>1.2962297690884748</v>
      </c>
      <c r="I6" s="8">
        <f>IF(D6&lt;=COUNT(Entry_number),INDEX(Lookup_table,MATCH(Number,Calculations!AK:AK,0),11),"")</f>
        <v>0.20061012435866152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25"/>
      <c r="O6" s="126"/>
    </row>
    <row r="7" spans="1:15">
      <c r="A7" s="3" t="s">
        <v>42</v>
      </c>
      <c r="B7" s="5" t="s">
        <v>43</v>
      </c>
      <c r="D7" s="48">
        <v>6</v>
      </c>
      <c r="E7" s="16" t="str">
        <f>IF(Number&lt;=COUNT(Entry_number),INDEX(Lookup_table,MATCH(Number,Calculations!AK:AK,0),3),"")</f>
        <v xml:space="preserve">Quan et al. </v>
      </c>
      <c r="F7" s="4">
        <f>IF(Ranked_number&lt;=COUNT(Entry_number),INDEX(Lookup_table,MATCH(Number,Calculations!AK:AK,0),5),"")</f>
        <v>1.04667140488036</v>
      </c>
      <c r="G7" s="4">
        <f>IF(Ranked_number&lt;=COUNT(Entry_number),INDEX(Lookup_table,MATCH(Number,Calculations!AK:AK,0),9),"")</f>
        <v>0.6884529622419121</v>
      </c>
      <c r="H7" s="4">
        <f>IF(Ranked_number&lt;=COUNT(Entry_number),INDEX(Lookup_table,MATCH(Number,Calculations!AK:AK,0),10),"")</f>
        <v>1.5912794190422508</v>
      </c>
      <c r="I7" s="8">
        <f>IF(D7&lt;=COUNT(Entry_number),INDEX(Lookup_table,MATCH(Number,Calculations!AK:AK,0),11),"")</f>
        <v>0.1247448042216099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25"/>
      <c r="O7" s="126"/>
    </row>
    <row r="8" spans="1:15">
      <c r="A8" s="3" t="s">
        <v>45</v>
      </c>
      <c r="B8" s="5" t="s">
        <v>43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5"/>
      <c r="O8" s="126"/>
    </row>
    <row r="9" spans="1:15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5"/>
      <c r="O9" s="126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5"/>
      <c r="O10" s="126"/>
    </row>
    <row r="11" spans="1:15">
      <c r="A11" s="112" t="s">
        <v>47</v>
      </c>
      <c r="B11" s="112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5"/>
      <c r="O11" s="126"/>
    </row>
    <row r="12" spans="1:15">
      <c r="A12" s="3" t="s">
        <v>48</v>
      </c>
      <c r="B12" s="5" t="s">
        <v>33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5"/>
      <c r="O12" s="126"/>
    </row>
    <row r="13" spans="1:15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5"/>
      <c r="O13" s="126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5"/>
      <c r="O14" s="126"/>
    </row>
    <row r="15" spans="1:15">
      <c r="A15" s="112" t="s">
        <v>51</v>
      </c>
      <c r="B15" s="11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5"/>
      <c r="O15" s="126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1.0895434438984208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5"/>
      <c r="O16" s="126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0.95536344007146456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5"/>
      <c r="O17" s="126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1.2425689181210784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5"/>
      <c r="O18" s="126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0.95536344007146456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5"/>
      <c r="O19" s="126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1.2425689181210784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5"/>
      <c r="O20" s="126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5"/>
      <c r="O21" s="126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1.6774174566352691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5"/>
      <c r="O22" s="126"/>
    </row>
    <row r="23" spans="1:15">
      <c r="A23" s="3" t="s">
        <v>55</v>
      </c>
      <c r="B23" s="26">
        <f>IF(Valid_options="Yes",IF(B22&lt;&gt;"",1-NORMSDIST(ABS(B22)),""),"")</f>
        <v>4.6730439066486884E-2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5"/>
      <c r="O23" s="126"/>
    </row>
    <row r="24" spans="1:15">
      <c r="A24" s="3" t="s">
        <v>56</v>
      </c>
      <c r="B24" s="26">
        <f>IF(Valid_options="Yes",IF(B22&lt;&gt;"",2*(1-NORMSDIST(ABS(B22))),""),"")</f>
        <v>9.3460878132973768E-2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5"/>
      <c r="O24" s="126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5"/>
      <c r="O25" s="126"/>
    </row>
    <row r="26" spans="1:15" ht="12" customHeight="1">
      <c r="A26" s="3" t="s">
        <v>57</v>
      </c>
      <c r="B26" s="7">
        <f>SUMIF(Sufficient_data,"Yes",Number_of_subjects)</f>
        <v>35400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5"/>
      <c r="O26" s="126"/>
    </row>
    <row r="27" spans="1:15">
      <c r="A27" s="3" t="s">
        <v>58</v>
      </c>
      <c r="B27" s="7">
        <f>COUNT(Weightf)</f>
        <v>6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5"/>
      <c r="O27" s="126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5"/>
      <c r="O28" s="126"/>
    </row>
    <row r="29" spans="1:15">
      <c r="A29" s="112" t="s">
        <v>59</v>
      </c>
      <c r="B29" s="11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5"/>
      <c r="O29" s="126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2.2960617902336464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5"/>
      <c r="O30" s="126"/>
    </row>
    <row r="31" spans="1:15" ht="12.95">
      <c r="A31" s="3" t="s">
        <v>61</v>
      </c>
      <c r="B31" s="26">
        <f>IF(Valid_options="Yes",IF(B30&lt;&gt;"",CHIDIST(B30,k_-1),""),"")</f>
        <v>0.80684511278513971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5"/>
      <c r="O31" s="126"/>
    </row>
    <row r="32" spans="1:15" ht="13.5">
      <c r="A32" s="3" t="s">
        <v>62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5"/>
      <c r="O32" s="126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5"/>
      <c r="O33" s="126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5"/>
      <c r="O34" s="126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5"/>
      <c r="O35" s="126"/>
    </row>
    <row r="36" spans="1:15">
      <c r="A36" s="112" t="s">
        <v>63</v>
      </c>
      <c r="B36" s="11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5"/>
      <c r="O36" s="126"/>
    </row>
    <row r="37" spans="1:15">
      <c r="A37" s="114" t="s">
        <v>40</v>
      </c>
      <c r="B37" s="114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5"/>
      <c r="O37" s="126"/>
    </row>
    <row r="38" spans="1:15">
      <c r="A38" s="115" t="s">
        <v>64</v>
      </c>
      <c r="B38" s="115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5"/>
      <c r="O38" s="126"/>
    </row>
    <row r="39" spans="1:15">
      <c r="A39" s="115" t="s">
        <v>65</v>
      </c>
      <c r="B39" s="115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5"/>
      <c r="O39" s="126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5"/>
      <c r="O40" s="126"/>
    </row>
    <row r="41" spans="1:15">
      <c r="A41" s="112" t="s">
        <v>66</v>
      </c>
      <c r="B41" s="11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5"/>
      <c r="O41" s="126"/>
    </row>
    <row r="42" spans="1:15">
      <c r="A42" s="114" t="str">
        <f>IF(Weighting_method="Peto","Peto Odds Ratio","Odds Ratio")</f>
        <v>Odds Ratio</v>
      </c>
      <c r="B42" s="114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5"/>
      <c r="O42" s="126"/>
    </row>
    <row r="43" spans="1:15">
      <c r="A43" s="115" t="str">
        <f>IF(Weighting_method="Inverse variance","Risk Ratio","")</f>
        <v>Risk Ratio</v>
      </c>
      <c r="B43" s="115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5"/>
      <c r="O43" s="126"/>
    </row>
    <row r="44" spans="1:15">
      <c r="A44" s="115" t="str">
        <f>IF(Weighting_method="Inverse variance","Risk Difference","")</f>
        <v>Risk Difference</v>
      </c>
      <c r="B44" s="115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5"/>
      <c r="O44" s="126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5"/>
      <c r="O45" s="126"/>
    </row>
    <row r="46" spans="1:15">
      <c r="A46" s="112" t="s">
        <v>67</v>
      </c>
      <c r="B46" s="11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5"/>
      <c r="O46" s="126"/>
    </row>
    <row r="47" spans="1:15">
      <c r="A47" s="114" t="str">
        <f>IF(Model_effect_size_measure&lt;&gt;"",Model_effect_size_measure,"")</f>
        <v>Odds Ratio</v>
      </c>
      <c r="B47" s="114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5"/>
      <c r="O47" s="126"/>
    </row>
    <row r="48" spans="1:15">
      <c r="A48" s="115" t="str">
        <f>IF(OR(Model_effect_size_measure="Odds Ratio",Model_effect_size_measure="Peto Odds Ratio"),"Risk Ratio",IF(Model_effect_size_measure="Risk Ratio","Risk Difference",""))</f>
        <v>Risk Ratio</v>
      </c>
      <c r="B48" s="115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5"/>
      <c r="O48" s="126"/>
    </row>
    <row r="49" spans="1:15">
      <c r="A49" s="115" t="str">
        <f>IF(OR(Model_effect_size_measure="Odds Ratio",Model_effect_size_measure="Peto Odds Ratio"),"Risk Difference","")</f>
        <v>Risk Difference</v>
      </c>
      <c r="B49" s="115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5"/>
      <c r="O49" s="126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5"/>
      <c r="O50" s="126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5"/>
      <c r="O51" s="126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5"/>
      <c r="O52" s="126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5"/>
      <c r="O53" s="126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5"/>
      <c r="O54" s="126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5"/>
      <c r="O55" s="126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5"/>
      <c r="O56" s="126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5"/>
      <c r="O57" s="126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5"/>
      <c r="O58" s="126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5"/>
      <c r="O59" s="126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5"/>
      <c r="O60" s="126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5"/>
      <c r="O61" s="126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5"/>
      <c r="O62" s="126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5"/>
      <c r="O63" s="126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5"/>
      <c r="O64" s="126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5"/>
      <c r="O65" s="126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5"/>
      <c r="O66" s="126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5"/>
      <c r="O67" s="126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5"/>
      <c r="O68" s="126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5"/>
      <c r="O69" s="126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5"/>
      <c r="O70" s="126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5"/>
      <c r="O71" s="126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5"/>
      <c r="O72" s="126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5"/>
      <c r="O73" s="126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5"/>
      <c r="O74" s="126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5"/>
      <c r="O75" s="126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5"/>
      <c r="O76" s="126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5"/>
      <c r="O77" s="126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5"/>
      <c r="O78" s="126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5"/>
      <c r="O79" s="126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5"/>
      <c r="O80" s="126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5"/>
      <c r="O81" s="126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5"/>
      <c r="O82" s="126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5"/>
      <c r="O83" s="126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5"/>
      <c r="O84" s="126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5"/>
      <c r="O85" s="126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5"/>
      <c r="O86" s="126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5"/>
      <c r="O87" s="126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5"/>
      <c r="O88" s="126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5"/>
      <c r="O89" s="126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5"/>
      <c r="O90" s="126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5"/>
      <c r="O91" s="126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5"/>
      <c r="O92" s="126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5"/>
      <c r="O93" s="126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5"/>
      <c r="O94" s="126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5"/>
      <c r="O95" s="126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5"/>
      <c r="O96" s="126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5"/>
      <c r="O97" s="126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5"/>
      <c r="O98" s="126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5"/>
      <c r="O99" s="126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5"/>
      <c r="O100" s="126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5"/>
      <c r="O101" s="126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5"/>
      <c r="O102" s="126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5"/>
      <c r="O103" s="126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5"/>
      <c r="O104" s="126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5"/>
      <c r="O105" s="126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5"/>
      <c r="O106" s="126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5"/>
      <c r="O107" s="126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5"/>
      <c r="O108" s="126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5"/>
      <c r="O109" s="126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5"/>
      <c r="O110" s="126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5"/>
      <c r="O111" s="126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5"/>
      <c r="O112" s="126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5"/>
      <c r="O113" s="126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5"/>
      <c r="O114" s="126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5"/>
      <c r="O115" s="126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5"/>
      <c r="O116" s="126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5"/>
      <c r="O117" s="126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5"/>
      <c r="O118" s="126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5"/>
      <c r="O119" s="126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5"/>
      <c r="O120" s="126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5"/>
      <c r="O121" s="126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5"/>
      <c r="O122" s="126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5"/>
      <c r="O123" s="126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5"/>
      <c r="O124" s="126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5"/>
      <c r="O125" s="126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5"/>
      <c r="O126" s="126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5"/>
      <c r="O127" s="126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5"/>
      <c r="O128" s="126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5"/>
      <c r="O129" s="126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5"/>
      <c r="O130" s="126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5"/>
      <c r="O131" s="126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5"/>
      <c r="O132" s="126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5"/>
      <c r="O133" s="126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5"/>
      <c r="O134" s="126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5"/>
      <c r="O135" s="126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5"/>
      <c r="O136" s="126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5"/>
      <c r="O137" s="126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5"/>
      <c r="O138" s="126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5"/>
      <c r="O139" s="126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5"/>
      <c r="O140" s="126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5"/>
      <c r="O141" s="126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5"/>
      <c r="O142" s="126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5"/>
      <c r="O143" s="126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5"/>
      <c r="O144" s="126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5"/>
      <c r="O145" s="126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5"/>
      <c r="O146" s="126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5"/>
      <c r="O147" s="126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5"/>
      <c r="O148" s="126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5"/>
      <c r="O149" s="126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5"/>
      <c r="O150" s="126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5"/>
      <c r="O151" s="126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5"/>
      <c r="O152" s="126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5"/>
      <c r="O153" s="126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5"/>
      <c r="O154" s="126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5"/>
      <c r="O155" s="126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5"/>
      <c r="O156" s="126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5"/>
      <c r="O157" s="126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5"/>
      <c r="O158" s="126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5"/>
      <c r="O159" s="126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5"/>
      <c r="O160" s="126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5"/>
      <c r="O161" s="126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5"/>
      <c r="O162" s="126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5"/>
      <c r="O163" s="126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5"/>
      <c r="O164" s="126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5"/>
      <c r="O165" s="126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5"/>
      <c r="O166" s="126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5"/>
      <c r="O167" s="126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5"/>
      <c r="O168" s="126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5"/>
      <c r="O169" s="126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5"/>
      <c r="O170" s="126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5"/>
      <c r="O171" s="126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5"/>
      <c r="O172" s="126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5"/>
      <c r="O173" s="126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5"/>
      <c r="O174" s="126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5"/>
      <c r="O175" s="126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5"/>
      <c r="O176" s="126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5"/>
      <c r="O177" s="126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5"/>
      <c r="O178" s="126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5"/>
      <c r="O179" s="126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5"/>
      <c r="O180" s="126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5"/>
      <c r="O181" s="126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5"/>
      <c r="O182" s="126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5"/>
      <c r="O183" s="126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5"/>
      <c r="O184" s="126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5"/>
      <c r="O185" s="126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5"/>
      <c r="O186" s="126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5"/>
      <c r="O187" s="126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5"/>
      <c r="O188" s="126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5"/>
      <c r="O189" s="126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5"/>
      <c r="O190" s="126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5"/>
      <c r="O191" s="126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5"/>
      <c r="O192" s="126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5"/>
      <c r="O193" s="126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5"/>
      <c r="O194" s="126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5"/>
      <c r="O195" s="126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5"/>
      <c r="O196" s="126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5"/>
      <c r="O197" s="126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5"/>
      <c r="O198" s="126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5"/>
      <c r="O199" s="126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5"/>
      <c r="O200" s="126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5"/>
      <c r="O201" s="127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31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2" t="s">
        <v>26</v>
      </c>
      <c r="B1" s="112"/>
      <c r="C1" s="112"/>
      <c r="D1" s="112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>
      <c r="A2" s="3" t="s">
        <v>73</v>
      </c>
      <c r="B2" s="116" t="s">
        <v>74</v>
      </c>
      <c r="C2" s="116"/>
      <c r="D2" s="116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28" t="s">
        <v>75</v>
      </c>
      <c r="U2" s="126" t="s">
        <v>76</v>
      </c>
      <c r="W2" s="126" t="s">
        <v>77</v>
      </c>
      <c r="Y2" s="126" t="s">
        <v>78</v>
      </c>
      <c r="AA2" s="126" t="s">
        <v>79</v>
      </c>
    </row>
    <row r="3" spans="1:27">
      <c r="A3" s="3" t="s">
        <v>80</v>
      </c>
      <c r="B3" s="117" t="s">
        <v>43</v>
      </c>
      <c r="C3" s="117"/>
      <c r="D3" s="117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8"/>
      <c r="U3" s="126"/>
      <c r="W3" s="126"/>
      <c r="Y3" s="126"/>
      <c r="AA3" s="126"/>
    </row>
    <row r="4" spans="1:27" ht="11.25" customHeight="1">
      <c r="A4" s="3" t="s">
        <v>46</v>
      </c>
      <c r="B4" s="118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8"/>
      <c r="D4" s="118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8"/>
      <c r="U4" s="126"/>
      <c r="W4" s="126"/>
      <c r="Y4" s="126"/>
      <c r="AA4" s="126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5" s="4">
        <f>IF(COUNTIF(Calculations!DP:DP,Subgroup_number)=1,INDEX(Calculations!DP:EU,MATCH(Subgroup_number,Calculations!DP:DP,0),5),IF(Subgroup_number=Calculations!EY$25,Calculations!EY$17,""))</f>
        <v>0.97480279331632946</v>
      </c>
      <c r="M5" s="26">
        <f>IF(COUNTIF(Calculations!DP:DP,Subgroup_number)=1,INDEX(Calculations!DP:EU,MATCH(Subgroup_number,Calculations!DP:DP,0),6),IF(Subgroup_number=Calculations!EY$25,Calculations!EY$18,""))</f>
        <v>0.614220437425674</v>
      </c>
      <c r="N5" s="8">
        <f>IF(COUNTIF(Calculations!DP:DP,Subgroup_number)=1,INDEX(Calculations!DP:EU,MATCH(Subgroup_number,Calculations!DP:DP,0),7),IF(Subgroup_number=Calculations!EY$25,Calculations!EY$19,""))</f>
        <v>0</v>
      </c>
      <c r="O5" s="4">
        <f>IF(COUNTIF(Calculations!DP:DP,Subgroup_number)=1,INDEX(Calculations!DP:EU,MATCH(Subgroup_number,Calculations!DP:DP,0),9),IF(Subgroup_number=Calculations!EY$25,Calculations!EY$20,""))</f>
        <v>0</v>
      </c>
      <c r="P5" s="4">
        <f>IF(COUNTIF(Calculations!DP:DP,Subgroup_number)=1,INDEX(Calculations!DP:EU,MATCH(Subgroup_number,Calculations!DP:DP,0),10),IF(Subgroup_number=Calculations!EY$25,Calculations!EY$21,""))</f>
        <v>0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5" s="128"/>
      <c r="U5" s="126"/>
      <c r="W5" s="126"/>
      <c r="Y5" s="126"/>
      <c r="AA5" s="126"/>
    </row>
    <row r="6" spans="1:27">
      <c r="A6" s="3" t="s">
        <v>81</v>
      </c>
      <c r="B6" s="117" t="s">
        <v>82</v>
      </c>
      <c r="C6" s="117"/>
      <c r="D6" s="117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Neuman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1.102076889085285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0.77414780470342548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1.5689167650888065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8"/>
      <c r="U6" s="126"/>
      <c r="W6" s="126"/>
      <c r="Y6" s="126"/>
      <c r="AA6" s="126"/>
    </row>
    <row r="7" spans="1:27">
      <c r="A7" s="3" t="s">
        <v>83</v>
      </c>
      <c r="B7" s="117" t="s">
        <v>84</v>
      </c>
      <c r="C7" s="117"/>
      <c r="D7" s="117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French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7" s="4">
        <f>IF(COUNTIF(Calculations!DP:DP,Subgroup_number)=1,INDEX(Calculations!DP:EU,MATCH(Subgroup_number,Calculations!DP:DP,0),5),IF(Subgroup_number=Calculations!EY$25,Calculations!EY$17,""))</f>
        <v>0</v>
      </c>
      <c r="M7" s="26" t="e">
        <f>IF(COUNTIF(Calculations!DP:DP,Subgroup_number)=1,INDEX(Calculations!DP:EU,MATCH(Subgroup_number,Calculations!DP:DP,0),6),IF(Subgroup_number=Calculations!EY$25,Calculations!EY$18,""))</f>
        <v>#NUM!</v>
      </c>
      <c r="N7" s="8">
        <f>IF(COUNTIF(Calculations!DP:DP,Subgroup_number)=1,INDEX(Calculations!DP:EU,MATCH(Subgroup_number,Calculations!DP:DP,0),7),IF(Subgroup_number=Calculations!EY$25,Calculations!EY$19,""))</f>
        <v>0</v>
      </c>
      <c r="O7" s="4" t="e">
        <f>IF(COUNTIF(Calculations!DP:DP,Subgroup_number)=1,INDEX(Calculations!DP:EU,MATCH(Subgroup_number,Calculations!DP:DP,0),9),IF(Subgroup_number=Calculations!EY$25,Calculations!EY$20,""))</f>
        <v>#DIV/0!</v>
      </c>
      <c r="P7" s="4" t="e">
        <f>IF(COUNTIF(Calculations!DP:DP,Subgroup_number)=1,INDEX(Calculations!DP:EU,MATCH(Subgroup_number,Calculations!DP:DP,0),10),IF(Subgroup_number=Calculations!EY$25,Calculations!EY$21,""))</f>
        <v>#DIV/0!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7" s="128"/>
      <c r="U7" s="126"/>
      <c r="W7" s="126"/>
      <c r="Y7" s="126"/>
      <c r="AA7" s="126"/>
    </row>
    <row r="8" spans="1:27">
      <c r="A8" s="3" t="s">
        <v>36</v>
      </c>
      <c r="B8" s="119">
        <v>0.95</v>
      </c>
      <c r="C8" s="119"/>
      <c r="D8" s="119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>
        <f>IF(COUNTIF(Calculations!DP:DP,Subgroup_number)=1,INDEX(Calculations!DP:EU,MATCH(Subgroup_number,Calculations!DP:DP,0),5),IF(Subgroup_number=Calculations!EY$25,Calculations!EY$17,""))</f>
        <v>1.0502737959270161</v>
      </c>
      <c r="M8" s="26">
        <f>IF(COUNTIF(Calculations!DP:DP,Subgroup_number)=1,INDEX(Calculations!DP:EU,MATCH(Subgroup_number,Calculations!DP:DP,0),6),IF(Subgroup_number=Calculations!EY$25,Calculations!EY$18,""))</f>
        <v>0.78908966925393165</v>
      </c>
      <c r="N8" s="8">
        <f>IF(COUNTIF(Calculations!DP:DP,Subgroup_number)=1,INDEX(Calculations!DP:EU,MATCH(Subgroup_number,Calculations!DP:DP,0),7),IF(Subgroup_number=Calculations!EY$25,Calculations!EY$19,""))</f>
        <v>0</v>
      </c>
      <c r="O8" s="4">
        <f>IF(COUNTIF(Calculations!DP:DP,Subgroup_number)=1,INDEX(Calculations!DP:EU,MATCH(Subgroup_number,Calculations!DP:DP,0),9),IF(Subgroup_number=Calculations!EY$25,Calculations!EY$20,""))</f>
        <v>0</v>
      </c>
      <c r="P8" s="4">
        <f>IF(COUNTIF(Calculations!DP:DP,Subgroup_number)=1,INDEX(Calculations!DP:EU,MATCH(Subgroup_number,Calculations!DP:DP,0),10),IF(Subgroup_number=Calculations!EY$25,Calculations!EY$21,""))</f>
        <v>0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8" s="128"/>
      <c r="U8" s="126"/>
      <c r="W8" s="126"/>
      <c r="Y8" s="126"/>
      <c r="AA8" s="126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8"/>
      <c r="U9" s="126"/>
      <c r="W9" s="126"/>
      <c r="Y9" s="126"/>
      <c r="AA9" s="126"/>
    </row>
    <row r="10" spans="1:27">
      <c r="A10" s="112" t="s">
        <v>51</v>
      </c>
      <c r="B10" s="112"/>
      <c r="C10" s="112"/>
      <c r="D10" s="11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8"/>
      <c r="U10" s="126"/>
      <c r="W10" s="126"/>
      <c r="Y10" s="126"/>
      <c r="AA10" s="126"/>
    </row>
    <row r="11" spans="1:27">
      <c r="A11" s="3" t="str">
        <f>Subgroup_effect_size_measure</f>
        <v>Odds Ratio</v>
      </c>
      <c r="B11" s="129" t="e">
        <f>Calculations!EY9</f>
        <v>#DIV/0!</v>
      </c>
      <c r="C11" s="129"/>
      <c r="D11" s="129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8"/>
      <c r="U11" s="126"/>
      <c r="W11" s="126"/>
      <c r="Y11" s="126"/>
      <c r="AA11" s="126"/>
    </row>
    <row r="12" spans="1:27">
      <c r="A12" s="3" t="s">
        <v>28</v>
      </c>
      <c r="B12" s="130" t="e">
        <f>Calculations!EY11</f>
        <v>#DIV/0!</v>
      </c>
      <c r="C12" s="130"/>
      <c r="D12" s="130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8"/>
      <c r="U12" s="126"/>
      <c r="W12" s="126"/>
      <c r="Y12" s="126"/>
      <c r="AA12" s="126"/>
    </row>
    <row r="13" spans="1:27">
      <c r="A13" s="3" t="s">
        <v>29</v>
      </c>
      <c r="B13" s="130" t="e">
        <f>Calculations!EY12</f>
        <v>#DIV/0!</v>
      </c>
      <c r="C13" s="130"/>
      <c r="D13" s="130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8"/>
      <c r="U13" s="126"/>
      <c r="W13" s="126"/>
      <c r="Y13" s="126"/>
      <c r="AA13" s="126"/>
    </row>
    <row r="14" spans="1:27">
      <c r="A14" s="3" t="s">
        <v>52</v>
      </c>
      <c r="B14" s="130" t="e">
        <f>Calculations!EY13</f>
        <v>#DIV/0!</v>
      </c>
      <c r="C14" s="130"/>
      <c r="D14" s="130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8"/>
      <c r="U14" s="126"/>
      <c r="W14" s="126"/>
      <c r="Y14" s="126"/>
      <c r="AA14" s="126"/>
    </row>
    <row r="15" spans="1:27">
      <c r="A15" s="3" t="s">
        <v>53</v>
      </c>
      <c r="B15" s="130" t="e">
        <f>Calculations!EY14</f>
        <v>#DIV/0!</v>
      </c>
      <c r="C15" s="130"/>
      <c r="D15" s="130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8"/>
      <c r="U15" s="126"/>
      <c r="W15" s="126"/>
      <c r="Y15" s="126"/>
      <c r="AA15" s="126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8"/>
      <c r="U16" s="126"/>
      <c r="W16" s="126"/>
      <c r="Y16" s="126"/>
      <c r="AA16" s="126"/>
    </row>
    <row r="17" spans="1:27">
      <c r="A17" s="3" t="s">
        <v>57</v>
      </c>
      <c r="B17" s="131">
        <f>SUMIF(Sufficient_data,"Yes",Number_of_subjects)</f>
        <v>35400</v>
      </c>
      <c r="C17" s="131"/>
      <c r="D17" s="131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8"/>
      <c r="U17" s="126"/>
      <c r="W17" s="126"/>
      <c r="Y17" s="126"/>
      <c r="AA17" s="126"/>
    </row>
    <row r="18" spans="1:27">
      <c r="A18" s="3" t="s">
        <v>58</v>
      </c>
      <c r="B18" s="131">
        <f>COUNT(Subgroup_weightf)</f>
        <v>4</v>
      </c>
      <c r="C18" s="131"/>
      <c r="D18" s="131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8"/>
      <c r="U18" s="126"/>
      <c r="W18" s="126"/>
      <c r="Y18" s="126"/>
      <c r="AA18" s="126"/>
    </row>
    <row r="19" spans="1:27">
      <c r="A19" s="3" t="s">
        <v>85</v>
      </c>
      <c r="B19" s="131">
        <f>COUNT(Calculations!DZ:DZ)</f>
        <v>0</v>
      </c>
      <c r="C19" s="131"/>
      <c r="D19" s="131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8"/>
      <c r="U19" s="126"/>
      <c r="W19" s="126"/>
      <c r="Y19" s="126"/>
      <c r="AA19" s="126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8"/>
      <c r="U20" s="126"/>
      <c r="W20" s="126"/>
      <c r="Y20" s="126"/>
      <c r="AA20" s="126"/>
    </row>
    <row r="21" spans="1:27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8"/>
      <c r="U21" s="126"/>
      <c r="W21" s="126"/>
      <c r="Y21" s="126"/>
      <c r="AA21" s="126"/>
    </row>
    <row r="22" spans="1:27">
      <c r="A22" s="3" t="s">
        <v>89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8"/>
      <c r="U22" s="126"/>
      <c r="W22" s="126"/>
      <c r="Y22" s="126"/>
      <c r="AA22" s="126"/>
    </row>
    <row r="23" spans="1:27">
      <c r="A23" s="3" t="s">
        <v>90</v>
      </c>
      <c r="B23" s="4" t="e">
        <f>SUM(Calculations!EP:EP)</f>
        <v>#DIV/0!</v>
      </c>
      <c r="C23" s="7">
        <f>Subgroup_k-Number_of_subgroups</f>
        <v>4</v>
      </c>
      <c r="D23" s="26" t="e">
        <f>CHIDIST(B23,C23)</f>
        <v>#DIV/0!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8"/>
      <c r="U23" s="126"/>
      <c r="W23" s="126"/>
      <c r="Y23" s="126"/>
      <c r="AA23" s="126"/>
    </row>
    <row r="24" spans="1:27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3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8"/>
      <c r="U24" s="126"/>
      <c r="W24" s="126"/>
      <c r="Y24" s="126"/>
      <c r="AA24" s="126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8"/>
      <c r="U25" s="126"/>
      <c r="W25" s="126"/>
      <c r="Y25" s="126"/>
      <c r="AA25" s="126"/>
    </row>
    <row r="26" spans="1:27" ht="13.5">
      <c r="A26" s="3" t="s">
        <v>91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8"/>
      <c r="U26" s="126"/>
      <c r="W26" s="126"/>
      <c r="Y26" s="126"/>
      <c r="AA26" s="126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8"/>
      <c r="U27" s="126"/>
      <c r="W27" s="126"/>
      <c r="Y27" s="126"/>
      <c r="AA27" s="126"/>
    </row>
    <row r="28" spans="1:27">
      <c r="A28" s="112" t="s">
        <v>63</v>
      </c>
      <c r="B28" s="112"/>
      <c r="C28" s="112"/>
      <c r="D28" s="11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8"/>
      <c r="U28" s="126"/>
      <c r="W28" s="126"/>
      <c r="Y28" s="126"/>
      <c r="AA28" s="126"/>
    </row>
    <row r="29" spans="1:27">
      <c r="A29" s="114" t="s">
        <v>74</v>
      </c>
      <c r="B29" s="114"/>
      <c r="C29" s="114"/>
      <c r="D29" s="114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8"/>
      <c r="U29" s="126"/>
      <c r="W29" s="126"/>
      <c r="Y29" s="126"/>
      <c r="AA29" s="126"/>
    </row>
    <row r="30" spans="1:27">
      <c r="A30" s="115" t="s">
        <v>64</v>
      </c>
      <c r="B30" s="115"/>
      <c r="C30" s="115"/>
      <c r="D30" s="115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8"/>
      <c r="U30" s="126"/>
      <c r="W30" s="126"/>
      <c r="Y30" s="126"/>
      <c r="AA30" s="126"/>
    </row>
    <row r="31" spans="1:27">
      <c r="A31" s="115" t="s">
        <v>65</v>
      </c>
      <c r="B31" s="115"/>
      <c r="C31" s="115"/>
      <c r="D31" s="115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8"/>
      <c r="U31" s="126"/>
      <c r="W31" s="126"/>
      <c r="Y31" s="126"/>
      <c r="AA31" s="126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8"/>
      <c r="U32" s="126"/>
      <c r="W32" s="126"/>
      <c r="Y32" s="126"/>
      <c r="AA32" s="126"/>
    </row>
    <row r="33" spans="1:27">
      <c r="A33" s="112" t="s">
        <v>92</v>
      </c>
      <c r="B33" s="112"/>
      <c r="C33" s="112"/>
      <c r="D33" s="11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8"/>
      <c r="U33" s="126"/>
      <c r="W33" s="126"/>
      <c r="Y33" s="126"/>
      <c r="AA33" s="126"/>
    </row>
    <row r="34" spans="1:27">
      <c r="A34" s="114" t="str">
        <f>IF(Subgroup_weighting_method="Peto","Peto Odds Ratio","Odds Ratio")</f>
        <v>Odds Ratio</v>
      </c>
      <c r="B34" s="114"/>
      <c r="C34" s="114"/>
      <c r="D34" s="114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8"/>
      <c r="U34" s="126"/>
      <c r="W34" s="126"/>
      <c r="Y34" s="126"/>
      <c r="AA34" s="126"/>
    </row>
    <row r="35" spans="1:27">
      <c r="A35" s="115" t="str">
        <f>IF(Subgroup_weighting_method="Inverse variance","Risk Ratio","")</f>
        <v>Risk Ratio</v>
      </c>
      <c r="B35" s="115"/>
      <c r="C35" s="115"/>
      <c r="D35" s="115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8"/>
      <c r="U35" s="126"/>
      <c r="W35" s="126"/>
      <c r="Y35" s="126"/>
      <c r="AA35" s="126"/>
    </row>
    <row r="36" spans="1:27">
      <c r="A36" s="115" t="str">
        <f>IF(Subgroup_weighting_method="Inverse Variance","Risk Difference","")</f>
        <v>Risk Difference</v>
      </c>
      <c r="B36" s="115"/>
      <c r="C36" s="115"/>
      <c r="D36" s="115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8"/>
      <c r="U36" s="126"/>
      <c r="W36" s="126"/>
      <c r="Y36" s="126"/>
      <c r="AA36" s="126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8"/>
      <c r="U37" s="126"/>
      <c r="W37" s="126"/>
      <c r="Y37" s="126"/>
      <c r="AA37" s="126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8"/>
      <c r="U38" s="126"/>
      <c r="W38" s="126"/>
      <c r="Y38" s="126"/>
      <c r="AA38" s="126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8"/>
      <c r="U39" s="126"/>
      <c r="W39" s="126"/>
      <c r="Y39" s="126"/>
      <c r="AA39" s="126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8"/>
      <c r="U40" s="126"/>
      <c r="W40" s="126"/>
      <c r="Y40" s="126"/>
      <c r="AA40" s="126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8"/>
      <c r="U41" s="126"/>
      <c r="W41" s="126"/>
      <c r="Y41" s="126"/>
      <c r="AA41" s="126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8"/>
      <c r="U42" s="126"/>
      <c r="W42" s="126"/>
      <c r="Y42" s="126"/>
      <c r="AA42" s="126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8"/>
      <c r="U43" s="126"/>
      <c r="W43" s="126"/>
      <c r="Y43" s="126"/>
      <c r="AA43" s="126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8"/>
      <c r="U44" s="126"/>
      <c r="W44" s="126"/>
      <c r="Y44" s="126"/>
      <c r="AA44" s="126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8"/>
      <c r="U45" s="126"/>
      <c r="W45" s="126"/>
      <c r="Y45" s="126"/>
      <c r="AA45" s="126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8"/>
      <c r="U46" s="126"/>
      <c r="W46" s="126"/>
      <c r="Y46" s="126"/>
      <c r="AA46" s="126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8"/>
      <c r="U47" s="126"/>
      <c r="W47" s="126"/>
      <c r="Y47" s="126"/>
      <c r="AA47" s="126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8"/>
      <c r="U48" s="126"/>
      <c r="W48" s="126"/>
      <c r="Y48" s="126"/>
      <c r="AA48" s="126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8"/>
      <c r="U49" s="126"/>
      <c r="W49" s="126"/>
      <c r="Y49" s="126"/>
      <c r="AA49" s="126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8"/>
      <c r="U50" s="126"/>
      <c r="W50" s="126"/>
      <c r="Y50" s="126"/>
      <c r="AA50" s="126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8"/>
      <c r="U51" s="126"/>
      <c r="W51" s="126"/>
      <c r="Y51" s="126"/>
      <c r="AA51" s="126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8"/>
      <c r="U52" s="126"/>
      <c r="W52" s="126"/>
      <c r="Y52" s="126"/>
      <c r="AA52" s="126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8"/>
      <c r="U53" s="126"/>
      <c r="W53" s="126"/>
      <c r="Y53" s="126"/>
      <c r="AA53" s="126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8"/>
      <c r="U54" s="126"/>
      <c r="W54" s="126"/>
      <c r="Y54" s="126"/>
      <c r="AA54" s="126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8"/>
      <c r="U55" s="126"/>
      <c r="W55" s="126"/>
      <c r="Y55" s="126"/>
      <c r="AA55" s="126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8"/>
      <c r="U56" s="126"/>
      <c r="W56" s="126"/>
      <c r="Y56" s="126"/>
      <c r="AA56" s="126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8"/>
      <c r="U57" s="126"/>
      <c r="W57" s="126"/>
      <c r="Y57" s="126"/>
      <c r="AA57" s="126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8"/>
      <c r="U58" s="126"/>
      <c r="W58" s="126"/>
      <c r="Y58" s="126"/>
      <c r="AA58" s="126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8"/>
      <c r="U59" s="126"/>
      <c r="W59" s="126"/>
      <c r="Y59" s="126"/>
      <c r="AA59" s="126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8"/>
      <c r="U60" s="126"/>
      <c r="W60" s="126"/>
      <c r="Y60" s="126"/>
      <c r="AA60" s="126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8"/>
      <c r="U61" s="126"/>
      <c r="W61" s="126"/>
      <c r="Y61" s="126"/>
      <c r="AA61" s="126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8"/>
      <c r="U62" s="126"/>
      <c r="W62" s="126"/>
      <c r="Y62" s="126"/>
      <c r="AA62" s="126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8"/>
      <c r="U63" s="126"/>
      <c r="W63" s="126"/>
      <c r="Y63" s="126"/>
      <c r="AA63" s="126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8"/>
      <c r="U64" s="126"/>
      <c r="W64" s="126"/>
      <c r="Y64" s="126"/>
      <c r="AA64" s="126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8"/>
      <c r="U65" s="126"/>
      <c r="W65" s="126"/>
      <c r="Y65" s="126"/>
      <c r="AA65" s="126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8"/>
      <c r="U66" s="126"/>
      <c r="W66" s="126"/>
      <c r="Y66" s="126"/>
      <c r="AA66" s="126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8"/>
      <c r="U67" s="126"/>
      <c r="W67" s="126"/>
      <c r="Y67" s="126"/>
      <c r="AA67" s="126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8"/>
      <c r="U68" s="126"/>
      <c r="W68" s="126"/>
      <c r="Y68" s="126"/>
      <c r="AA68" s="126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8"/>
      <c r="U69" s="126"/>
      <c r="W69" s="126"/>
      <c r="Y69" s="126"/>
      <c r="AA69" s="126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8"/>
      <c r="U70" s="126"/>
      <c r="W70" s="126"/>
      <c r="Y70" s="126"/>
      <c r="AA70" s="126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8"/>
      <c r="U71" s="126"/>
      <c r="W71" s="126"/>
      <c r="Y71" s="126"/>
      <c r="AA71" s="126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8"/>
      <c r="U72" s="126"/>
      <c r="W72" s="126"/>
      <c r="Y72" s="126"/>
      <c r="AA72" s="126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8"/>
      <c r="U73" s="126"/>
      <c r="W73" s="126"/>
      <c r="Y73" s="126"/>
      <c r="AA73" s="126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8"/>
      <c r="U74" s="126"/>
      <c r="W74" s="126"/>
      <c r="Y74" s="126"/>
      <c r="AA74" s="126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8"/>
      <c r="U75" s="126"/>
      <c r="W75" s="126"/>
      <c r="Y75" s="126"/>
      <c r="AA75" s="126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8"/>
      <c r="U76" s="126"/>
      <c r="W76" s="126"/>
      <c r="Y76" s="126"/>
      <c r="AA76" s="126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8"/>
      <c r="U77" s="126"/>
      <c r="W77" s="126"/>
      <c r="Y77" s="126"/>
      <c r="AA77" s="126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8"/>
      <c r="U78" s="126"/>
      <c r="W78" s="126"/>
      <c r="Y78" s="126"/>
      <c r="AA78" s="126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8"/>
      <c r="U79" s="126"/>
      <c r="W79" s="126"/>
      <c r="Y79" s="126"/>
      <c r="AA79" s="126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8"/>
      <c r="U80" s="126"/>
      <c r="W80" s="126"/>
      <c r="Y80" s="126"/>
      <c r="AA80" s="126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8"/>
      <c r="U81" s="126"/>
      <c r="W81" s="126"/>
      <c r="Y81" s="126"/>
      <c r="AA81" s="126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8"/>
      <c r="U82" s="126"/>
      <c r="W82" s="126"/>
      <c r="Y82" s="126"/>
      <c r="AA82" s="126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8"/>
      <c r="U83" s="126"/>
      <c r="W83" s="126"/>
      <c r="Y83" s="126"/>
      <c r="AA83" s="126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8"/>
      <c r="U84" s="126"/>
      <c r="W84" s="126"/>
      <c r="Y84" s="126"/>
      <c r="AA84" s="126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8"/>
      <c r="U85" s="126"/>
      <c r="W85" s="126"/>
      <c r="Y85" s="126"/>
      <c r="AA85" s="126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8"/>
      <c r="U86" s="126"/>
      <c r="W86" s="126"/>
      <c r="Y86" s="126"/>
      <c r="AA86" s="126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8"/>
      <c r="U87" s="126"/>
      <c r="W87" s="126"/>
      <c r="Y87" s="126"/>
      <c r="AA87" s="126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8"/>
      <c r="U88" s="126"/>
      <c r="W88" s="126"/>
      <c r="Y88" s="126"/>
      <c r="AA88" s="126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8"/>
      <c r="U89" s="126"/>
      <c r="W89" s="126"/>
      <c r="Y89" s="126"/>
      <c r="AA89" s="126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8"/>
      <c r="U90" s="126"/>
      <c r="W90" s="126"/>
      <c r="Y90" s="126"/>
      <c r="AA90" s="126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8"/>
      <c r="U91" s="126"/>
      <c r="W91" s="126"/>
      <c r="Y91" s="126"/>
      <c r="AA91" s="126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8"/>
      <c r="U92" s="126"/>
      <c r="W92" s="126"/>
      <c r="Y92" s="126"/>
      <c r="AA92" s="126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8"/>
      <c r="U93" s="126"/>
      <c r="W93" s="126"/>
      <c r="Y93" s="126"/>
      <c r="AA93" s="126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8"/>
      <c r="U94" s="126"/>
      <c r="W94" s="126"/>
      <c r="Y94" s="126"/>
      <c r="AA94" s="126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8"/>
      <c r="U95" s="126"/>
      <c r="W95" s="126"/>
      <c r="Y95" s="126"/>
      <c r="AA95" s="126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8"/>
      <c r="U96" s="126"/>
      <c r="W96" s="126"/>
      <c r="Y96" s="126"/>
      <c r="AA96" s="126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8"/>
      <c r="U97" s="126"/>
      <c r="W97" s="126"/>
      <c r="Y97" s="126"/>
      <c r="AA97" s="126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8"/>
      <c r="U98" s="126"/>
      <c r="W98" s="126"/>
      <c r="Y98" s="126"/>
      <c r="AA98" s="126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8"/>
      <c r="U99" s="126"/>
      <c r="W99" s="126"/>
      <c r="Y99" s="126"/>
      <c r="AA99" s="126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8"/>
      <c r="U100" s="126"/>
      <c r="W100" s="126"/>
      <c r="Y100" s="126"/>
      <c r="AA100" s="126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8"/>
      <c r="U101" s="126"/>
      <c r="W101" s="126"/>
      <c r="Y101" s="126"/>
      <c r="AA101" s="126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8"/>
      <c r="U102" s="126"/>
      <c r="W102" s="126"/>
      <c r="Y102" s="126"/>
      <c r="AA102" s="126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8"/>
      <c r="U103" s="126"/>
      <c r="W103" s="126"/>
      <c r="Y103" s="126"/>
      <c r="AA103" s="126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8"/>
      <c r="U104" s="126"/>
      <c r="W104" s="126"/>
      <c r="Y104" s="126"/>
      <c r="AA104" s="126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8"/>
      <c r="U105" s="126"/>
      <c r="W105" s="126"/>
      <c r="Y105" s="126"/>
      <c r="AA105" s="126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8"/>
      <c r="U106" s="126"/>
      <c r="W106" s="126"/>
      <c r="Y106" s="126"/>
      <c r="AA106" s="126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8"/>
      <c r="U107" s="126"/>
      <c r="W107" s="126"/>
      <c r="Y107" s="126"/>
      <c r="AA107" s="126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8"/>
      <c r="U108" s="126"/>
      <c r="W108" s="126"/>
      <c r="Y108" s="126"/>
      <c r="AA108" s="126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8"/>
      <c r="U109" s="126"/>
      <c r="W109" s="126"/>
      <c r="Y109" s="126"/>
      <c r="AA109" s="126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8"/>
      <c r="U110" s="126"/>
      <c r="W110" s="126"/>
      <c r="Y110" s="126"/>
      <c r="AA110" s="126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8"/>
      <c r="U111" s="126"/>
      <c r="W111" s="126"/>
      <c r="Y111" s="126"/>
      <c r="AA111" s="126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8"/>
      <c r="U112" s="126"/>
      <c r="W112" s="126"/>
      <c r="Y112" s="126"/>
      <c r="AA112" s="126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8"/>
      <c r="U113" s="126"/>
      <c r="W113" s="126"/>
      <c r="Y113" s="126"/>
      <c r="AA113" s="126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8"/>
      <c r="U114" s="126"/>
      <c r="W114" s="126"/>
      <c r="Y114" s="126"/>
      <c r="AA114" s="126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8"/>
      <c r="U115" s="126"/>
      <c r="W115" s="126"/>
      <c r="Y115" s="126"/>
      <c r="AA115" s="126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8"/>
      <c r="U116" s="126"/>
      <c r="W116" s="126"/>
      <c r="Y116" s="126"/>
      <c r="AA116" s="126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8"/>
      <c r="U117" s="126"/>
      <c r="W117" s="126"/>
      <c r="Y117" s="126"/>
      <c r="AA117" s="126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8"/>
      <c r="U118" s="126"/>
      <c r="W118" s="126"/>
      <c r="Y118" s="126"/>
      <c r="AA118" s="126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8"/>
      <c r="U119" s="126"/>
      <c r="W119" s="126"/>
      <c r="Y119" s="126"/>
      <c r="AA119" s="126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8"/>
      <c r="U120" s="126"/>
      <c r="W120" s="126"/>
      <c r="Y120" s="126"/>
      <c r="AA120" s="126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8"/>
      <c r="U121" s="126"/>
      <c r="W121" s="126"/>
      <c r="Y121" s="126"/>
      <c r="AA121" s="126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8"/>
      <c r="U122" s="126"/>
      <c r="W122" s="126"/>
      <c r="Y122" s="126"/>
      <c r="AA122" s="126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8"/>
      <c r="U123" s="126"/>
      <c r="W123" s="126"/>
      <c r="Y123" s="126"/>
      <c r="AA123" s="126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8"/>
      <c r="U124" s="126"/>
      <c r="W124" s="126"/>
      <c r="Y124" s="126"/>
      <c r="AA124" s="126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8"/>
      <c r="U125" s="126"/>
      <c r="W125" s="126"/>
      <c r="Y125" s="126"/>
      <c r="AA125" s="126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8"/>
      <c r="U126" s="126"/>
      <c r="W126" s="126"/>
      <c r="Y126" s="126"/>
      <c r="AA126" s="126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8"/>
      <c r="U127" s="126"/>
      <c r="W127" s="126"/>
      <c r="Y127" s="126"/>
      <c r="AA127" s="126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8"/>
      <c r="U128" s="126"/>
      <c r="W128" s="126"/>
      <c r="Y128" s="126"/>
      <c r="AA128" s="126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8"/>
      <c r="U129" s="126"/>
      <c r="W129" s="126"/>
      <c r="Y129" s="126"/>
      <c r="AA129" s="126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8"/>
      <c r="U130" s="126"/>
      <c r="W130" s="126"/>
      <c r="Y130" s="126"/>
      <c r="AA130" s="126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8"/>
      <c r="U131" s="126"/>
      <c r="W131" s="126"/>
      <c r="Y131" s="126"/>
      <c r="AA131" s="126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8"/>
      <c r="U132" s="126"/>
      <c r="W132" s="126"/>
      <c r="Y132" s="126"/>
      <c r="AA132" s="126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8"/>
      <c r="U133" s="126"/>
      <c r="W133" s="126"/>
      <c r="Y133" s="126"/>
      <c r="AA133" s="126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8"/>
      <c r="U134" s="126"/>
      <c r="W134" s="126"/>
      <c r="Y134" s="126"/>
      <c r="AA134" s="126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8"/>
      <c r="U135" s="126"/>
      <c r="W135" s="126"/>
      <c r="Y135" s="126"/>
      <c r="AA135" s="126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8"/>
      <c r="U136" s="126"/>
      <c r="W136" s="126"/>
      <c r="Y136" s="126"/>
      <c r="AA136" s="126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8"/>
      <c r="U137" s="126"/>
      <c r="W137" s="126"/>
      <c r="Y137" s="126"/>
      <c r="AA137" s="126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8"/>
      <c r="U138" s="126"/>
      <c r="W138" s="126"/>
      <c r="Y138" s="126"/>
      <c r="AA138" s="126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8"/>
      <c r="U139" s="126"/>
      <c r="W139" s="126"/>
      <c r="Y139" s="126"/>
      <c r="AA139" s="126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8"/>
      <c r="U140" s="126"/>
      <c r="W140" s="126"/>
      <c r="Y140" s="126"/>
      <c r="AA140" s="126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8"/>
      <c r="U141" s="126"/>
      <c r="W141" s="126"/>
      <c r="Y141" s="126"/>
      <c r="AA141" s="126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8"/>
      <c r="U142" s="126"/>
      <c r="W142" s="126"/>
      <c r="Y142" s="126"/>
      <c r="AA142" s="126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8"/>
      <c r="U143" s="126"/>
      <c r="W143" s="126"/>
      <c r="Y143" s="126"/>
      <c r="AA143" s="126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8"/>
      <c r="U144" s="126"/>
      <c r="W144" s="126"/>
      <c r="Y144" s="126"/>
      <c r="AA144" s="126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8"/>
      <c r="U145" s="126"/>
      <c r="W145" s="126"/>
      <c r="Y145" s="126"/>
      <c r="AA145" s="126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8"/>
      <c r="U146" s="126"/>
      <c r="W146" s="126"/>
      <c r="Y146" s="126"/>
      <c r="AA146" s="126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8"/>
      <c r="U147" s="126"/>
      <c r="W147" s="126"/>
      <c r="Y147" s="126"/>
      <c r="AA147" s="126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8"/>
      <c r="U148" s="126"/>
      <c r="W148" s="126"/>
      <c r="Y148" s="126"/>
      <c r="AA148" s="126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8"/>
      <c r="U149" s="126"/>
      <c r="W149" s="126"/>
      <c r="Y149" s="126"/>
      <c r="AA149" s="126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8"/>
      <c r="U150" s="126"/>
      <c r="W150" s="126"/>
      <c r="Y150" s="126"/>
      <c r="AA150" s="126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8"/>
      <c r="U151" s="126"/>
      <c r="W151" s="126"/>
      <c r="Y151" s="126"/>
      <c r="AA151" s="126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8"/>
      <c r="U152" s="126"/>
      <c r="W152" s="126"/>
      <c r="Y152" s="126"/>
      <c r="AA152" s="126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8"/>
      <c r="U153" s="126"/>
      <c r="W153" s="126"/>
      <c r="Y153" s="126"/>
      <c r="AA153" s="126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8"/>
      <c r="U154" s="126"/>
      <c r="W154" s="126"/>
      <c r="Y154" s="126"/>
      <c r="AA154" s="126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8"/>
      <c r="U155" s="126"/>
      <c r="W155" s="126"/>
      <c r="Y155" s="126"/>
      <c r="AA155" s="126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8"/>
      <c r="U156" s="126"/>
      <c r="W156" s="126"/>
      <c r="Y156" s="126"/>
      <c r="AA156" s="126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8"/>
      <c r="U157" s="126"/>
      <c r="W157" s="126"/>
      <c r="Y157" s="126"/>
      <c r="AA157" s="126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8"/>
      <c r="U158" s="126"/>
      <c r="W158" s="126"/>
      <c r="Y158" s="126"/>
      <c r="AA158" s="126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8"/>
      <c r="U159" s="126"/>
      <c r="W159" s="126"/>
      <c r="Y159" s="126"/>
      <c r="AA159" s="126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8"/>
      <c r="U160" s="126"/>
      <c r="W160" s="126"/>
      <c r="Y160" s="126"/>
      <c r="AA160" s="126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8"/>
      <c r="U161" s="126"/>
      <c r="W161" s="126"/>
      <c r="Y161" s="126"/>
      <c r="AA161" s="126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8"/>
      <c r="U162" s="126"/>
      <c r="W162" s="126"/>
      <c r="Y162" s="126"/>
      <c r="AA162" s="126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8"/>
      <c r="U163" s="126"/>
      <c r="W163" s="126"/>
      <c r="Y163" s="126"/>
      <c r="AA163" s="126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8"/>
      <c r="U164" s="126"/>
      <c r="W164" s="126"/>
      <c r="Y164" s="126"/>
      <c r="AA164" s="126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8"/>
      <c r="U165" s="126"/>
      <c r="W165" s="126"/>
      <c r="Y165" s="126"/>
      <c r="AA165" s="126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8"/>
      <c r="U166" s="126"/>
      <c r="W166" s="126"/>
      <c r="Y166" s="126"/>
      <c r="AA166" s="126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8"/>
      <c r="U167" s="126"/>
      <c r="W167" s="126"/>
      <c r="Y167" s="126"/>
      <c r="AA167" s="126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8"/>
      <c r="U168" s="126"/>
      <c r="W168" s="126"/>
      <c r="Y168" s="126"/>
      <c r="AA168" s="126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8"/>
      <c r="U169" s="126"/>
      <c r="W169" s="126"/>
      <c r="Y169" s="126"/>
      <c r="AA169" s="126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8"/>
      <c r="U170" s="126"/>
      <c r="W170" s="126"/>
      <c r="Y170" s="126"/>
      <c r="AA170" s="126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8"/>
      <c r="U171" s="126"/>
      <c r="W171" s="126"/>
      <c r="Y171" s="126"/>
      <c r="AA171" s="126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8"/>
      <c r="U172" s="126"/>
      <c r="W172" s="126"/>
      <c r="Y172" s="126"/>
      <c r="AA172" s="126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8"/>
      <c r="U173" s="126"/>
      <c r="W173" s="126"/>
      <c r="Y173" s="126"/>
      <c r="AA173" s="126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8"/>
      <c r="U174" s="126"/>
      <c r="W174" s="126"/>
      <c r="Y174" s="126"/>
      <c r="AA174" s="126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8"/>
      <c r="U175" s="126"/>
      <c r="W175" s="126"/>
      <c r="Y175" s="126"/>
      <c r="AA175" s="126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8"/>
      <c r="U176" s="126"/>
      <c r="W176" s="126"/>
      <c r="Y176" s="126"/>
      <c r="AA176" s="126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8"/>
      <c r="U177" s="126"/>
      <c r="W177" s="126"/>
      <c r="Y177" s="126"/>
      <c r="AA177" s="126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8"/>
      <c r="U178" s="126"/>
      <c r="W178" s="126"/>
      <c r="Y178" s="126"/>
      <c r="AA178" s="126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8"/>
      <c r="U179" s="126"/>
      <c r="W179" s="126"/>
      <c r="Y179" s="126"/>
      <c r="AA179" s="126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8"/>
      <c r="U180" s="126"/>
      <c r="W180" s="126"/>
      <c r="Y180" s="126"/>
      <c r="AA180" s="126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8"/>
      <c r="U181" s="126"/>
      <c r="W181" s="126"/>
      <c r="Y181" s="126"/>
      <c r="AA181" s="126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8"/>
      <c r="U182" s="126"/>
      <c r="W182" s="126"/>
      <c r="Y182" s="126"/>
      <c r="AA182" s="126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8"/>
      <c r="U183" s="126"/>
      <c r="W183" s="126"/>
      <c r="Y183" s="126"/>
      <c r="AA183" s="126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8"/>
      <c r="U184" s="126"/>
      <c r="W184" s="126"/>
      <c r="Y184" s="126"/>
      <c r="AA184" s="126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8"/>
      <c r="U185" s="126"/>
      <c r="W185" s="126"/>
      <c r="Y185" s="126"/>
      <c r="AA185" s="126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8"/>
      <c r="U186" s="126"/>
      <c r="W186" s="126"/>
      <c r="Y186" s="126"/>
      <c r="AA186" s="126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8"/>
      <c r="U187" s="126"/>
      <c r="W187" s="126"/>
      <c r="Y187" s="126"/>
      <c r="AA187" s="126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8"/>
      <c r="U188" s="126"/>
      <c r="W188" s="126"/>
      <c r="Y188" s="126"/>
      <c r="AA188" s="126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8"/>
      <c r="U189" s="126"/>
      <c r="W189" s="126"/>
      <c r="Y189" s="126"/>
      <c r="AA189" s="126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8"/>
      <c r="U190" s="126"/>
      <c r="W190" s="126"/>
      <c r="Y190" s="126"/>
      <c r="AA190" s="126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8"/>
      <c r="U191" s="126"/>
      <c r="W191" s="126"/>
      <c r="Y191" s="126"/>
      <c r="AA191" s="126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8"/>
      <c r="U192" s="126"/>
      <c r="W192" s="126"/>
      <c r="Y192" s="126"/>
      <c r="AA192" s="126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8"/>
      <c r="U193" s="126"/>
      <c r="W193" s="126"/>
      <c r="Y193" s="126"/>
      <c r="AA193" s="126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8"/>
      <c r="U194" s="126"/>
      <c r="W194" s="126"/>
      <c r="Y194" s="126"/>
      <c r="AA194" s="126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8"/>
      <c r="U195" s="126"/>
      <c r="W195" s="126"/>
      <c r="Y195" s="126"/>
      <c r="AA195" s="126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8"/>
      <c r="U196" s="126"/>
      <c r="W196" s="126"/>
      <c r="Y196" s="126"/>
      <c r="AA196" s="126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8"/>
      <c r="U197" s="126"/>
      <c r="W197" s="126"/>
      <c r="Y197" s="126"/>
      <c r="AA197" s="126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8"/>
      <c r="U198" s="126"/>
      <c r="W198" s="126"/>
      <c r="Y198" s="126"/>
      <c r="AA198" s="126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8"/>
      <c r="U199" s="126"/>
      <c r="W199" s="126"/>
      <c r="Y199" s="126"/>
      <c r="AA199" s="126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8"/>
      <c r="U200" s="126"/>
      <c r="W200" s="126"/>
      <c r="Y200" s="126"/>
      <c r="AA200" s="126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2"/>
      <c r="U201" s="127"/>
      <c r="W201" s="127"/>
      <c r="Y201" s="127"/>
      <c r="AA201" s="127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2" t="s">
        <v>26</v>
      </c>
      <c r="B1" s="112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93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94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2" t="s">
        <v>63</v>
      </c>
      <c r="B9" s="11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4" t="s">
        <v>74</v>
      </c>
      <c r="B10" s="114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15" t="s">
        <v>64</v>
      </c>
      <c r="B11" s="115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15" t="s">
        <v>65</v>
      </c>
      <c r="B12" s="115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2" t="s">
        <v>92</v>
      </c>
      <c r="B14" s="11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4" t="str">
        <f>IF(Moderator_weighting_method="Peto","Log Peto Odds Ratio","Log Odds Ratio")</f>
        <v>Log Odds Ratio</v>
      </c>
      <c r="B15" s="114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15" t="str">
        <f>IF(Moderator_weighting_method="Inverse variance","Log Risk Ratio","")</f>
        <v>Log Risk Ratio</v>
      </c>
      <c r="B16" s="115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15" t="str">
        <f>IF(Moderator_weighting_method="Inverse Variance","Risk Difference","")</f>
        <v>Risk Difference</v>
      </c>
      <c r="B17" s="115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95</v>
      </c>
      <c r="K28" s="1" t="s">
        <v>96</v>
      </c>
      <c r="L28" s="1" t="s">
        <v>97</v>
      </c>
      <c r="M28" s="1" t="s">
        <v>98</v>
      </c>
      <c r="N28" s="25" t="s">
        <v>99</v>
      </c>
      <c r="O28" s="1" t="s">
        <v>54</v>
      </c>
      <c r="P28" s="1" t="s">
        <v>100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101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102</v>
      </c>
      <c r="O32" s="1" t="s">
        <v>103</v>
      </c>
      <c r="P32" s="1" t="s">
        <v>100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104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105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106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107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D2" activePane="bottomLeft" state="frozen"/>
      <selection pane="bottomLeft" activeCell="D5" sqref="D5:F8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9.6640625" customWidth="1" outlineLevel="1"/>
    <col min="5" max="6" width="9.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93" t="s">
        <v>1</v>
      </c>
      <c r="E1" s="93" t="str">
        <f>Additional_effect_size_measure</f>
        <v>Log Odds Ratio</v>
      </c>
      <c r="F1" s="93" t="s">
        <v>108</v>
      </c>
      <c r="M1" s="85"/>
      <c r="O1" s="112" t="s">
        <v>109</v>
      </c>
      <c r="P1" s="112"/>
      <c r="Q1" s="112"/>
      <c r="R1" s="112"/>
      <c r="S1" s="28"/>
      <c r="T1" s="85"/>
      <c r="V1" s="1" t="s">
        <v>1</v>
      </c>
      <c r="W1" s="1" t="s">
        <v>110</v>
      </c>
      <c r="AE1" s="85"/>
      <c r="AG1" s="1" t="s">
        <v>1</v>
      </c>
      <c r="AH1" s="1" t="s">
        <v>111</v>
      </c>
      <c r="AI1" s="1" t="s">
        <v>112</v>
      </c>
      <c r="AR1" s="85"/>
      <c r="AT1" s="1" t="s">
        <v>1</v>
      </c>
      <c r="AU1" s="1" t="s">
        <v>113</v>
      </c>
      <c r="AV1" s="1" t="s">
        <v>114</v>
      </c>
      <c r="BC1" s="85"/>
      <c r="BE1" s="1" t="s">
        <v>1</v>
      </c>
      <c r="BF1" s="75" t="s">
        <v>115</v>
      </c>
      <c r="BG1" s="1" t="s">
        <v>116</v>
      </c>
      <c r="BP1" s="85"/>
      <c r="BR1" s="1" t="s">
        <v>117</v>
      </c>
      <c r="BS1" s="1"/>
      <c r="BT1" s="85"/>
    </row>
    <row r="2" spans="1:72">
      <c r="A2" s="3" t="s">
        <v>39</v>
      </c>
      <c r="B2" s="5" t="s">
        <v>74</v>
      </c>
      <c r="D2" s="97" t="str">
        <f t="shared" ref="D2:D33" si="0">IF(AND(Include_study?="Yes",Sufficient_data="Yes"),Study_name,"")</f>
        <v>Neuman et al.</v>
      </c>
      <c r="E2" s="98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9.7196480606444369E-2</v>
      </c>
      <c r="F2" s="99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0.18011840828426004</v>
      </c>
      <c r="M2" s="126" t="s">
        <v>118</v>
      </c>
      <c r="O2" s="3"/>
      <c r="P2" s="3" t="s">
        <v>119</v>
      </c>
      <c r="Q2" s="3" t="s">
        <v>96</v>
      </c>
      <c r="R2" s="3" t="s">
        <v>97</v>
      </c>
      <c r="S2" s="3" t="s">
        <v>98</v>
      </c>
      <c r="T2" s="126" t="s">
        <v>120</v>
      </c>
      <c r="V2" s="77" t="str">
        <f t="shared" ref="V2:V33" si="3">IF(AND(Include_study?="Yes",Sufficient_data="Yes"),Study_name,"")</f>
        <v>Neuman et al.</v>
      </c>
      <c r="W2" s="34">
        <f>IF(AND(Include_study?="Yes",Sufficient_data="Yes"),((E:E-I$29)*SQRT(Calculations!FU:FU))/SQRT(1-Calculations!FU:FU/SUM(Calculations!FU:FU)),"")</f>
        <v>6.9931422819515754E-2</v>
      </c>
      <c r="AE2" s="126" t="s">
        <v>121</v>
      </c>
      <c r="AG2" s="77" t="str">
        <f t="shared" ref="AG2:AG33" si="4">IF(AND(Include_study?="Yes",Sufficient_data="Yes"),Study_name,"")</f>
        <v>Neuman et al.</v>
      </c>
      <c r="AH2" s="74">
        <f t="shared" ref="AH2:AH65" si="5">IF(AND(Sufficient_data="Yes",Include_study?="Yes"),c_/(c_+d_),"")</f>
        <v>4.7364400305576773E-2</v>
      </c>
      <c r="AI2" s="34">
        <f t="shared" ref="AI2:AI65" si="6">IF(AND(Sufficient_data="Yes",Include_study?="Yes"),a_/(a_+b_),"")</f>
        <v>5.1948051948051951E-2</v>
      </c>
      <c r="AR2" s="126" t="s">
        <v>122</v>
      </c>
      <c r="AT2" s="77" t="str">
        <f t="shared" ref="AT2:AT33" si="7">IF(AND(Include_study?="Yes",Sufficient_data="Yes"),Study_name,"")</f>
        <v>Neuman et al.</v>
      </c>
      <c r="AU2" s="74">
        <f t="shared" ref="AU2:AU33" si="8">IF(AND(Include_study?="Yes",Sufficient_data="Yes"),IF(AND(Additional_valid_options="No",Additional_model="Random effects"),NA(),Inverse_standard_error),"")</f>
        <v>5.5519033813679703</v>
      </c>
      <c r="AV2" s="34">
        <f t="shared" ref="AV2:AV33" si="9">IF(AND(Include_study?="Yes",Sufficient_data="Yes"),IF(AND(Additional_valid_options="No",Additional_model="Random effects"),NA(),Z_score),"")</f>
        <v>0.53962546933598488</v>
      </c>
      <c r="BC2" s="126" t="s">
        <v>123</v>
      </c>
      <c r="BE2" s="74" t="str">
        <f t="shared" ref="BE2:BE33" si="10">IF(AND(Include_study?="Yes",Sufficient_data="Yes"),Study_name,"")</f>
        <v>Neuman et al.</v>
      </c>
      <c r="BF2" s="74">
        <f>IF(AND(Include_study?="Yes",Sufficient_data="Yes"),NORMSINV(Calculations!IW2),"")</f>
        <v>0.19920132478926703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0.53962546933598488</v>
      </c>
      <c r="BP2" s="126" t="s">
        <v>124</v>
      </c>
      <c r="BR2" s="122" t="s">
        <v>125</v>
      </c>
      <c r="BS2" s="122"/>
      <c r="BT2" s="126" t="s">
        <v>126</v>
      </c>
    </row>
    <row r="3" spans="1:72">
      <c r="A3" s="3" t="s">
        <v>80</v>
      </c>
      <c r="B3" s="5" t="s">
        <v>93</v>
      </c>
      <c r="D3" s="100" t="str">
        <f t="shared" si="0"/>
        <v>Neuman et al.</v>
      </c>
      <c r="E3" s="98">
        <f t="shared" si="1"/>
        <v>0.14390220599949552</v>
      </c>
      <c r="F3" s="98">
        <f t="shared" si="2"/>
        <v>0.18999414861669803</v>
      </c>
      <c r="M3" s="126"/>
      <c r="O3" s="3" t="s">
        <v>101</v>
      </c>
      <c r="P3" s="4">
        <f>IF(Additional_valid_options="Yes",INTERCEPT(Z_score,Inverse_standard_error),NA())</f>
        <v>3.8359618309874817</v>
      </c>
      <c r="Q3" s="4">
        <f>IF(Additional_valid_options="Yes",Q4*SQRT(1/k_*SUMPRODUCT(Inverse_standard_error,Inverse_standard_error)),NA())</f>
        <v>3.5762072776964184</v>
      </c>
      <c r="R3" s="4">
        <f>P3-ABS(TINV((1-Additional_confidence_level),k_-1))*Q3</f>
        <v>-5.3569716375293259</v>
      </c>
      <c r="S3" s="4">
        <f>P3+ABS(TINV((1-Additional_confidence_level),k_-1))*Q3</f>
        <v>13.028895299504288</v>
      </c>
      <c r="T3" s="126"/>
      <c r="V3" s="76" t="str">
        <f t="shared" si="3"/>
        <v>Neuman et al.</v>
      </c>
      <c r="W3" s="35">
        <f>IF(AND(Include_study?="Yes",Sufficient_data="Yes"),((E:E-I$29)*SQRT(Calculations!FU:FU))/SQRT(1-Calculations!FU:FU/SUM(Calculations!FU:FU)),"")</f>
        <v>0.33344363420917811</v>
      </c>
      <c r="AE3" s="126"/>
      <c r="AG3" s="76" t="str">
        <f t="shared" si="4"/>
        <v>Neuman et al.</v>
      </c>
      <c r="AH3" s="3">
        <f t="shared" si="5"/>
        <v>5.1797987847395158E-3</v>
      </c>
      <c r="AI3" s="35">
        <f t="shared" si="6"/>
        <v>5.976690905468672E-3</v>
      </c>
      <c r="AR3" s="126"/>
      <c r="AT3" s="76" t="str">
        <f t="shared" si="7"/>
        <v>Neuman et al.</v>
      </c>
      <c r="AU3" s="3">
        <f t="shared" si="8"/>
        <v>5.2633199879088961</v>
      </c>
      <c r="AV3" s="35">
        <f t="shared" si="9"/>
        <v>0.75740335714132823</v>
      </c>
      <c r="BC3" s="126"/>
      <c r="BE3" s="76" t="str">
        <f t="shared" si="10"/>
        <v>Neuman et al.</v>
      </c>
      <c r="BF3" s="3">
        <f>IF(AND(Include_study?="Yes",Sufficient_data="Yes"),NORMSINV(Calculations!IW3),"")</f>
        <v>0.63364000077970128</v>
      </c>
      <c r="BG3" s="35">
        <f t="shared" si="11"/>
        <v>0.75740335714132823</v>
      </c>
      <c r="BP3" s="126"/>
      <c r="BR3" s="3" t="s">
        <v>127</v>
      </c>
      <c r="BS3" s="4">
        <f>SUM(Calculations!JH:JH)/SQRT(k_)</f>
        <v>1.1879851452266816</v>
      </c>
      <c r="BT3" s="126"/>
    </row>
    <row r="4" spans="1:72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6"/>
      <c r="O4" s="3" t="s">
        <v>128</v>
      </c>
      <c r="P4" s="4">
        <f>IF(Additional_valid_options="Yes",SLOPE(Z_score,Inverse_standard_error),NA())</f>
        <v>-0.62107165049268442</v>
      </c>
      <c r="Q4" s="4">
        <f>IF(Additional_valid_options="Yes",SQRT(((1/(k_-2))*SUMPRODUCT(Calculations!HM:HM,Calculations!HM:HM))/SUMPRODUCT(Calculations!HL:HL,Calculations!HL:HL)),NA())</f>
        <v>0.66088943094816988</v>
      </c>
      <c r="R4" s="4">
        <f>P4-ABS(TINV((1-Additional_confidence_level),k_-1))*Q4</f>
        <v>-2.3199420170520706</v>
      </c>
      <c r="S4" s="4">
        <f>P4+ABS(TINV((1-Additional_confidence_level),k_-1))*Q4</f>
        <v>1.077798716066702</v>
      </c>
      <c r="T4" s="126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6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6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6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6"/>
      <c r="BR4" s="3" t="s">
        <v>129</v>
      </c>
      <c r="BS4" s="7">
        <f>MAX(0,ROUNDUP(k_*(BS3/NORMSINV((1-Additional_confidence_level)))^2-k_,0))</f>
        <v>0</v>
      </c>
      <c r="BT4" s="126"/>
    </row>
    <row r="5" spans="1:72">
      <c r="D5" s="44" t="str">
        <f t="shared" si="0"/>
        <v>Hazarika et al. (A)</v>
      </c>
      <c r="E5" s="3">
        <f t="shared" si="1"/>
        <v>0.30095874811493556</v>
      </c>
      <c r="F5" s="3">
        <f t="shared" si="2"/>
        <v>0.19295593875450406</v>
      </c>
      <c r="M5" s="126"/>
      <c r="T5" s="126"/>
      <c r="V5" s="76" t="str">
        <f t="shared" si="3"/>
        <v>Hazarika et al. (A)</v>
      </c>
      <c r="W5" s="35">
        <f>IF(AND(Include_study?="Yes",Sufficient_data="Yes"),((E:E-I$29)*SQRT(Calculations!FU:FU))/SQRT(1-Calculations!FU:FU/SUM(Calculations!FU:FU)),"")</f>
        <v>1.2117446395940075</v>
      </c>
      <c r="AE5" s="126"/>
      <c r="AG5" s="76" t="str">
        <f t="shared" si="4"/>
        <v>Hazarika et al. (A)</v>
      </c>
      <c r="AH5" s="3">
        <f t="shared" si="5"/>
        <v>1.4012363850456285E-2</v>
      </c>
      <c r="AI5" s="35">
        <f t="shared" si="6"/>
        <v>1.8840153076243746E-2</v>
      </c>
      <c r="AR5" s="126"/>
      <c r="AT5" s="76" t="str">
        <f t="shared" si="7"/>
        <v>Hazarika et al. (A)</v>
      </c>
      <c r="AU5" s="3">
        <f t="shared" si="8"/>
        <v>5.182530304352488</v>
      </c>
      <c r="AV5" s="35">
        <f t="shared" si="9"/>
        <v>1.5597278324656407</v>
      </c>
      <c r="BC5" s="126"/>
      <c r="BE5" s="76" t="str">
        <f t="shared" si="10"/>
        <v>Hazarika et al. (A)</v>
      </c>
      <c r="BF5" s="3">
        <f>IF(AND(Include_study?="Yes",Sufficient_data="Yes"),NORMSINV(Calculations!IW5),"")</f>
        <v>1.2521195202652198</v>
      </c>
      <c r="BG5" s="35">
        <f t="shared" si="11"/>
        <v>1.5597278324656407</v>
      </c>
      <c r="BP5" s="126"/>
      <c r="BR5" s="3" t="s">
        <v>130</v>
      </c>
      <c r="BS5" s="4" t="b">
        <f>BS4&lt;5*k_+10</f>
        <v>1</v>
      </c>
      <c r="BT5" s="126"/>
    </row>
    <row r="6" spans="1:72">
      <c r="A6" s="3" t="s">
        <v>31</v>
      </c>
      <c r="B6" s="5" t="s">
        <v>94</v>
      </c>
      <c r="D6" s="44" t="str">
        <f t="shared" si="0"/>
        <v xml:space="preserve">Quan et al. </v>
      </c>
      <c r="E6" s="3">
        <f t="shared" si="1"/>
        <v>4.5248274300222172E-2</v>
      </c>
      <c r="F6" s="3">
        <f t="shared" si="2"/>
        <v>0.17370587734913909</v>
      </c>
      <c r="M6" s="126"/>
      <c r="O6" s="3" t="s">
        <v>131</v>
      </c>
      <c r="P6" s="4">
        <f>P3/Q3</f>
        <v>1.072634087769762</v>
      </c>
      <c r="T6" s="126"/>
      <c r="V6" s="76" t="str">
        <f t="shared" si="3"/>
        <v xml:space="preserve">Quan et al. </v>
      </c>
      <c r="W6" s="35">
        <f>IF(AND(Include_study?="Yes",Sufficient_data="Yes"),((E:E-I$29)*SQRT(Calculations!FU:FU))/SQRT(1-Calculations!FU:FU/SUM(Calculations!FU:FU)),"")</f>
        <v>-0.25890820798535669</v>
      </c>
      <c r="AE6" s="126"/>
      <c r="AG6" s="76" t="str">
        <f t="shared" si="4"/>
        <v xml:space="preserve">Quan et al. </v>
      </c>
      <c r="AH6" s="3">
        <f t="shared" si="5"/>
        <v>7.1065989847715741E-2</v>
      </c>
      <c r="AI6" s="35">
        <f t="shared" si="6"/>
        <v>7.4111675126903559E-2</v>
      </c>
      <c r="AR6" s="126"/>
      <c r="AT6" s="76" t="str">
        <f t="shared" si="7"/>
        <v xml:space="preserve">Quan et al. </v>
      </c>
      <c r="AU6" s="3">
        <f t="shared" si="8"/>
        <v>5.7568575989519113</v>
      </c>
      <c r="AV6" s="35">
        <f t="shared" si="9"/>
        <v>0.26048787174469445</v>
      </c>
      <c r="BC6" s="126"/>
      <c r="BE6" s="76" t="str">
        <f t="shared" si="10"/>
        <v xml:space="preserve">Quan et al. </v>
      </c>
      <c r="BF6" s="3">
        <f>IF(AND(Include_study?="Yes",Sufficient_data="Yes"),NORMSINV(Calculations!IW6),"")</f>
        <v>-0.19920132478926703</v>
      </c>
      <c r="BG6" s="35">
        <f t="shared" si="11"/>
        <v>0.26048787174469445</v>
      </c>
      <c r="BP6" s="126"/>
      <c r="BT6" s="126"/>
    </row>
    <row r="7" spans="1:72">
      <c r="A7" s="3" t="s">
        <v>36</v>
      </c>
      <c r="B7" s="29">
        <v>0.95</v>
      </c>
      <c r="D7" s="44" t="str">
        <f t="shared" si="0"/>
        <v xml:space="preserve">Quan et al. </v>
      </c>
      <c r="E7" s="3">
        <f t="shared" si="1"/>
        <v>-7.0886350479830787E-2</v>
      </c>
      <c r="F7" s="3">
        <f t="shared" si="2"/>
        <v>0.16844342955969202</v>
      </c>
      <c r="M7" s="126"/>
      <c r="O7" s="3" t="s">
        <v>100</v>
      </c>
      <c r="P7" s="26">
        <f>TDIST(ABS(P6),k_-2,2)</f>
        <v>0.34383806458384863</v>
      </c>
      <c r="T7" s="126"/>
      <c r="V7" s="76" t="str">
        <f t="shared" si="3"/>
        <v xml:space="preserve">Quan et al. </v>
      </c>
      <c r="W7" s="35">
        <f>IF(AND(Include_study?="Yes",Sufficient_data="Yes"),((E:E-I$29)*SQRT(Calculations!FU:FU))/SQRT(1-Calculations!FU:FU/SUM(Calculations!FU:FU)),"")</f>
        <v>-1.0401199292656016</v>
      </c>
      <c r="AE7" s="126"/>
      <c r="AG7" s="76" t="str">
        <f t="shared" si="4"/>
        <v xml:space="preserve">Quan et al. </v>
      </c>
      <c r="AH7" s="3">
        <f t="shared" si="5"/>
        <v>8.0203045685279181E-2</v>
      </c>
      <c r="AI7" s="35">
        <f t="shared" si="6"/>
        <v>7.5126903553299498E-2</v>
      </c>
      <c r="AR7" s="126"/>
      <c r="AT7" s="76" t="str">
        <f t="shared" si="7"/>
        <v xml:space="preserve">Quan et al. </v>
      </c>
      <c r="AU7" s="3">
        <f t="shared" si="8"/>
        <v>5.9367112306724064</v>
      </c>
      <c r="AV7" s="35">
        <f t="shared" si="9"/>
        <v>-0.42083179299499174</v>
      </c>
      <c r="BC7" s="126"/>
      <c r="BE7" s="76" t="str">
        <f t="shared" si="10"/>
        <v xml:space="preserve">Quan et al. </v>
      </c>
      <c r="BF7" s="3">
        <f>IF(AND(Include_study?="Yes",Sufficient_data="Yes"),NORMSINV(Calculations!IW7),"")</f>
        <v>-1.2521195202652196</v>
      </c>
      <c r="BG7" s="35">
        <f t="shared" si="11"/>
        <v>-0.42083179299499174</v>
      </c>
      <c r="BP7" s="126"/>
      <c r="BR7" s="112" t="s">
        <v>132</v>
      </c>
      <c r="BS7" s="112"/>
      <c r="BT7" s="126"/>
    </row>
    <row r="8" spans="1:72">
      <c r="D8" s="44" t="str">
        <f t="shared" si="0"/>
        <v xml:space="preserve">Quan et al. </v>
      </c>
      <c r="E8" s="3">
        <f t="shared" si="1"/>
        <v>4.561503819756367E-2</v>
      </c>
      <c r="F8" s="3">
        <f t="shared" si="2"/>
        <v>0.21360886178986249</v>
      </c>
      <c r="M8" s="126"/>
      <c r="T8" s="126"/>
      <c r="V8" s="76" t="str">
        <f t="shared" si="3"/>
        <v xml:space="preserve">Quan et al. </v>
      </c>
      <c r="W8" s="35">
        <f>IF(AND(Include_study?="Yes",Sufficient_data="Yes"),((E:E-I$29)*SQRT(Calculations!FU:FU))/SQRT(1-Calculations!FU:FU/SUM(Calculations!FU:FU)),"")</f>
        <v>-0.20087732112912668</v>
      </c>
      <c r="AE8" s="126"/>
      <c r="AG8" s="76" t="str">
        <f t="shared" si="4"/>
        <v xml:space="preserve">Quan et al. </v>
      </c>
      <c r="AH8" s="3">
        <f t="shared" si="5"/>
        <v>4.5685279187817257E-2</v>
      </c>
      <c r="AI8" s="35">
        <f t="shared" si="6"/>
        <v>4.7715736040609136E-2</v>
      </c>
      <c r="AR8" s="126"/>
      <c r="AT8" s="76" t="str">
        <f t="shared" si="7"/>
        <v xml:space="preserve">Quan et al. </v>
      </c>
      <c r="AU8" s="3">
        <f t="shared" si="8"/>
        <v>4.6814537169518227</v>
      </c>
      <c r="AV8" s="35">
        <f t="shared" si="9"/>
        <v>0.21354469011888383</v>
      </c>
      <c r="BC8" s="126"/>
      <c r="BE8" s="76" t="str">
        <f t="shared" si="10"/>
        <v xml:space="preserve">Quan et al. </v>
      </c>
      <c r="BF8" s="3">
        <f>IF(AND(Include_study?="Yes",Sufficient_data="Yes"),NORMSINV(Calculations!IW8),"")</f>
        <v>-0.63364000077970106</v>
      </c>
      <c r="BG8" s="35">
        <f t="shared" si="11"/>
        <v>0.21354469011888383</v>
      </c>
      <c r="BP8" s="126"/>
      <c r="BR8" s="3" t="s">
        <v>133</v>
      </c>
      <c r="BS8" s="7">
        <f>MAX(0,ROUNDUP((k_*(1-MAX(Calculations!JI:JI))-1)/MAX(Calculations!JI:JI),0))</f>
        <v>7</v>
      </c>
      <c r="BT8" s="126"/>
    </row>
    <row r="9" spans="1:72">
      <c r="A9" s="112" t="s">
        <v>63</v>
      </c>
      <c r="B9" s="112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6"/>
      <c r="O9" s="112" t="s">
        <v>134</v>
      </c>
      <c r="P9" s="112"/>
      <c r="T9" s="126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6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6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6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6"/>
      <c r="BT9" s="126"/>
    </row>
    <row r="10" spans="1:72" ht="12.95">
      <c r="A10" s="114" t="s">
        <v>74</v>
      </c>
      <c r="B10" s="114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6"/>
      <c r="O10" s="3" t="s">
        <v>135</v>
      </c>
      <c r="P10" s="4">
        <f>IF(Additional_valid_options="Yes",SUM(Calculations!HT:HT)/2-SUM(Calculations!HU:HU)/2,NA())</f>
        <v>9</v>
      </c>
      <c r="T10" s="126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6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6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6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6"/>
      <c r="BR10" s="112" t="s">
        <v>136</v>
      </c>
      <c r="BS10" s="112"/>
      <c r="BT10" s="126"/>
    </row>
    <row r="11" spans="1:72">
      <c r="A11" s="115" t="s">
        <v>64</v>
      </c>
      <c r="B11" s="115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6"/>
      <c r="O11" s="3" t="s">
        <v>137</v>
      </c>
      <c r="P11" s="4">
        <f>IF(Additional_valid_options="Yes",(SUM(Calculations!HT:HT)/2-SUM(Calculations!HU:HU)/2)/(1/2*k_*(k_-1)),NA())</f>
        <v>0.6</v>
      </c>
      <c r="T11" s="126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6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6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6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6"/>
      <c r="BR11" s="3" t="s">
        <v>105</v>
      </c>
      <c r="BS11" s="4">
        <f>I29</f>
        <v>8.5758749686410396E-2</v>
      </c>
      <c r="BT11" s="126"/>
    </row>
    <row r="12" spans="1:72" ht="12.95">
      <c r="A12" s="115" t="s">
        <v>65</v>
      </c>
      <c r="B12" s="115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6"/>
      <c r="O12" s="3" t="s">
        <v>138</v>
      </c>
      <c r="P12" s="4">
        <f>P10/SQRT((k_*(k_-1)*(2*k_+5)/18))</f>
        <v>1.6908055859299038</v>
      </c>
      <c r="T12" s="126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6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6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6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6"/>
      <c r="BR12" s="3" t="s">
        <v>139</v>
      </c>
      <c r="BS12" s="5">
        <v>0</v>
      </c>
      <c r="BT12" s="126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6"/>
      <c r="O13" s="3" t="s">
        <v>88</v>
      </c>
      <c r="P13" s="26">
        <f>2*(1-NORMSDIST(ABS(P12)))</f>
        <v>9.0873939986249042E-2</v>
      </c>
      <c r="T13" s="126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6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6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6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6"/>
      <c r="BR13" s="3" t="s">
        <v>140</v>
      </c>
      <c r="BS13" s="5">
        <v>-0.69</v>
      </c>
      <c r="BT13" s="126"/>
    </row>
    <row r="14" spans="1:72">
      <c r="A14" s="112" t="s">
        <v>92</v>
      </c>
      <c r="B14" s="11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6"/>
      <c r="T14" s="126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6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6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6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6"/>
      <c r="BR14" s="3" t="s">
        <v>129</v>
      </c>
      <c r="BS14" s="7">
        <f>MAX(0,ROUNDUP(k_*(BS11-BS12)/(BS12-BS13),0))</f>
        <v>1</v>
      </c>
      <c r="BT14" s="126"/>
    </row>
    <row r="15" spans="1:72">
      <c r="A15" s="114" t="str">
        <f>IF(Additional_weighting_method="Peto","Log Peto Odds Ratio","Log Odds Ratio")</f>
        <v>Log Odds Ratio</v>
      </c>
      <c r="B15" s="114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6"/>
      <c r="T15" s="12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6"/>
      <c r="BT15" s="126"/>
    </row>
    <row r="16" spans="1:72">
      <c r="A16" s="115" t="str">
        <f>IF(Additional_weighting_method="Inverse variance","Log Risk Ratio","")</f>
        <v>Log Risk Ratio</v>
      </c>
      <c r="B16" s="115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6"/>
      <c r="T16" s="12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6"/>
      <c r="BR16" s="112" t="s">
        <v>141</v>
      </c>
      <c r="BS16" s="112"/>
      <c r="BT16" s="126"/>
    </row>
    <row r="17" spans="1:72">
      <c r="A17" s="115" t="str">
        <f>IF(Additional_weighting_method="Inverse Variance","Risk Difference","")</f>
        <v>Risk Difference</v>
      </c>
      <c r="B17" s="115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6"/>
      <c r="T17" s="12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6"/>
      <c r="BR17" s="3" t="s">
        <v>129</v>
      </c>
      <c r="BS17" s="7">
        <f>MAX(0,ROUNDUP(-2*SUM(Calculations!JJ:JJ),0))</f>
        <v>17</v>
      </c>
      <c r="BT17" s="126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6"/>
      <c r="T18" s="12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6"/>
      <c r="BR18" s="3" t="s">
        <v>142</v>
      </c>
      <c r="BS18" s="26">
        <f>CHIDIST(BS17,k_*2)</f>
        <v>0.14959731002769133</v>
      </c>
      <c r="BT18" s="126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6"/>
      <c r="T19" s="12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6"/>
      <c r="BT19" s="126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6"/>
      <c r="T20" s="12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6"/>
      <c r="BT20" s="126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6"/>
      <c r="T21" s="12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6"/>
      <c r="BT21" s="126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6"/>
      <c r="T22" s="12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6"/>
      <c r="BT22" s="126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6"/>
      <c r="T23" s="12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6"/>
      <c r="BT23" s="126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6"/>
      <c r="T24" s="12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6"/>
      <c r="BT24" s="126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6"/>
      <c r="T25" s="12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6"/>
      <c r="BT25" s="126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6"/>
      <c r="T26" s="12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6"/>
      <c r="BT26" s="126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6"/>
      <c r="T27" s="12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6"/>
      <c r="BT27" s="126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105</v>
      </c>
      <c r="I28" s="28" t="s">
        <v>143</v>
      </c>
      <c r="K28" s="112" t="s">
        <v>59</v>
      </c>
      <c r="L28" s="112"/>
      <c r="M28" s="126"/>
      <c r="T28" s="12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0" t="s">
        <v>144</v>
      </c>
      <c r="AY28" s="120"/>
      <c r="AZ28" s="120"/>
      <c r="BA28" s="120"/>
      <c r="BB28" s="123"/>
      <c r="BC28" s="12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0" t="s">
        <v>144</v>
      </c>
      <c r="BJ28" s="120"/>
      <c r="BK28" s="120"/>
      <c r="BL28" s="120"/>
      <c r="BM28" s="120"/>
      <c r="BP28" s="126"/>
      <c r="BT28" s="126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8.5758749686410396E-2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2.2960617902336464</v>
      </c>
      <c r="M29" s="126"/>
      <c r="T29" s="12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145</v>
      </c>
      <c r="Z29" s="1" t="s">
        <v>146</v>
      </c>
      <c r="AA29" s="1" t="s">
        <v>147</v>
      </c>
      <c r="AE29" s="12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119</v>
      </c>
      <c r="AZ29" s="3" t="s">
        <v>96</v>
      </c>
      <c r="BA29" s="3" t="s">
        <v>97</v>
      </c>
      <c r="BB29" s="3" t="s">
        <v>98</v>
      </c>
      <c r="BC29" s="12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119</v>
      </c>
      <c r="BK29" s="3" t="s">
        <v>96</v>
      </c>
      <c r="BL29" s="3" t="s">
        <v>97</v>
      </c>
      <c r="BM29" s="3" t="s">
        <v>98</v>
      </c>
      <c r="BP29" s="126"/>
      <c r="BT29" s="126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7.5445006236892209E-2</v>
      </c>
      <c r="K30" s="3" t="s">
        <v>61</v>
      </c>
      <c r="L30" s="26">
        <f>IF(Additional_valid_options="Yes",CHIDIST(L29,k_-1+IF(Trim_and_fill="On",L39,0)),"")</f>
        <v>0.80684511278513971</v>
      </c>
      <c r="M30" s="126"/>
      <c r="T30" s="12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101</v>
      </c>
      <c r="AY30" s="4">
        <v>0</v>
      </c>
      <c r="AZ30" s="4"/>
      <c r="BA30" s="4"/>
      <c r="BB30" s="4"/>
      <c r="BC30" s="12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101</v>
      </c>
      <c r="BJ30" s="4">
        <f>INTERCEPT(BG:BG,BF:BF)</f>
        <v>0.48499290463525674</v>
      </c>
      <c r="BK30" s="4">
        <f>BK31*SQRT(1/k_*SUMPRODUCT(BF:BF,BF:BF))</f>
        <v>6.8423947681380354E-2</v>
      </c>
      <c r="BL30" s="4">
        <f>BJ30-ABS(TINV((1-Additional_confidence_level),k_-1))*BK30</f>
        <v>0.30910354760297087</v>
      </c>
      <c r="BM30" s="4">
        <f>BJ30+ABS(TINV((1-Additional_confidence_level),k_-1))*BK30</f>
        <v>0.6608822616675426</v>
      </c>
      <c r="BP30" s="126"/>
      <c r="BT30" s="126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-0.10817881293561321</v>
      </c>
      <c r="K31" s="3" t="s">
        <v>62</v>
      </c>
      <c r="L31" s="8">
        <f>IF(Additional_valid_options="Yes",IF(L29-(k_-1+IF(Trim_and_fill="On",L39,0))&lt;=0,0,(L29-(k_-1+IF(Trim_and_fill="On",L39,0)))/L29),"")</f>
        <v>0</v>
      </c>
      <c r="M31" s="126"/>
      <c r="T31" s="12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-1.05</v>
      </c>
      <c r="Z31" s="4">
        <f t="array" ref="Z31:Z39">FREQUENCY(W:W,Calculations!HZ2:HZ10)/k_</f>
        <v>0</v>
      </c>
      <c r="AA31" s="4">
        <f>NORMSDIST(Calculations!HZ2)</f>
        <v>0.14685905637589594</v>
      </c>
      <c r="AE31" s="12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128</v>
      </c>
      <c r="AY31" s="4">
        <f>I29</f>
        <v>8.5758749686410396E-2</v>
      </c>
      <c r="AZ31" s="4">
        <f>I30</f>
        <v>7.5445006236892209E-2</v>
      </c>
      <c r="BA31" s="4">
        <f>AY31-ABS(TINV((1-Additional_confidence_level),k_-1))*AZ31</f>
        <v>-0.10817881293561321</v>
      </c>
      <c r="BB31" s="4">
        <f>AY31+ABS(TINV((1-Additional_confidence_level),k_-1))*AZ31</f>
        <v>0.279696312308434</v>
      </c>
      <c r="BC31" s="12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128</v>
      </c>
      <c r="BJ31" s="4">
        <f>SLOPE(BG:BG,BF:BF)</f>
        <v>0.71680819603260648</v>
      </c>
      <c r="BK31" s="4">
        <f>SQRT(((1/(k_-2))*SUMPRODUCT(Calculations!JA:JA,Calculations!JA:JA))/SUMPRODUCT(Calculations!IZ:IZ,Calculations!IZ:IZ))</f>
        <v>8.3614289409824044E-2</v>
      </c>
      <c r="BL31" s="4">
        <f>BJ31-ABS(TINV((1-Additional_confidence_level),k_-1))*BK31</f>
        <v>0.50187082247607484</v>
      </c>
      <c r="BM31" s="4">
        <f>BJ31+ABS(TINV((1-Additional_confidence_level),k_-1))*BK31</f>
        <v>0.93174556958913812</v>
      </c>
      <c r="BP31" s="126"/>
      <c r="BT31" s="126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0.279696312308434</v>
      </c>
      <c r="K32" s="3" t="s">
        <v>148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6"/>
      <c r="T32" s="12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-1.05; -0.75</v>
      </c>
      <c r="Z32" s="4">
        <v>0.16666666666666666</v>
      </c>
      <c r="AA32" s="4">
        <f>NORMSDIST(Calculations!HZ3)-(SUM(AA$31:AA31))</f>
        <v>7.9768296000972266E-2</v>
      </c>
      <c r="AE32" s="12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0" t="s">
        <v>105</v>
      </c>
      <c r="AL32" s="120"/>
      <c r="AM32" s="120"/>
      <c r="AR32" s="12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6"/>
      <c r="BT32" s="126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-0.10817881293561321</v>
      </c>
      <c r="K33" s="3" t="s">
        <v>72</v>
      </c>
      <c r="L33" s="4">
        <f>IF(Additional_valid_options="Yes",SQRT(L32),"")</f>
        <v>0</v>
      </c>
      <c r="M33" s="126"/>
      <c r="T33" s="12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-0.75; -0.45</v>
      </c>
      <c r="Z33" s="4">
        <v>0</v>
      </c>
      <c r="AA33" s="4">
        <f>NORMSDIST(Calculations!HZ4)-(SUM(AA$31:AA32))</f>
        <v>9.9727867911051815E-2</v>
      </c>
      <c r="AE33" s="12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1" t="s">
        <v>149</v>
      </c>
      <c r="AL33" s="121"/>
      <c r="AM33" s="121"/>
      <c r="AR33" s="12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150</v>
      </c>
      <c r="BJ33" s="5" t="s">
        <v>151</v>
      </c>
      <c r="BP33" s="126"/>
      <c r="BT33" s="126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0.279696312308434</v>
      </c>
      <c r="M34" s="126"/>
      <c r="T34" s="12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-0.45; -0.15</v>
      </c>
      <c r="Z34" s="4">
        <v>0.33333333333333331</v>
      </c>
      <c r="AA34" s="4">
        <f>NORMSDIST(Calculations!HZ5)-(SUM(AA$31:AA33))</f>
        <v>0.11402708734183747</v>
      </c>
      <c r="AE34" s="12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152</v>
      </c>
      <c r="AL34" s="3"/>
      <c r="AM34" s="4">
        <f>EXP(SUMPRODUCT(LogRiskRatio,Calculations!IE:IE)/SUM(Calculations!IE:IE))</f>
        <v>1.0822573227264174</v>
      </c>
      <c r="AR34" s="12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6"/>
      <c r="BT34" s="126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6"/>
      <c r="T35" s="12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-0.15; 0.15</v>
      </c>
      <c r="Z35" s="4">
        <v>0.16666666666666666</v>
      </c>
      <c r="AA35" s="4">
        <f>NORMSDIST(Calculations!HZ6)-(SUM(AA$31:AA34))</f>
        <v>0.11923538474048501</v>
      </c>
      <c r="AE35" s="12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6"/>
      <c r="BT35" s="126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105</v>
      </c>
      <c r="I36" s="90" t="s">
        <v>153</v>
      </c>
      <c r="K36" s="1" t="s">
        <v>154</v>
      </c>
      <c r="L36" s="5" t="s">
        <v>155</v>
      </c>
      <c r="M36" s="126"/>
      <c r="T36" s="12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0.15; 0.45</v>
      </c>
      <c r="Z36" s="4">
        <v>0.16666666666666666</v>
      </c>
      <c r="AA36" s="4">
        <f>NORMSDIST(Calculations!HZ7)-(SUM(AA$31:AA35))</f>
        <v>0.11402708734183742</v>
      </c>
      <c r="AE36" s="12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6"/>
      <c r="BT36" s="126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8.5758749686410396E-2</v>
      </c>
      <c r="K37" s="3" t="s">
        <v>156</v>
      </c>
      <c r="L37" s="5" t="s">
        <v>157</v>
      </c>
      <c r="M37" s="126"/>
      <c r="T37" s="12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0.45; 0.75</v>
      </c>
      <c r="Z37" s="4">
        <v>0</v>
      </c>
      <c r="AA37" s="4">
        <f>NORMSDIST(Calculations!HZ8)-(SUM(AA$31:AA36))</f>
        <v>9.9727867911051815E-2</v>
      </c>
      <c r="AE37" s="12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6"/>
      <c r="BT37" s="126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7.5445006236892209E-2</v>
      </c>
      <c r="K38" s="3" t="s">
        <v>158</v>
      </c>
      <c r="L38" s="91" t="str">
        <f>IF(Trim_and_fill="Off","",IF(I29&gt;0,"Left",IF(I29&lt;0,"Right","NA")))</f>
        <v>Left</v>
      </c>
      <c r="M38" s="126"/>
      <c r="T38" s="12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0.75; 1.05</v>
      </c>
      <c r="Z38" s="4">
        <v>0</v>
      </c>
      <c r="AA38" s="4">
        <f>NORMSDIST(Calculations!HZ9)-(SUM(AA$31:AA37))</f>
        <v>7.976829600097235E-2</v>
      </c>
      <c r="AE38" s="12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6"/>
      <c r="BT38" s="126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-0.10817881293561321</v>
      </c>
      <c r="K39" s="3" t="s">
        <v>159</v>
      </c>
      <c r="L39" s="7">
        <f>IF(L38&lt;&gt;"",Calculations!GW21,"")</f>
        <v>0</v>
      </c>
      <c r="M39" s="126"/>
      <c r="T39" s="12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1.05; ∞</v>
      </c>
      <c r="Z39" s="4">
        <v>0.16666666666666666</v>
      </c>
      <c r="AA39" s="4">
        <f>1-(SUM(AA31:AA38))</f>
        <v>0.14685905637589591</v>
      </c>
      <c r="AE39" s="12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6"/>
      <c r="BT39" s="126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0.279696312308434</v>
      </c>
      <c r="M40" s="126"/>
      <c r="T40" s="12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6"/>
      <c r="BT40" s="126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-0.10817881293561321</v>
      </c>
      <c r="M41" s="126"/>
      <c r="T41" s="12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160</v>
      </c>
      <c r="AE41" s="12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6"/>
      <c r="BT41" s="126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0.279696312308434</v>
      </c>
      <c r="M42" s="126"/>
      <c r="T42" s="12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6"/>
      <c r="BT42" s="126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6"/>
      <c r="T43" s="12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6"/>
      <c r="BT43" s="126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6"/>
      <c r="T44" s="12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6"/>
      <c r="BT44" s="126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6"/>
      <c r="T45" s="12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6"/>
      <c r="BT45" s="126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6"/>
      <c r="T46" s="12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6"/>
      <c r="BT46" s="126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6"/>
      <c r="T47" s="12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6"/>
      <c r="BT47" s="126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6"/>
      <c r="T48" s="12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6"/>
      <c r="BT48" s="126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6"/>
      <c r="T49" s="12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6"/>
      <c r="BT49" s="126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6"/>
      <c r="T50" s="12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6"/>
      <c r="BT50" s="126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6"/>
      <c r="T51" s="12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6"/>
      <c r="BT51" s="126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6"/>
      <c r="T52" s="12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6"/>
      <c r="BT52" s="126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6"/>
      <c r="T53" s="12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6"/>
      <c r="BT53" s="126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6"/>
      <c r="T54" s="12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6"/>
      <c r="BT54" s="126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6"/>
      <c r="T55" s="12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6"/>
      <c r="BT55" s="126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6"/>
      <c r="T56" s="12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6"/>
      <c r="BT56" s="126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6"/>
      <c r="T57" s="12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6"/>
      <c r="BT57" s="126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6"/>
      <c r="T58" s="12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6"/>
      <c r="BT58" s="126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6"/>
      <c r="T59" s="12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6"/>
      <c r="BT59" s="126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6"/>
      <c r="T60" s="12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6"/>
      <c r="BT60" s="126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6"/>
      <c r="T61" s="12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6"/>
      <c r="BT61" s="126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6"/>
      <c r="T62" s="12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6"/>
      <c r="BT62" s="126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6"/>
      <c r="T63" s="12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6"/>
      <c r="BT63" s="126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6"/>
      <c r="T64" s="12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6"/>
      <c r="BT64" s="126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6"/>
      <c r="T65" s="12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6"/>
      <c r="BT65" s="126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6"/>
      <c r="T66" s="12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6"/>
      <c r="BT66" s="126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6"/>
      <c r="T67" s="12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6"/>
      <c r="BT67" s="126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6"/>
      <c r="T68" s="12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6"/>
      <c r="BT68" s="126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6"/>
      <c r="T69" s="12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6"/>
      <c r="BT69" s="126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6"/>
      <c r="T70" s="12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6"/>
      <c r="BT70" s="126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6"/>
      <c r="T71" s="12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6"/>
      <c r="BT71" s="126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6"/>
      <c r="T72" s="12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6"/>
      <c r="BT72" s="126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6"/>
      <c r="T73" s="12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6"/>
      <c r="BT73" s="126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6"/>
      <c r="T74" s="12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6"/>
      <c r="BT74" s="126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6"/>
      <c r="T75" s="12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6"/>
      <c r="BT75" s="126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6"/>
      <c r="T76" s="12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6"/>
      <c r="BT76" s="126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6"/>
      <c r="T77" s="12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6"/>
      <c r="BT77" s="126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6"/>
      <c r="T78" s="12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6"/>
      <c r="BT78" s="126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6"/>
      <c r="T79" s="12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6"/>
      <c r="BT79" s="126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6"/>
      <c r="T80" s="12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6"/>
      <c r="BT80" s="126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6"/>
      <c r="T81" s="12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6"/>
      <c r="BT81" s="126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6"/>
      <c r="T82" s="12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6"/>
      <c r="BT82" s="126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6"/>
      <c r="T83" s="12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6"/>
      <c r="BT83" s="126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6"/>
      <c r="T84" s="12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6"/>
      <c r="BT84" s="126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6"/>
      <c r="T85" s="12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6"/>
      <c r="BT85" s="126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6"/>
      <c r="T86" s="12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6"/>
      <c r="BT86" s="126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6"/>
      <c r="T87" s="12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6"/>
      <c r="BT87" s="126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6"/>
      <c r="T88" s="12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6"/>
      <c r="BT88" s="126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6"/>
      <c r="T89" s="12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6"/>
      <c r="BT89" s="126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6"/>
      <c r="T90" s="12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6"/>
      <c r="BT90" s="126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6"/>
      <c r="T91" s="12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6"/>
      <c r="BT91" s="126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6"/>
      <c r="T92" s="12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6"/>
      <c r="BT92" s="126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6"/>
      <c r="T93" s="12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6"/>
      <c r="BT93" s="126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6"/>
      <c r="T94" s="12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6"/>
      <c r="BT94" s="126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6"/>
      <c r="T95" s="12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6"/>
      <c r="BT95" s="126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6"/>
      <c r="T96" s="12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6"/>
      <c r="BT96" s="126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6"/>
      <c r="T97" s="12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6"/>
      <c r="BT97" s="126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6"/>
      <c r="T98" s="12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6"/>
      <c r="BT98" s="126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6"/>
      <c r="T99" s="12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6"/>
      <c r="BT99" s="126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6"/>
      <c r="T100" s="12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6"/>
      <c r="BT100" s="126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6"/>
      <c r="T101" s="12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6"/>
      <c r="BT101" s="126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6"/>
      <c r="T102" s="12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6"/>
      <c r="BT102" s="126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6"/>
      <c r="T103" s="12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6"/>
      <c r="BT103" s="126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6"/>
      <c r="T104" s="12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6"/>
      <c r="BT104" s="126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6"/>
      <c r="T105" s="12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6"/>
      <c r="BT105" s="126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6"/>
      <c r="T106" s="12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6"/>
      <c r="BT106" s="126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6"/>
      <c r="T107" s="12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6"/>
      <c r="BT107" s="126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6"/>
      <c r="T108" s="12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6"/>
      <c r="BT108" s="126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6"/>
      <c r="T109" s="12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6"/>
      <c r="BT109" s="126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6"/>
      <c r="T110" s="12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6"/>
      <c r="BT110" s="126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6"/>
      <c r="T111" s="12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6"/>
      <c r="BT111" s="126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6"/>
      <c r="T112" s="12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6"/>
      <c r="BT112" s="126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6"/>
      <c r="T113" s="12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6"/>
      <c r="BT113" s="126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6"/>
      <c r="T114" s="12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6"/>
      <c r="BT114" s="126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6"/>
      <c r="T115" s="12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6"/>
      <c r="BT115" s="126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6"/>
      <c r="T116" s="12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6"/>
      <c r="BT116" s="126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6"/>
      <c r="T117" s="12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6"/>
      <c r="BT117" s="126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6"/>
      <c r="T118" s="12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6"/>
      <c r="BT118" s="126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6"/>
      <c r="T119" s="12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6"/>
      <c r="BT119" s="126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6"/>
      <c r="T120" s="12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6"/>
      <c r="BT120" s="126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6"/>
      <c r="T121" s="12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6"/>
      <c r="BT121" s="126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6"/>
      <c r="T122" s="12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6"/>
      <c r="BT122" s="126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6"/>
      <c r="T123" s="12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6"/>
      <c r="BT123" s="126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6"/>
      <c r="T124" s="12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6"/>
      <c r="BT124" s="126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6"/>
      <c r="T125" s="12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6"/>
      <c r="BT125" s="126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6"/>
      <c r="T126" s="12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6"/>
      <c r="BT126" s="126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6"/>
      <c r="T127" s="12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6"/>
      <c r="BT127" s="126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6"/>
      <c r="T128" s="12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6"/>
      <c r="BT128" s="126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6"/>
      <c r="T129" s="12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6"/>
      <c r="BT129" s="126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6"/>
      <c r="T130" s="12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6"/>
      <c r="BT130" s="126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6"/>
      <c r="T131" s="12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6"/>
      <c r="BT131" s="126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6"/>
      <c r="T132" s="12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6"/>
      <c r="BT132" s="126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6"/>
      <c r="T133" s="12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6"/>
      <c r="BT133" s="126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6"/>
      <c r="T134" s="12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6"/>
      <c r="BT134" s="126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6"/>
      <c r="T135" s="12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6"/>
      <c r="BT135" s="126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6"/>
      <c r="T136" s="12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6"/>
      <c r="BT136" s="126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6"/>
      <c r="T137" s="12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6"/>
      <c r="BT137" s="126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6"/>
      <c r="T138" s="12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6"/>
      <c r="BT138" s="126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6"/>
      <c r="T139" s="12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6"/>
      <c r="BT139" s="126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6"/>
      <c r="T140" s="12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6"/>
      <c r="BT140" s="126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6"/>
      <c r="T141" s="12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6"/>
      <c r="BT141" s="126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6"/>
      <c r="T142" s="12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6"/>
      <c r="BT142" s="126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6"/>
      <c r="T143" s="12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6"/>
      <c r="BT143" s="126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6"/>
      <c r="T144" s="12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6"/>
      <c r="BT144" s="126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6"/>
      <c r="T145" s="12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6"/>
      <c r="BT145" s="126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6"/>
      <c r="T146" s="12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6"/>
      <c r="BT146" s="126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6"/>
      <c r="T147" s="12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6"/>
      <c r="BT147" s="126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6"/>
      <c r="T148" s="12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6"/>
      <c r="BT148" s="126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6"/>
      <c r="T149" s="12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6"/>
      <c r="BT149" s="126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6"/>
      <c r="T150" s="12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6"/>
      <c r="BT150" s="126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6"/>
      <c r="T151" s="12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6"/>
      <c r="BT151" s="126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6"/>
      <c r="T152" s="12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6"/>
      <c r="BT152" s="126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6"/>
      <c r="T153" s="12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6"/>
      <c r="BT153" s="126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6"/>
      <c r="T154" s="12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6"/>
      <c r="BT154" s="126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6"/>
      <c r="T155" s="12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6"/>
      <c r="BT155" s="126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6"/>
      <c r="T156" s="12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6"/>
      <c r="BT156" s="126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6"/>
      <c r="T157" s="12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6"/>
      <c r="BT157" s="126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6"/>
      <c r="T158" s="12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6"/>
      <c r="BT158" s="126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6"/>
      <c r="T159" s="12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6"/>
      <c r="BT159" s="126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6"/>
      <c r="T160" s="12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6"/>
      <c r="BT160" s="126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6"/>
      <c r="T161" s="12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6"/>
      <c r="BT161" s="126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6"/>
      <c r="T162" s="12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6"/>
      <c r="BT162" s="126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6"/>
      <c r="T163" s="12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6"/>
      <c r="BT163" s="126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6"/>
      <c r="T164" s="12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6"/>
      <c r="BT164" s="126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6"/>
      <c r="T165" s="12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6"/>
      <c r="BT165" s="126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6"/>
      <c r="T166" s="12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6"/>
      <c r="BT166" s="126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6"/>
      <c r="T167" s="12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6"/>
      <c r="BT167" s="126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6"/>
      <c r="T168" s="12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6"/>
      <c r="BT168" s="126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6"/>
      <c r="T169" s="12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6"/>
      <c r="BT169" s="126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6"/>
      <c r="T170" s="12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6"/>
      <c r="BT170" s="126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6"/>
      <c r="T171" s="12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6"/>
      <c r="BT171" s="126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6"/>
      <c r="T172" s="12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6"/>
      <c r="BT172" s="126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6"/>
      <c r="T173" s="12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6"/>
      <c r="BT173" s="126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6"/>
      <c r="T174" s="12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6"/>
      <c r="BT174" s="126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6"/>
      <c r="T175" s="12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6"/>
      <c r="BT175" s="126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6"/>
      <c r="T176" s="12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6"/>
      <c r="BT176" s="126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6"/>
      <c r="T177" s="12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6"/>
      <c r="BT177" s="126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6"/>
      <c r="T178" s="12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6"/>
      <c r="BT178" s="126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6"/>
      <c r="T179" s="12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6"/>
      <c r="BT179" s="126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6"/>
      <c r="T180" s="12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6"/>
      <c r="BT180" s="126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6"/>
      <c r="T181" s="12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6"/>
      <c r="BT181" s="126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6"/>
      <c r="T182" s="12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6"/>
      <c r="BT182" s="126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6"/>
      <c r="T183" s="12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6"/>
      <c r="BT183" s="126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6"/>
      <c r="T184" s="12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6"/>
      <c r="BT184" s="126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6"/>
      <c r="T185" s="12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6"/>
      <c r="BT185" s="126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6"/>
      <c r="T186" s="12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6"/>
      <c r="BT186" s="126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6"/>
      <c r="T187" s="12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6"/>
      <c r="BT187" s="126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6"/>
      <c r="T188" s="12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6"/>
      <c r="BT188" s="126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6"/>
      <c r="T189" s="12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6"/>
      <c r="BT189" s="126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6"/>
      <c r="T190" s="12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6"/>
      <c r="BT190" s="126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6"/>
      <c r="T191" s="12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6"/>
      <c r="BT191" s="126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6"/>
      <c r="T192" s="12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6"/>
      <c r="BT192" s="126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6"/>
      <c r="T193" s="12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6"/>
      <c r="BT193" s="126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6"/>
      <c r="T194" s="12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6"/>
      <c r="BT194" s="126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6"/>
      <c r="T195" s="12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6"/>
      <c r="BT195" s="126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6"/>
      <c r="T196" s="12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6"/>
      <c r="BT196" s="126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6"/>
      <c r="T197" s="12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6"/>
      <c r="BT197" s="126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6"/>
      <c r="T198" s="12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6"/>
      <c r="BT198" s="126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6"/>
      <c r="T199" s="12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6"/>
      <c r="BT199" s="126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6"/>
      <c r="T200" s="12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6"/>
      <c r="BT200" s="126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7"/>
      <c r="T201" s="12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7"/>
      <c r="BT201" s="127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161</v>
      </c>
      <c r="H1" s="87"/>
      <c r="I1" s="88"/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P1" s="85"/>
      <c r="Q1" s="1" t="s">
        <v>167</v>
      </c>
      <c r="R1" s="1" t="s">
        <v>168</v>
      </c>
      <c r="S1" s="1" t="s">
        <v>169</v>
      </c>
      <c r="T1" s="1" t="s">
        <v>170</v>
      </c>
      <c r="V1" s="85"/>
      <c r="W1" s="1" t="s">
        <v>171</v>
      </c>
      <c r="X1" s="1" t="s">
        <v>172</v>
      </c>
      <c r="Y1" s="1" t="s">
        <v>173</v>
      </c>
      <c r="Z1" s="1" t="s">
        <v>174</v>
      </c>
      <c r="AB1" s="85"/>
      <c r="AC1" s="1" t="s">
        <v>152</v>
      </c>
      <c r="AD1" s="1" t="s">
        <v>175</v>
      </c>
      <c r="AE1" s="1" t="s">
        <v>176</v>
      </c>
      <c r="AF1" s="1" t="s">
        <v>177</v>
      </c>
      <c r="AG1" s="1" t="s">
        <v>178</v>
      </c>
      <c r="AI1" s="87"/>
      <c r="AJ1" s="112" t="s">
        <v>179</v>
      </c>
      <c r="AK1" s="112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180</v>
      </c>
      <c r="AY1" s="1" t="s">
        <v>181</v>
      </c>
      <c r="BA1" s="112" t="s">
        <v>182</v>
      </c>
      <c r="BB1" s="11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96</v>
      </c>
      <c r="BH1" s="1" t="s">
        <v>41</v>
      </c>
      <c r="BI1" s="1" t="s">
        <v>44</v>
      </c>
      <c r="BJ1" s="1" t="s">
        <v>104</v>
      </c>
      <c r="BL1" s="112" t="s">
        <v>51</v>
      </c>
      <c r="BM1" s="112"/>
      <c r="BO1" s="85"/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41</v>
      </c>
      <c r="BW1" s="1" t="s">
        <v>189</v>
      </c>
      <c r="BX1" s="1" t="s">
        <v>44</v>
      </c>
      <c r="BY1" s="1" t="s">
        <v>104</v>
      </c>
      <c r="BZ1" s="11"/>
      <c r="CA1" s="112" t="s">
        <v>51</v>
      </c>
      <c r="CB1" s="112"/>
      <c r="CD1" s="85"/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41</v>
      </c>
      <c r="CJ1" s="1" t="s">
        <v>44</v>
      </c>
      <c r="CK1" s="1" t="s">
        <v>104</v>
      </c>
      <c r="CM1" s="112" t="s">
        <v>51</v>
      </c>
      <c r="CN1" s="112"/>
      <c r="CP1" s="85"/>
      <c r="CQ1" s="1" t="s">
        <v>194</v>
      </c>
      <c r="CS1" s="112" t="s">
        <v>43</v>
      </c>
      <c r="CT1" s="112"/>
      <c r="CU1" s="112"/>
      <c r="CV1" s="112"/>
      <c r="CX1" s="87"/>
      <c r="CY1" s="1" t="s">
        <v>195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196</v>
      </c>
      <c r="DF1" s="1" t="s">
        <v>197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198</v>
      </c>
      <c r="DI1" s="1" t="s">
        <v>199</v>
      </c>
      <c r="DJ1" s="1" t="s">
        <v>104</v>
      </c>
      <c r="DL1" s="1" t="str">
        <f>Subgroup_effect_size_measure</f>
        <v>Odds Ratio</v>
      </c>
      <c r="DM1" s="1" t="s">
        <v>180</v>
      </c>
      <c r="DN1" s="1" t="s">
        <v>181</v>
      </c>
      <c r="DP1" s="1" t="s">
        <v>200</v>
      </c>
      <c r="DQ1" s="1" t="s">
        <v>10</v>
      </c>
      <c r="DR1" s="1" t="s">
        <v>27</v>
      </c>
      <c r="DS1" s="1" t="s">
        <v>201</v>
      </c>
      <c r="DT1" s="1" t="s">
        <v>60</v>
      </c>
      <c r="DU1" s="1" t="s">
        <v>69</v>
      </c>
      <c r="DV1" s="1" t="s">
        <v>70</v>
      </c>
      <c r="DW1" s="1" t="s">
        <v>202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203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204</v>
      </c>
      <c r="EI1" s="1" t="s">
        <v>205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206</v>
      </c>
      <c r="EO1" s="1" t="s">
        <v>207</v>
      </c>
      <c r="EP1" s="1" t="str">
        <f>IF(Within_subgroup_weighting=EX38,"Sum of squares (Q)","Sum of squares (Q*)")</f>
        <v>Sum of squares (Q*)</v>
      </c>
      <c r="EQ1" s="1" t="s">
        <v>182</v>
      </c>
      <c r="ER1" s="18" t="s">
        <v>208</v>
      </c>
      <c r="ES1" s="1" t="s">
        <v>41</v>
      </c>
      <c r="ET1" s="1" t="s">
        <v>209</v>
      </c>
      <c r="EU1" s="1" t="s">
        <v>210</v>
      </c>
      <c r="EV1" s="1" t="s">
        <v>104</v>
      </c>
      <c r="EX1" s="1" t="s">
        <v>105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211</v>
      </c>
      <c r="FE1" s="1" t="s">
        <v>41</v>
      </c>
      <c r="FF1" s="1" t="s">
        <v>212</v>
      </c>
      <c r="FG1" s="1" t="s">
        <v>213</v>
      </c>
      <c r="FH1" s="1" t="s">
        <v>214</v>
      </c>
      <c r="FJ1" s="1" t="s">
        <v>30</v>
      </c>
      <c r="FK1" s="1" t="s">
        <v>215</v>
      </c>
      <c r="FL1" s="1" t="s">
        <v>213</v>
      </c>
      <c r="FM1" s="1" t="s">
        <v>216</v>
      </c>
      <c r="FO1" s="1" t="s">
        <v>149</v>
      </c>
      <c r="FP1" s="1"/>
      <c r="FR1" s="87"/>
      <c r="FS1" s="88"/>
      <c r="FT1" s="1" t="s">
        <v>41</v>
      </c>
      <c r="FU1" s="1" t="s">
        <v>30</v>
      </c>
      <c r="FV1" s="1" t="s">
        <v>217</v>
      </c>
      <c r="FW1" s="1" t="s">
        <v>218</v>
      </c>
      <c r="FX1" s="1" t="s">
        <v>219</v>
      </c>
      <c r="FY1" s="1" t="s">
        <v>54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2" t="s">
        <v>224</v>
      </c>
      <c r="GH1" s="112"/>
      <c r="GI1" s="112"/>
      <c r="GK1" s="85"/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V1" s="112" t="s">
        <v>234</v>
      </c>
      <c r="GW1" s="112"/>
      <c r="GY1" s="1" t="s">
        <v>235</v>
      </c>
      <c r="GZ1" s="1" t="s">
        <v>236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237</v>
      </c>
      <c r="HD1" s="1" t="s">
        <v>30</v>
      </c>
      <c r="HE1" s="1" t="s">
        <v>104</v>
      </c>
      <c r="HG1" s="1" t="s">
        <v>238</v>
      </c>
      <c r="HH1" s="1" t="str">
        <f>HA1</f>
        <v>Log Odds Ratio</v>
      </c>
      <c r="HI1" s="1" t="str">
        <f>HB1</f>
        <v>SE Log Odds Ratio</v>
      </c>
      <c r="HK1" s="85"/>
      <c r="HL1" s="1" t="s">
        <v>239</v>
      </c>
      <c r="HM1" s="1" t="s">
        <v>240</v>
      </c>
      <c r="HO1" s="85"/>
      <c r="HP1" s="1" t="s">
        <v>241</v>
      </c>
      <c r="HQ1" s="1" t="s">
        <v>242</v>
      </c>
      <c r="HR1" s="1" t="s">
        <v>243</v>
      </c>
      <c r="HS1" s="1" t="s">
        <v>244</v>
      </c>
      <c r="HT1" s="1" t="s">
        <v>245</v>
      </c>
      <c r="HU1" s="1" t="s">
        <v>246</v>
      </c>
      <c r="HW1" s="85"/>
      <c r="HX1" s="1" t="s">
        <v>247</v>
      </c>
      <c r="HY1" s="1" t="s">
        <v>248</v>
      </c>
      <c r="HZ1" s="1" t="s">
        <v>249</v>
      </c>
      <c r="IB1" s="85"/>
      <c r="IC1" s="1" t="s">
        <v>112</v>
      </c>
      <c r="ID1" s="1" t="s">
        <v>111</v>
      </c>
      <c r="IE1" s="1" t="s">
        <v>41</v>
      </c>
      <c r="IF1" s="1" t="s">
        <v>250</v>
      </c>
      <c r="IH1" s="112" t="s">
        <v>251</v>
      </c>
      <c r="II1" s="112"/>
      <c r="IK1" s="85"/>
      <c r="IL1" s="1" t="s">
        <v>252</v>
      </c>
      <c r="IM1" s="1" t="s">
        <v>253</v>
      </c>
      <c r="IN1" s="1" t="s">
        <v>239</v>
      </c>
      <c r="IO1" s="1" t="s">
        <v>240</v>
      </c>
      <c r="IQ1" s="112" t="s">
        <v>254</v>
      </c>
      <c r="IR1" s="112"/>
      <c r="IS1" s="112"/>
      <c r="IU1" s="85"/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240</v>
      </c>
      <c r="JC1" s="112" t="s">
        <v>254</v>
      </c>
      <c r="JD1" s="112"/>
      <c r="JE1" s="112"/>
      <c r="JG1" s="85"/>
      <c r="JH1" s="1" t="s">
        <v>114</v>
      </c>
      <c r="JI1" s="1" t="s">
        <v>100</v>
      </c>
      <c r="JJ1" s="1" t="s">
        <v>260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68</v>
      </c>
      <c r="C2" s="6">
        <f>IF(AND(Include_study?="Yes",Sufficient_data="Yes"),IF(Input!b_&lt;&gt;"",Input!b_,Input!n1_-Input!a_),"")</f>
        <v>1241</v>
      </c>
      <c r="D2" s="6">
        <f>IF(AND(Include_study?="Yes",Sufficient_data="Yes"),IF(Input!c_&lt;&gt;"",Input!c_,Input!n2_-Input!d_),"")</f>
        <v>62</v>
      </c>
      <c r="E2" s="6">
        <f>IF(AND(Include_study?="Yes",Sufficient_data="Yes"),IF(Input!d_&lt;&gt;"",Input!d_,Input!n2_-Input!c_),"")</f>
        <v>1247</v>
      </c>
      <c r="F2" s="35" t="str">
        <f t="shared" ref="F2:F33" si="1">IF(AND(Include_study?="Yes",Sufficient_data="Yes"),IF(OR(a_=0,b_=0,c_=0,d_=0),"Yes","No"),"")</f>
        <v>No</v>
      </c>
      <c r="H2" s="133" t="s">
        <v>261</v>
      </c>
      <c r="I2" s="128" t="s">
        <v>43</v>
      </c>
      <c r="J2" s="77">
        <f t="shared" ref="J2:J65" si="2">IF(AND(Include_study?="Yes",Sufficient_data="Yes"),IF(Add_0_5="Yes",((a_+0.5)*(d_+0.5))/((b_+0.5)*(c_+0.5)),(a_*d_)/(b_*c_)),"")</f>
        <v>1.102076889085285</v>
      </c>
      <c r="K2" s="74">
        <f t="shared" ref="K2:K33" si="3">IF(AND(Include_study?="Yes",Sufficient_data="Yes"),LN(OddsRatio),"")</f>
        <v>9.7196480606444369E-2</v>
      </c>
      <c r="L2" s="74">
        <f t="shared" ref="L2:L33" si="4">IF(AND(Include_study?="Yes",Sufficient_data="Yes"),SQRT(IF(Add_0_5="Yes",1/(a_+0.5)+1/(b_+0.5)+1/(c_+0.5)+1/(d_+0.5),1/a_+1/b_+1/c_+1/d_)),"")</f>
        <v>0.18011840828426004</v>
      </c>
      <c r="M2" s="74">
        <f t="shared" ref="M2:M33" si="5">IF(AND(Include_study?="Yes",Sufficient_data="Yes"),EXP(LogOddsRatio-ABS(TINV((1-Confidence_level),Number_of_subjects-2))*SELogOddsRatio),"")</f>
        <v>0.77414775634190425</v>
      </c>
      <c r="N2" s="34">
        <f t="shared" ref="N2:N33" si="6">IF(AND(Include_study?="Yes",Sufficient_data="Yes"),EXP(LogOddsRatio+ABS(TINV((1-Confidence_level),Number_of_subjects-2))*SELogOddsRatio),"")</f>
        <v>1.5689168631000725</v>
      </c>
      <c r="P2" s="126" t="s">
        <v>262</v>
      </c>
      <c r="Q2" s="77">
        <f t="shared" ref="Q2:Q33" si="7">IF(AND(Include_study?="Yes",Sufficient_data="Yes"),EXP(LogPetoOddsRatio),"")</f>
        <v>1.101963669355821</v>
      </c>
      <c r="R2" s="74">
        <f t="shared" ref="R2:R33" si="8">IF(AND(Include_study?="Yes",Sufficient_data="Yes"),SQRT(VarLogPetoOddsRatio),"")</f>
        <v>0.17990158631002595</v>
      </c>
      <c r="S2" s="74">
        <f t="shared" ref="S2:S33" si="9">IF(AND(Include_study?="Yes",Sufficient_data="Yes"),EXP(LogPetoOddsRatio-ABS(TINV((1-Confidence_level),Number_of_subjects-2))*SELogPetoOddsRatio),"")</f>
        <v>0.77439739857022238</v>
      </c>
      <c r="T2" s="34">
        <f t="shared" ref="T2:T33" si="10">IF(AND(Include_study?="Yes",Sufficient_data="Yes"),EXP(LogPetoOddsRatio+ABS(TINV((1-Confidence_level),Number_of_subjects-2))*SELogPetoOddsRatio),"")</f>
        <v>1.5680888531161952</v>
      </c>
      <c r="V2" s="126" t="s">
        <v>171</v>
      </c>
      <c r="W2" s="77">
        <f t="shared" ref="W2:W33" si="11">IF(AND(Include_study?="Yes",Sufficient_data="Yes"),a_/(a_+b_)-c_/(c_+d_),"")</f>
        <v>4.5836516424751783E-3</v>
      </c>
      <c r="X2" s="74">
        <f t="shared" ref="X2:X33" si="12">IF(AND(Include_study?="Yes",Sufficient_data="Yes"),SQRT(a_*b_/(a_+b_)^3+c_*d_/(c_+d_)^3),"")</f>
        <v>8.4907924666716983E-3</v>
      </c>
      <c r="Y2" s="74">
        <f t="shared" ref="Y2:Y33" si="13">IF(AND(Include_study?="Yes",Sufficient_data="Yes"),Risk_Difference-SERiskDifference*ABS(TINV((1-Confidence_level),Number_of_subjects-2)),"")</f>
        <v>-1.2065699013694284E-2</v>
      </c>
      <c r="Z2" s="34">
        <f t="shared" ref="Z2:Z33" si="14">IF(AND(Include_study?="Yes",Sufficient_data="Yes"),Risk_Difference+SERiskDifference*ABS(TINV((1-Confidence_level),Number_of_subjects-2)),"")</f>
        <v>2.1233002298644641E-2</v>
      </c>
      <c r="AB2" s="126" t="s">
        <v>152</v>
      </c>
      <c r="AC2" s="77">
        <f t="shared" ref="AC2:AC33" si="15">IF(AND(Include_study?="Yes",Sufficient_data="Yes"),IF(Add_0_5="Yes",((a_+0.5)/(a_+0.5+b_+0.5))/((c_+0.5)/(c_+0.5+d_+0.5)),(a_/(a_+b_))/(c_/(c_+d_))),"")</f>
        <v>1.0967741935483872</v>
      </c>
      <c r="AD2" s="74">
        <f t="shared" ref="AD2:AD33" si="16">IF(AND(Include_study?="Yes",Sufficient_data="Yes"),LN(Risk_Ratio),"")</f>
        <v>9.2373320131015263E-2</v>
      </c>
      <c r="AE2" s="74">
        <f t="shared" ref="AE2:AE33" si="17">IF(AND(Include_study?="Yes",Sufficient_data="Yes"),IF(Add_0_5="Yes",SQRT(1/(a_+0.5)-1/(a_+0.5+b_+0.5)+1/(c_+0.5)-1/(c_+0.5+d_+0.5)),SQRT(1/a_-1/(a_+b_)+1/c_-1/(c_+d_))),"")</f>
        <v>0.17119296343652865</v>
      </c>
      <c r="AF2" s="74">
        <f t="shared" ref="AF2:AF33" si="18">IF(AND(Include_study?="Yes",Sufficient_data="Yes"),EXP(LN(Risk_Ratio)-ABS(TINV((1-Confidence_level),Number_of_subjects-2))*SELogRiskRatio),"")</f>
        <v>0.7840252626243942</v>
      </c>
      <c r="AG2" s="34">
        <f t="shared" ref="AG2:AG33" si="19">IF(AND(Include_study?="Yes",Sufficient_data="Yes"),EXP(LN(Risk_Ratio)+ABS(TINV((1-Confidence_level),Number_of_subjects-2))*SELogRiskRatio),"")</f>
        <v>1.5342791731061851</v>
      </c>
      <c r="AI2" s="133" t="s">
        <v>263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Neuman et al.</v>
      </c>
      <c r="AN2" s="6">
        <f t="shared" ref="AN2:AN65" si="21">IF(AND(Sufficient_data="Yes",Include_study?="Yes"),(a_+b_+c_+d_),"")</f>
        <v>2618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1.102076889085285</v>
      </c>
      <c r="AP2" s="3">
        <f t="shared" ref="AP2:AP33" si="23">IF(AND(Include_study?="Yes",Sufficient_data="Yes"),IF(Weighting_method="Inverse variance",Weightf,IF(Weighting_method="Mantel-Haenszel",Weightf_MH,Weightf_Peto)),"")</f>
        <v>30.823631156045103</v>
      </c>
      <c r="AQ2" s="3">
        <f t="shared" ref="AQ2:AQ33" si="24">IF(AND(Include_study?="Yes",Sufficient_data="Yes"),IF(Weighting_method="Inverse variance",Weight,IF(Weighting_method="Mantel-Haenszel",Weight_MH,Weight_Peto)),"")</f>
        <v>30.823631156045103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0.18011840828426004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0.77414775634190425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1.5689168631000725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0.17544653548962721</v>
      </c>
      <c r="AW2" s="43">
        <f t="shared" ref="AW2:AW33" si="29">IF(Effect_size_lookup&lt;&gt;"",Effect_size_lookup,NA())</f>
        <v>1.102076889085285</v>
      </c>
      <c r="AX2" s="3">
        <f t="shared" ref="AX2:AX33" si="30">IF(Effect_size_lookup&lt;&gt;"",Effect_size_lookup-AS2,NA())</f>
        <v>0.32792913274338076</v>
      </c>
      <c r="AY2" s="34">
        <f t="shared" ref="AY2:AY33" si="31">IF(Effect_size_lookup&lt;&gt;"",AT2-Effect_size_lookup,NA())</f>
        <v>0.4668399740147875</v>
      </c>
      <c r="BA2" s="2" t="s">
        <v>264</v>
      </c>
      <c r="BB2" s="3">
        <f>'Forest Plot'!$B$16</f>
        <v>1.0895434438984208</v>
      </c>
      <c r="BD2" s="133" t="s">
        <v>265</v>
      </c>
      <c r="BE2" s="128" t="s">
        <v>266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9.7196480606444369E-2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0.18011840828426004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30.823631156045103</v>
      </c>
      <c r="BI2" s="74">
        <f>IF(Weightf&lt;&gt;"",1/(IF(Model_effect_size_measure="Odds Ratio",SELogOddsRatio,IF(Model_effect_size_measure="Risk Ratio",SELogRiskRatio,SERiskDifference))^2+T2_),"")</f>
        <v>30.823631156045103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1.1437730920033973E-2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8.5758749686410396E-2</v>
      </c>
      <c r="BO2" s="126" t="s">
        <v>267</v>
      </c>
      <c r="BP2" s="3">
        <f t="shared" ref="BP2:BP33" si="36">IF(AND(Sufficient_data="Yes",Include_study?="Yes"),IF(Add_0_5="Yes",(a_+0.5)*(d_+0.5)/(Number_of_subjects+2),a_*d_/Number_of_subjects),"")</f>
        <v>32.38961038961039</v>
      </c>
      <c r="BQ2" s="3">
        <f t="shared" ref="BQ2:BQ33" si="37">IF(AND(Sufficient_data="Yes",Include_study?="Yes"),IF(Add_0_5="Yes",(b_+0.5)*(c_+0.5)/(Number_of_subjects+2),b_*c_/Number_of_subjects),"")</f>
        <v>29.38961038961039</v>
      </c>
      <c r="BR2" s="3">
        <f t="shared" ref="BR2:BR33" si="38">IF(AND(Sufficient_data="Yes",Include_study?="Yes"),IF(Add_0_5="Yes",(a_+d_+1)*(a_+0.5)*(d_+0.5)/(Number_of_subjects+2)^2,(a_+d_)*a_*d_/Number_of_subjects^2),"")</f>
        <v>16.26903654023593</v>
      </c>
      <c r="BS2" s="3">
        <f>IF(AND(Sufficient_data="Yes",Include_study?="Yes"),IF(Add_0_5="Yes",(a_+d_+1)*(ab_+0.5)*(c_+0.5)/(Number_of_subjects+2)^2,(a_+d_)*b_*c_/Number_of_subjects^2),"")</f>
        <v>14.762161062772217</v>
      </c>
      <c r="BT2" s="3">
        <f t="shared" ref="BT2:BT33" si="39">IF(AND(Sufficient_data="Yes",Include_study?="Yes"),IF(Add_0_5="Yes",(b_+c_+1)*(a_+0.5)*(d_+0.5)/(Number_of_subjects+2)^2,(b_+c_)*a_*d_/Number_of_subjects^2),"")</f>
        <v>16.120573849374459</v>
      </c>
      <c r="BU2" s="3">
        <f t="shared" ref="BU2:BU33" si="40">IF(AND(Sufficient_data="Yes",Include_study?="Yes"),IF(Add_0_5="Yes",(b_+c_+1)*(b_+0.5)*(c_+0.5)/(Number_of_subjects+2)^2,(b_+c_)*b_*c_/Number_of_subjects^2),"")</f>
        <v>14.627449326838173</v>
      </c>
      <c r="BV2" s="3">
        <f t="shared" ref="BV2:BV33" si="41">IF(AND(Sufficient_data="Yes",Include_study?="Yes"),IF(Add_0_5="Yes",(b_+0.5)*(c_+0.5)/(Number_of_subjects+2),b_*c_/Number_of_subjects),"")</f>
        <v>29.38961038961039</v>
      </c>
      <c r="BW2" s="3">
        <f t="shared" ref="BW2:BW33" si="42">IF(AND(Sufficient_data="Yes",Include_study?="Yes"),1/(SELogOddsRatio^2)*(LogOddsRatio-LN(SUMPRODUCT(Weightf_MH,OddsRatio)/SUM(Weightf_MH)))^2,"")</f>
        <v>3.7629881376952832E-3</v>
      </c>
      <c r="BX2" s="74">
        <f t="shared" ref="BX2:BX33" si="43">IF(Weithf_MH&lt;&gt;"",1/(SELogOddsRatio^2+T2_MH),"")</f>
        <v>30.823631156045103</v>
      </c>
      <c r="BY2" s="34">
        <f t="shared" ref="BY2:BY33" si="44">IF(Weithf_MH&lt;&gt;"",LogOddsRatio-lnCES_OddsRatio_MH,"")</f>
        <v>1.1437730920034042E-2</v>
      </c>
      <c r="CA2" s="3" t="s">
        <v>268</v>
      </c>
      <c r="CB2" s="3">
        <f>LN(CES_OddsRatio_MH)</f>
        <v>8.5758749686410327E-2</v>
      </c>
      <c r="CD2" s="126" t="s">
        <v>269</v>
      </c>
      <c r="CE2" s="77">
        <f t="shared" ref="CE2:CE33" si="45">IF(AND(Include_study?="Yes",Sufficient_data="Yes"),((a_+b_)*(a_+c_))/(Number_of_subjects),"")</f>
        <v>65</v>
      </c>
      <c r="CF2" s="74">
        <f t="shared" ref="CF2:CF33" si="46">IF(AND(Include_study?="Yes",Sufficient_data="Yes"),((a_+b_)*(c_+d_)*(a_+c_)*(b_+d_))/((Number_of_subjects)^2*(Number_of_subjects-1)),"")</f>
        <v>30.897974780282766</v>
      </c>
      <c r="CG2" s="74">
        <f t="shared" ref="CG2:CG33" si="47">IF(AND(Include_study?="Yes",Sufficient_data="Yes"),(a_-Expected)/VarExpected,"")</f>
        <v>9.7093742270591143E-2</v>
      </c>
      <c r="CH2" s="74">
        <f t="shared" ref="CH2:CH33" si="48">IF(AND(Include_study?="Yes",Sufficient_data="Yes"),1/VarExpected,"")</f>
        <v>3.2364580756863714E-2</v>
      </c>
      <c r="CI2" s="74">
        <f t="shared" ref="CI2:CI33" si="49">IF(AND(Sufficient_data="Yes",Include_study?="Yes"),VarExpected,"")</f>
        <v>30.897974780282766</v>
      </c>
      <c r="CJ2" s="74">
        <f t="shared" ref="CJ2:CJ65" si="50">IF(Weightf_Peto&lt;&gt;"",1/(VarLogPetoOddsRatio+T2_Peto),"")</f>
        <v>30.897974780282766</v>
      </c>
      <c r="CK2" s="34">
        <f t="shared" ref="CK2:CK33" si="51">IF(Weightf_Peto&lt;&gt;"",LogPetoOddsRatio-lnCES_PetoOddsRatio,"")</f>
        <v>1.1021071414113431E-2</v>
      </c>
      <c r="CM2" s="3" t="s">
        <v>270</v>
      </c>
      <c r="CN2" s="3">
        <f>IF(Meta_analysis_model="Fixed effect model",SUMPRODUCT(Weightf_Peto,LogPetoOddsRatio)/SUM(Weightf_Peto),SUMPRODUCT(Weight_Peto,LogPetoOddsRatio)/SUM(Weight_Peto))</f>
        <v>8.6072670856477712E-2</v>
      </c>
      <c r="CP2" s="126" t="s">
        <v>271</v>
      </c>
      <c r="CQ2" s="51">
        <f t="shared" ref="CQ2:CQ33" si="52">IF(AND(Sufficient_data="Yes",Include_study?="Yes"),c_/(c_+d_),"")</f>
        <v>4.7364400305576773E-2</v>
      </c>
      <c r="CS2" s="2"/>
      <c r="CT2" s="2" t="s">
        <v>40</v>
      </c>
      <c r="CU2" s="2" t="s">
        <v>64</v>
      </c>
      <c r="CV2" s="2" t="s">
        <v>65</v>
      </c>
      <c r="CX2" s="133" t="s">
        <v>272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5</v>
      </c>
      <c r="CZ2" s="37" t="str">
        <f t="shared" ref="CZ2:CZ33" si="54">IF(AND(Include_study?="Yes",Sufficient_data="Yes",Subgroup&lt;&gt;""),Study_name,"")</f>
        <v>Neuman et al.</v>
      </c>
      <c r="DA2" s="78" t="str">
        <f t="shared" ref="DA2:DA33" si="55">IF(AND(Include_study?="Yes",Sufficient_data="Yes",Subgroup&lt;&gt;""),Subgroup,"")</f>
        <v>French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9.7196480606444369E-2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0.18011840828426004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30.823631156045103</v>
      </c>
      <c r="DE2" s="74" t="e">
        <f t="shared" ref="DE2:DE33" si="59">IF(AND(Include_study?="Yes",Sufficient_data="Yes",Subgroup&lt;&gt;""),1/(DC2^2+IF(Within_subgroup_weighting=EX$42,0,INDEX(DQ:DX,MATCH(Subgroup,DQ:DQ,0),8))),"")</f>
        <v>#DIV/0!</v>
      </c>
      <c r="DF2" s="79" t="e">
        <f t="shared" ref="DF2:DF33" si="60">IF(AND(Include_study?="Yes",Sufficient_data="Yes",Subgroup_valid_options="Yes",Subgroup&lt;&gt;""),DE2/SUMIF(Subgroup,Subgroup,DE:DE),"")</f>
        <v>#DIV/0!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1.102076889085285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0.77414780470342548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1.5689167650888065</v>
      </c>
      <c r="DJ2" s="34" t="e">
        <f t="shared" ref="DJ2:DJ33" si="64">IF(AND(Include_study?="Yes",Sufficient_data="Yes",Subgroup&lt;&gt;""),Subgroup_effect_size-VLOOKUP(DA:DA,DQ:DZ,10,FALSE),"")</f>
        <v>#DIV/0!</v>
      </c>
      <c r="DL2" s="43">
        <f t="shared" ref="DL2:DL33" si="65">IF(Subgroup_effect_size&lt;&gt;"",IF(Subgroup_effect_size_measure="Risk Difference",Subgroup_effect_size,DG:DG),NA())</f>
        <v>1.102076889085285</v>
      </c>
      <c r="DM2" s="74">
        <f>IF(AND(Include_study?="Yes",Sufficient_data="Yes",Subgroup&lt;&gt;""),IF(Subgroup_effect_size_measure="Risk Difference",DB2-DH2,DG2-DH2),NA())</f>
        <v>0.32792908438185953</v>
      </c>
      <c r="DN2" s="34">
        <f>IF(AND(Include_study?="Yes",Sufficient_data="Yes",Subgroup&lt;&gt;""),IF(Subgroup_effect_size_measure="Risk Difference",DI2-DB2,DI2-DG2),NA())</f>
        <v>0.4668398760035215</v>
      </c>
      <c r="DP2" s="47">
        <f>IF(DQ2&lt;&gt;"",SUMIFS(DS:DS,DS:DS,"&gt;="&amp;0,DQ:DQ,"&lt;"&amp;DQ2)+DS2+DR2,"")</f>
        <v>6</v>
      </c>
      <c r="DQ2" s="17" t="str">
        <f>IF(AND(Sufficient_data="Yes",Subgroup&lt;&gt;""),Subgroup,"")</f>
        <v>French</v>
      </c>
      <c r="DR2" s="6">
        <f>IF(DQ2&lt;&gt;"",(COUNTIFS(DS:DS,"&gt;"&amp;0,DQ:DQ,"&lt;"&amp;DQ2)+1),"")</f>
        <v>2</v>
      </c>
      <c r="DS2" s="6">
        <f t="shared" ref="DS2:DS33" si="66">IF(DQ2&lt;&gt;"",COUNTIFS(Sufficient_data,"Yes",Include_study?,"Yes",Subgroup,DQ2),"")</f>
        <v>1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</v>
      </c>
      <c r="DU2" s="10" t="e">
        <f>IF(DT2&lt;&gt;"",CHIDIST(DT2,DS2-1),"")</f>
        <v>#NUM!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0</v>
      </c>
      <c r="DX2" s="3" t="e">
        <f t="shared" ref="DX2:DX33" si="69">IF(DT2&lt;&gt;"",IF(Within_subgroup_weighting=EX$44,MAX(0,(SUM(DT:DT)-(Subgroup_k-COUNT(DT:DT)))/SUM(DW:DW)),MAX(0,(DT2-(DS2-1))/DW2)),"")</f>
        <v>#DIV/0!</v>
      </c>
      <c r="DY2" s="3" t="e">
        <f>IF(DX2&lt;&gt;"",SQRT(DX2),"")</f>
        <v>#DIV/0!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2618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3" t="s">
        <v>273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105</v>
      </c>
      <c r="FP2" s="3" t="e">
        <f>SUMPRODUCT('Moderator Analysis'!F:F,Calculations!FE:FE)/SUM(Calculations!FE:FE)</f>
        <v>#DIV/0!</v>
      </c>
      <c r="FR2" s="133" t="s">
        <v>274</v>
      </c>
      <c r="FS2" s="128" t="s">
        <v>118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30.823631156045103</v>
      </c>
      <c r="FU2" s="74">
        <f>IF(AND(Include_study?="Yes",Sufficient_data="Yes"),1/('Publication Bias Analysis'!F:F^2+IF(Additional_model="Fixed effect",0,Calculations!GH$12)),"")</f>
        <v>30.823631156045103</v>
      </c>
      <c r="FV2" s="74">
        <f>IF(AND(Include_study?="Yes",Sufficient_data="Yes"),1/('Publication Bias Analysis'!F:F^2+IF(Additional_model="Fixed effect",0,'Publication Bias Analysis'!L$32)),"")</f>
        <v>30.823631156045103</v>
      </c>
      <c r="FW2" s="74">
        <f>IF(AND(Include_study?="Yes",Sufficient_data="Yes"),'Publication Bias Analysis'!E:E-'Publication Bias Analysis'!I$37,"")</f>
        <v>1.1437730920033973E-2</v>
      </c>
      <c r="FX2" s="74">
        <f>IF(AND(Include_study?="Yes",Sufficient_data="Yes"),IF(Additional_model="Fixed effect",1/'Publication Bias Analysis'!F:F,1/SQRT('Publication Bias Analysis'!F:F^2+GH$12)),"")</f>
        <v>5.5519033813679703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0.53962546933598488</v>
      </c>
      <c r="FZ2" s="37">
        <f t="shared" ref="FZ2:FZ33" si="80">IF(AND(Include_study?="Yes",Sufficient_data="Yes"),RANK(GM:GM,GM:GM,1)*IF(GL:GL&gt;0,1,-1),"")</f>
        <v>1</v>
      </c>
      <c r="GA2" s="82">
        <f>IF(AND(Include_study?="Yes",Sufficient_data="Yes"),FZ:FZ,"")</f>
        <v>1</v>
      </c>
      <c r="GB2" s="82">
        <f>IF(AND(Include_study?="Yes",Sufficient_data="Yes"),RANK(GP:GP,GP:GP,1)*IF(GO:GO&lt;0,-1,1),"")</f>
        <v>1</v>
      </c>
      <c r="GC2" s="82">
        <f>IF(AND(Include_study?="Yes",Sufficient_data="Yes"),RANK(GS:GS,GS:GS,1)*IF(GR:GR&lt;0,-1,1),"")</f>
        <v>1</v>
      </c>
      <c r="GD2" s="74">
        <f>IF(AND(Include_study?="Yes",Sufficient_data="Yes"),'Publication Bias Analysis'!E2,NA())</f>
        <v>9.7196480606444369E-2</v>
      </c>
      <c r="GE2" s="34">
        <f>IF(AND(Include_study?="Yes",Sufficient_data="Yes"),'Publication Bias Analysis'!F2,NA())</f>
        <v>0.18011840828426004</v>
      </c>
      <c r="GG2" s="24" t="s">
        <v>275</v>
      </c>
      <c r="GH2" s="2" t="s">
        <v>245</v>
      </c>
      <c r="GI2" s="2" t="s">
        <v>246</v>
      </c>
      <c r="GK2" s="126" t="s">
        <v>276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1.1437730920033973E-2</v>
      </c>
      <c r="GM2" s="74">
        <f t="shared" ref="GM2:GM33" si="81">IF(AND(Include_study?="Yes",Sufficient_data="Yes"),ABS(GL2),"")</f>
        <v>1.1437730920033973E-2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30.823631156045103</v>
      </c>
      <c r="GO2" s="74">
        <f>IF(AND(Include_study?="Yes",Sufficient_data="Yes"),IF('Publication Bias Analysis'!L$38="Left",'Publication Bias Analysis'!E:E-GW$3,GW$3-'Publication Bias Analysis'!E:E),"")</f>
        <v>1.1437730920033973E-2</v>
      </c>
      <c r="GP2" s="74">
        <f t="shared" ref="GP2:GP33" si="82">IF(GO2&lt;&gt;"",ABS(GO2),"")</f>
        <v>1.1437730920033973E-2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30.823631156045103</v>
      </c>
      <c r="GR2" s="74">
        <f>IF(AND(Include_study?="Yes",Sufficient_data="Yes"),IF('Publication Bias Analysis'!L$38="Left",'Publication Bias Analysis'!E:E-GW$10,GW$10-'Publication Bias Analysis'!E:E),"")</f>
        <v>1.1437730920033973E-2</v>
      </c>
      <c r="GS2" s="74">
        <f t="shared" ref="GS2:GS33" si="83">IF(GR2&lt;&gt;"",ABS(GR2),"")</f>
        <v>1.1437730920033973E-2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30.823631156045103</v>
      </c>
      <c r="GV2" s="122" t="s">
        <v>105</v>
      </c>
      <c r="GW2" s="122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6" t="s">
        <v>109</v>
      </c>
      <c r="HL2" s="3">
        <f t="shared" ref="HL2:HL65" si="89">IF(AND(Include_study?="Yes",Sufficient_data="Yes"),Inverse_standard_error-AVERAGE(Inverse_standard_error),"")</f>
        <v>0.15644067800038819</v>
      </c>
      <c r="HM2" s="34">
        <f>IF(AND(Include_study?="Yes",Sufficient_data="Yes"),Z_score-('Publication Bias Analysis'!P$3+'Publication Bias Analysis'!P$4*Inverse_standard_error),"")</f>
        <v>0.15179343479062413</v>
      </c>
      <c r="HO2" s="126" t="s">
        <v>277</v>
      </c>
      <c r="HP2" s="3">
        <f>IF(AND(Include_study?="Yes",Sufficient_data="Yes"),(GD:GD-SUMPRODUCT(Calculations!FT:FT,'Publication Bias Analysis'!E:E)/SUM(Calculations!FT:FT))/SQRT(Calculations!HQ:HQ),"")</f>
        <v>6.9931422819515754E-2</v>
      </c>
      <c r="HQ2" s="3">
        <f>IF(AND(Include_study?="Yes",Sufficient_data="Yes"),GE:GE^2-1/SUM(Calculations!FT:FT),"")</f>
        <v>2.6750692036770694E-2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4</v>
      </c>
      <c r="HT2" s="6">
        <f>IF(AND(Include_study?="Yes",Sufficient_data="Yes"),COUNTIFS(HR3:HR201,"&lt;"&amp;HR2,HS3:HS201,"&lt;"&amp;HS2)+COUNTIFS(HR3:HR201,"&gt;"&amp;HR2,HS3:HS201,"&gt;"&amp;HS2),"")</f>
        <v>4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26" t="s">
        <v>121</v>
      </c>
      <c r="HX2" s="20">
        <v>1</v>
      </c>
      <c r="HY2" s="3"/>
      <c r="HZ2" s="34">
        <f>HZ3-HY14</f>
        <v>-1.05</v>
      </c>
      <c r="IB2" s="126" t="s">
        <v>278</v>
      </c>
      <c r="IC2" s="77">
        <f t="shared" ref="IC2:IC33" si="92">IF(AND(Include_study?="Yes",Sufficient_data="Yes"),a_/(a_+b_),NA())</f>
        <v>5.1948051948051951E-2</v>
      </c>
      <c r="ID2" s="74">
        <f t="shared" ref="ID2:ID33" si="93">IF(AND(Include_study?="Yes",Sufficient_data="Yes"),c_/(c_+d_),NA())</f>
        <v>4.7364400305576773E-2</v>
      </c>
      <c r="IE2" s="74">
        <f t="shared" ref="IE2:IE33" si="94">IF(AND(Include_study?="Yes",Sufficient_data="Yes"),1/SELogRiskRatio^2,"")</f>
        <v>34.121505150304813</v>
      </c>
      <c r="IF2" s="74">
        <f t="shared" ref="IF2:IF33" si="95">IF(AND(Include_study?="Yes",Sufficient_data="Yes"),IF(Additional_model="Fixed effect",Weightf,Weightr),"")</f>
        <v>30.823631156045103</v>
      </c>
      <c r="IH2" s="2" t="s">
        <v>245</v>
      </c>
      <c r="II2" s="2" t="s">
        <v>246</v>
      </c>
      <c r="IK2" s="126" t="s">
        <v>123</v>
      </c>
      <c r="IL2" s="3">
        <f>IF(AND(Include_study?="Yes",Sufficient_data="Yes"),'Publication Bias Analysis'!AV:AV,NA())</f>
        <v>0.53962546933598488</v>
      </c>
      <c r="IM2" s="3">
        <f>IF(AND(Sufficient_data="Yes",Include_study?="Yes"),'Publication Bias Analysis'!AU:AU,NA())</f>
        <v>5.5519033813679703</v>
      </c>
      <c r="IN2" s="3">
        <f t="shared" ref="IN2:IN33" si="96">IF(AND(Include_study?="Yes",Sufficient_data="Yes"),Inverse_standard_error-AVERAGE(Inverse_standard_error),"")</f>
        <v>0.15644067800038819</v>
      </c>
      <c r="IO2" s="34">
        <f>IF(AND(Include_study?="Yes",Sufficient_data="Yes"),Z_score-('Publication Bias Analysis'!AY$30+'Publication Bias Analysis'!AY$31*Inverse_standard_error),"")</f>
        <v>6.3501176970113649E-2</v>
      </c>
      <c r="IQ2" s="24" t="s">
        <v>279</v>
      </c>
      <c r="IR2" s="2" t="s">
        <v>245</v>
      </c>
      <c r="IS2" s="2" t="s">
        <v>246</v>
      </c>
      <c r="IU2" s="126" t="s">
        <v>124</v>
      </c>
      <c r="IV2" s="6">
        <f>IF('Publication Bias Analysis'!BG:BG&lt;&gt;"",RANK('Publication Bias Analysis'!BG:BG,'Publication Bias Analysis'!BG:BG,1),"")</f>
        <v>4</v>
      </c>
      <c r="IW2" s="3">
        <f t="shared" ref="IW2:IW33" si="97">IF(IV:IV&lt;&gt;"",(IV:IV-1/3)/(k_+1/3),"")</f>
        <v>0.57894736842105265</v>
      </c>
      <c r="IX2" s="3">
        <f>IF('Publication Bias Analysis'!BF2&lt;&gt;"",'Publication Bias Analysis'!BF2,NA())</f>
        <v>0.19920132478926703</v>
      </c>
      <c r="IY2" s="3">
        <f>IF('Publication Bias Analysis'!BG2&lt;&gt;"",'Publication Bias Analysis'!BG2,NA())</f>
        <v>0.53962546933598488</v>
      </c>
      <c r="IZ2" s="3">
        <f>IF(AND(Include_study?="Yes",Sufficient_data="Yes"),'Publication Bias Analysis'!BF:BF-AVERAGE('Publication Bias Analysis'!BF:BF),"")</f>
        <v>0.19920132478926703</v>
      </c>
      <c r="JA2" s="34">
        <f>IF(AND(Include_study?="Yes",Sufficient_data="Yes"),'Publication Bias Analysis'!BG:BG-('Publication Bias Analysis'!BJ$30+'Publication Bias Analysis'!BJ$31*'Publication Bias Analysis'!BF:BF),"")</f>
        <v>-8.815657756877171E-2</v>
      </c>
      <c r="JC2" s="24" t="s">
        <v>280</v>
      </c>
      <c r="JD2" s="2" t="s">
        <v>245</v>
      </c>
      <c r="JE2" s="2" t="s">
        <v>246</v>
      </c>
      <c r="JG2" s="126" t="s">
        <v>126</v>
      </c>
      <c r="JH2" s="74">
        <f t="shared" ref="JH2:JH33" si="98">IF(AND(Include_study?="Yes",Sufficient_data="Yes"),IF(AND(Additional_valid_options="No",Additional_model="Random effects"),NA(),Z_score),"")</f>
        <v>0.53962546933598488</v>
      </c>
      <c r="JI2" s="84">
        <f>IF(JH2&lt;&gt;"",1-NORMSDIST(ABS(JH2)),"")</f>
        <v>0.29472767418815948</v>
      </c>
      <c r="JJ2" s="34">
        <f>IF(JI2&lt;&gt;"",LN(MAX(10^-306,JI2)),"")</f>
        <v>-1.2217034873421513</v>
      </c>
    </row>
    <row r="3" spans="1:270" ht="12.95">
      <c r="A3" s="2">
        <f t="shared" si="0"/>
        <v>1</v>
      </c>
      <c r="B3" s="6">
        <f>IF(AND(Include_study?="Yes",Sufficient_data="Yes"),IF(Input!a_&lt;&gt;"",Input!a_,Input!n1_-Input!b_),"")</f>
        <v>60</v>
      </c>
      <c r="C3" s="6">
        <f>IF(AND(Include_study?="Yes",Sufficient_data="Yes"),IF(Input!b_&lt;&gt;"",Input!b_,Input!n1_-Input!a_),"")</f>
        <v>9979</v>
      </c>
      <c r="D3" s="6">
        <f>IF(AND(Include_study?="Yes",Sufficient_data="Yes"),IF(Input!c_&lt;&gt;"",Input!c_,Input!n2_-Input!d_),"")</f>
        <v>52</v>
      </c>
      <c r="E3" s="6">
        <f>IF(AND(Include_study?="Yes",Sufficient_data="Yes"),IF(Input!d_&lt;&gt;"",Input!d_,Input!n2_-Input!c_),"")</f>
        <v>9987</v>
      </c>
      <c r="F3" s="35" t="str">
        <f t="shared" si="1"/>
        <v>No</v>
      </c>
      <c r="H3" s="133"/>
      <c r="I3" s="128"/>
      <c r="J3" s="76">
        <f t="shared" si="2"/>
        <v>1.1547711733101051</v>
      </c>
      <c r="K3" s="3">
        <f t="shared" si="3"/>
        <v>0.14390220599949552</v>
      </c>
      <c r="L3" s="3">
        <f t="shared" si="4"/>
        <v>0.18999414861669803</v>
      </c>
      <c r="M3" s="3">
        <f t="shared" si="5"/>
        <v>0.79572475790243646</v>
      </c>
      <c r="N3" s="35">
        <f t="shared" si="6"/>
        <v>1.6758262822224472</v>
      </c>
      <c r="P3" s="126"/>
      <c r="Q3" s="76">
        <f t="shared" si="7"/>
        <v>1.1544815285402861</v>
      </c>
      <c r="R3" s="3">
        <f t="shared" si="8"/>
        <v>0.18950682715432834</v>
      </c>
      <c r="S3" s="3">
        <f t="shared" si="9"/>
        <v>0.79628541152803289</v>
      </c>
      <c r="T3" s="35">
        <f t="shared" si="10"/>
        <v>1.6738063770163571</v>
      </c>
      <c r="V3" s="126"/>
      <c r="W3" s="76">
        <f t="shared" si="11"/>
        <v>7.9689212072915627E-4</v>
      </c>
      <c r="X3" s="3">
        <f t="shared" si="12"/>
        <v>1.0512297685829888E-3</v>
      </c>
      <c r="Y3" s="3">
        <f t="shared" si="13"/>
        <v>-1.2636045906097397E-3</v>
      </c>
      <c r="Z3" s="35">
        <f t="shared" si="14"/>
        <v>2.8573888320680522E-3</v>
      </c>
      <c r="AB3" s="126"/>
      <c r="AC3" s="76">
        <f t="shared" si="15"/>
        <v>1.1538461538461537</v>
      </c>
      <c r="AD3" s="3">
        <f t="shared" si="16"/>
        <v>0.14310084364067324</v>
      </c>
      <c r="AE3" s="3">
        <f t="shared" si="17"/>
        <v>0.18893970696297169</v>
      </c>
      <c r="AF3" s="3">
        <f t="shared" si="18"/>
        <v>0.79673232918319215</v>
      </c>
      <c r="AG3" s="35">
        <f t="shared" si="19"/>
        <v>1.6710266396626199</v>
      </c>
      <c r="AI3" s="133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3" s="6">
        <f>IF(AJ3&lt;&gt;"",IF(AJ3=0,COUNTIF(AJ$2:AJ2,0)+1,COUNTIF(AJ$2:AJ2,AJ3)+AJ3+COUNTIF(AJ:AJ,0)),"")</f>
        <v>2</v>
      </c>
      <c r="AL3" s="6">
        <f t="shared" si="20"/>
        <v>1</v>
      </c>
      <c r="AM3" s="3" t="str">
        <f>IF(AND(Include_study?="Yes",Sufficient_data="Yes",Input!Study_name&lt;&gt;""),Input!Study_name,"")</f>
        <v>Neuman et al.</v>
      </c>
      <c r="AN3" s="6">
        <f t="shared" si="21"/>
        <v>20078</v>
      </c>
      <c r="AO3" s="3">
        <f t="shared" si="22"/>
        <v>1.1547711733101051</v>
      </c>
      <c r="AP3" s="3">
        <f t="shared" si="23"/>
        <v>27.702537295121299</v>
      </c>
      <c r="AQ3" s="3">
        <f t="shared" si="24"/>
        <v>27.702537295121299</v>
      </c>
      <c r="AR3" s="3">
        <f t="shared" si="25"/>
        <v>0.18999414861669803</v>
      </c>
      <c r="AS3" s="3">
        <f t="shared" si="26"/>
        <v>0.79572475790243646</v>
      </c>
      <c r="AT3" s="3">
        <f t="shared" si="27"/>
        <v>1.6758262822224472</v>
      </c>
      <c r="AU3" s="80">
        <f t="shared" si="28"/>
        <v>0.15768142851488864</v>
      </c>
      <c r="AW3" s="44">
        <f t="shared" si="29"/>
        <v>1.1547711733101051</v>
      </c>
      <c r="AX3" s="3">
        <f t="shared" si="30"/>
        <v>0.35904641540766868</v>
      </c>
      <c r="AY3" s="35">
        <f t="shared" si="31"/>
        <v>0.52105510891234208</v>
      </c>
      <c r="BA3" s="2" t="s">
        <v>281</v>
      </c>
      <c r="BB3" s="6">
        <f>IF(BB2&lt;&gt;"",MAX(Entry_number)+1,"")</f>
        <v>2</v>
      </c>
      <c r="BD3" s="133"/>
      <c r="BE3" s="128"/>
      <c r="BF3" s="3">
        <f t="shared" si="32"/>
        <v>0.14390220599949552</v>
      </c>
      <c r="BG3" s="3">
        <f t="shared" si="33"/>
        <v>0.18999414861669803</v>
      </c>
      <c r="BH3" s="3">
        <f t="shared" si="34"/>
        <v>27.702537295121299</v>
      </c>
      <c r="BI3" s="3">
        <f t="shared" ref="BI3:BI33" si="99">IF(Weightf&lt;&gt;"",1/(IF(Model_effect_size_measure="Odds Ratio",SELogOddsRatio,IF(Model_effect_size_measure="Risk Ratio",SELogRiskRatio,SERiskDifference))^2+T2_),"")</f>
        <v>27.702537295121299</v>
      </c>
      <c r="BJ3" s="35">
        <f t="shared" si="35"/>
        <v>5.8143456313085123E-2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5.1125466321564242E-2</v>
      </c>
      <c r="BO3" s="126"/>
      <c r="BP3" s="3">
        <f t="shared" si="36"/>
        <v>29.844606036457815</v>
      </c>
      <c r="BQ3" s="3">
        <f t="shared" si="37"/>
        <v>25.844606036457815</v>
      </c>
      <c r="BR3" s="3">
        <f t="shared" si="38"/>
        <v>14.934194483927266</v>
      </c>
      <c r="BS3" s="3">
        <f>IF(AND(Sufficient_data="Yes",Include_study?="Yes"),IF(Add_0_5="Yes",(a_+d_+1)*(ab_+0.5)*(c_+0.5)/(Number_of_subjects+2)^2,(a_+d_)*b_*c_/Number_of_subjects^2),"")</f>
        <v>12.932600699685809</v>
      </c>
      <c r="BT3" s="3">
        <f t="shared" si="39"/>
        <v>14.910411552530547</v>
      </c>
      <c r="BU3" s="3">
        <f t="shared" si="40"/>
        <v>12.912005336772006</v>
      </c>
      <c r="BV3" s="3">
        <f t="shared" si="41"/>
        <v>25.844606036457815</v>
      </c>
      <c r="BW3" s="3">
        <f t="shared" si="42"/>
        <v>9.2404939783487766E-2</v>
      </c>
      <c r="BX3" s="3">
        <f t="shared" si="43"/>
        <v>27.702537295121299</v>
      </c>
      <c r="BY3" s="35">
        <f t="shared" si="44"/>
        <v>5.8143456313085193E-2</v>
      </c>
      <c r="CA3" s="3" t="s">
        <v>282</v>
      </c>
      <c r="CB3" s="3">
        <f>IF(Meta_analysis_model="Fixed effect model",0.5*(SUM(BR:BR)/SUM(BP:BP)^2+(SUM(BS:BS)+SUM(BT:BT))/(SUM(BP:BP)*SUM(BQ:BQ))+SUM(BU:BU)/SUM(BQ:BQ)^2),SUMPRODUCT(Weight_MH,BY:BY,BY:BY)/((k_-1)*SUM(Weight_MH)))</f>
        <v>2.6138133065973998E-3</v>
      </c>
      <c r="CD3" s="126"/>
      <c r="CE3" s="76">
        <f t="shared" si="45"/>
        <v>56</v>
      </c>
      <c r="CF3" s="3">
        <f t="shared" si="46"/>
        <v>27.845195995417644</v>
      </c>
      <c r="CG3" s="3">
        <f t="shared" si="47"/>
        <v>0.14365135015240194</v>
      </c>
      <c r="CH3" s="3">
        <f t="shared" si="48"/>
        <v>3.5912837538100484E-2</v>
      </c>
      <c r="CI3" s="3">
        <f t="shared" si="49"/>
        <v>27.845195995417644</v>
      </c>
      <c r="CJ3" s="3">
        <f t="shared" si="50"/>
        <v>27.845195995417644</v>
      </c>
      <c r="CK3" s="35">
        <f t="shared" si="51"/>
        <v>5.7578679295924223E-2</v>
      </c>
      <c r="CM3" s="3" t="s">
        <v>282</v>
      </c>
      <c r="CN3" s="3">
        <f>IF(Meta_analysis_model="Fixed effect model",1/SUM(Weightf_Peto),SUMPRODUCT(Weight_Peto,CK:CK,CK:CK)/((k_-1)*SUM(Weight_Peto)))</f>
        <v>2.6025518248495132E-3</v>
      </c>
      <c r="CP3" s="126"/>
      <c r="CQ3" s="52">
        <f t="shared" si="52"/>
        <v>5.1797987847395158E-3</v>
      </c>
      <c r="CS3" s="2" t="s">
        <v>283</v>
      </c>
      <c r="CT3" s="3">
        <f>IF(Weighting_method="Inverse variance",IF(Model_effect_size_measure="Odds Ratio",CES_IV,NA()),NA())</f>
        <v>1.0895434438984208</v>
      </c>
      <c r="CU3" s="3">
        <f>IF(Model_effect_size_measure="Odds Ratio",CES_OddsRatio_MH,NA())</f>
        <v>1.0895434438984208</v>
      </c>
      <c r="CV3" s="3" t="e">
        <f>IF(Model_effect_size_measure="Peto Odds Ratio",CES_PetoOddsRatio,NA())</f>
        <v>#N/A</v>
      </c>
      <c r="CX3" s="133"/>
      <c r="CY3" s="48">
        <f t="shared" si="53"/>
        <v>1</v>
      </c>
      <c r="CZ3" s="6" t="str">
        <f t="shared" si="54"/>
        <v>Neuman et al.</v>
      </c>
      <c r="DA3" s="17" t="str">
        <f t="shared" si="55"/>
        <v>English</v>
      </c>
      <c r="DB3" s="3">
        <f t="shared" si="56"/>
        <v>0.14390220599949552</v>
      </c>
      <c r="DC3" s="3">
        <f t="shared" si="57"/>
        <v>0.18999414861669803</v>
      </c>
      <c r="DD3" s="3">
        <f t="shared" si="58"/>
        <v>27.702537295121299</v>
      </c>
      <c r="DE3" s="3">
        <f t="shared" si="59"/>
        <v>27.702537295121299</v>
      </c>
      <c r="DF3" s="80">
        <f t="shared" si="60"/>
        <v>0.31586917261505648</v>
      </c>
      <c r="DG3" s="3">
        <f t="shared" si="61"/>
        <v>1.1547711733101051</v>
      </c>
      <c r="DH3" s="3">
        <f t="shared" si="62"/>
        <v>0.79572475879232518</v>
      </c>
      <c r="DI3" s="3">
        <f t="shared" si="63"/>
        <v>1.6758262803483082</v>
      </c>
      <c r="DJ3" s="35" t="e">
        <f t="shared" si="64"/>
        <v>#DIV/0!</v>
      </c>
      <c r="DL3" s="44">
        <f t="shared" si="65"/>
        <v>1.1547711733101051</v>
      </c>
      <c r="DM3" s="3">
        <f t="shared" ref="DM3:DM33" si="100">IF(AND(Include_study?="Yes",Sufficient_data="Yes",Subgroup&lt;&gt;""),IF(Subgroup_effect_size_measure="Risk Difference",DB3-DH3,DG3-DH3),NA())</f>
        <v>0.35904641451777997</v>
      </c>
      <c r="DN3" s="35">
        <f t="shared" ref="DN3:DN33" si="101">IF(AND(Include_study?="Yes",Sufficient_data="Yes",Subgroup&lt;&gt;""),IF(Subgroup_effect_size_measure="Risk Difference",DI3-DB3,DI3-DG3),NA())</f>
        <v>0.52105510703820301</v>
      </c>
      <c r="DP3" s="48">
        <f t="shared" ref="DP3:DP66" si="102">IF(DQ3&lt;&gt;"",SUMIFS(DS:DS,DS:DS,"&gt;="&amp;0,DQ:DQ,"&lt;"&amp;DQ3)+DS3+DR3,"")</f>
        <v>4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1</v>
      </c>
      <c r="DS3" s="6">
        <f t="shared" si="66"/>
        <v>3</v>
      </c>
      <c r="DT3" s="3">
        <f t="shared" si="67"/>
        <v>0.97480279331632946</v>
      </c>
      <c r="DU3" s="10">
        <f t="shared" ref="DU3:DU51" si="104">IF(DT3&lt;&gt;"",CHIDIST(DT3,DS3-1),"")</f>
        <v>0.614220437425674</v>
      </c>
      <c r="DV3" s="9">
        <f t="shared" ref="DV3:DV51" si="105">IF(DT3&lt;&gt;"",IF((DT3-(DS3-1))&lt;=0,0,(DT3-(DS3-1))/DT3),"")</f>
        <v>0</v>
      </c>
      <c r="DW3" s="10">
        <f t="shared" si="68"/>
        <v>58.203213003577183</v>
      </c>
      <c r="DX3" s="3">
        <f t="shared" si="69"/>
        <v>0</v>
      </c>
      <c r="DY3" s="3">
        <f t="shared" ref="DY3:DY51" si="106">IF(DX3&lt;&gt;"",SQRT(DX3),"")</f>
        <v>0</v>
      </c>
      <c r="DZ3" s="3" t="e">
        <f t="shared" si="70"/>
        <v>#DIV/0!</v>
      </c>
      <c r="EA3" s="3" t="e">
        <f t="shared" si="71"/>
        <v>#DIV/0!</v>
      </c>
      <c r="EB3" s="6">
        <f t="shared" si="72"/>
        <v>28842</v>
      </c>
      <c r="EC3" s="3" t="e">
        <f t="shared" ref="EC3:EC33" si="107">IF(DT3&lt;&gt;"",DZ3-ABS(TINV((1-Subgroup_confidence_level),DS3-1))*EA3,"")</f>
        <v>#DIV/0!</v>
      </c>
      <c r="ED3" s="3" t="e">
        <f t="shared" ref="ED3:ED33" si="108">IF(DT3&lt;&gt;"",DZ3+ABS(TINV((1-Subgroup_confidence_level),DS3-1))*EA3,"")</f>
        <v>#DIV/0!</v>
      </c>
      <c r="EE3" s="3" t="e">
        <f t="shared" ref="EE3:EE51" si="109">IF(AND(EE$1&lt;&gt;"",DT3&lt;&gt;""),EXP(DZ3),"")</f>
        <v>#DIV/0!</v>
      </c>
      <c r="EF3" s="3" t="e">
        <f t="shared" ref="EF3:EF51" si="110">IF(AND(EF$1&lt;&gt;"",DT3&lt;&gt;""),EXP(EC3),"")</f>
        <v>#DIV/0!</v>
      </c>
      <c r="EG3" s="3" t="e">
        <f t="shared" ref="EG3:EG51" si="111">IF(AND(EG$1&lt;&gt;"",DT3&lt;&gt;""),EXP(ED3),"")</f>
        <v>#DIV/0!</v>
      </c>
      <c r="EH3" s="3" t="e">
        <f t="shared" ref="EH3:EH51" si="112">IF(AND(EE$1&lt;&gt;"",DT3&lt;&gt;""),EE3-EF3,IF(DT3&lt;&gt;"",DZ3-EC3,""))</f>
        <v>#DIV/0!</v>
      </c>
      <c r="EI3" s="3" t="e">
        <f t="shared" ref="EI3:EI51" si="113">IF(AND(EE$1&lt;&gt;"",DT3&lt;&gt;""),EG3-EE3,IF(DT3&lt;&gt;"",ED3-DZ3,""))</f>
        <v>#DIV/0!</v>
      </c>
      <c r="EJ3" s="3" t="e">
        <f t="shared" ref="EJ3:EJ33" si="114">IF(DT3&lt;&gt;"",DZ3-ABS(TINV((1-Subgroup_confidence_level),DS3-1))*SQRT(DX3+EA3^2),"")</f>
        <v>#DIV/0!</v>
      </c>
      <c r="EK3" s="3" t="e">
        <f t="shared" si="73"/>
        <v>#DIV/0!</v>
      </c>
      <c r="EL3" s="3" t="e">
        <f t="shared" ref="EL3:EL51" si="115">IF(AND(EL$1&lt;&gt;"",DT3&lt;&gt;""),EXP(EJ3),"")</f>
        <v>#DIV/0!</v>
      </c>
      <c r="EM3" s="3" t="e">
        <f t="shared" ref="EM3:EM51" si="116">IF(AND(EM$1&lt;&gt;"",DT3&lt;&gt;""),EXP(EK3),"")</f>
        <v>#DIV/0!</v>
      </c>
      <c r="EN3" s="3" t="e">
        <f t="shared" ref="EN3:EN51" si="117">IF(AND(EE$1&lt;&gt;"",DT3&lt;&gt;""),EE3-EL3,IF(DT3&lt;&gt;"",DZ3-EJ3,""))</f>
        <v>#DIV/0!</v>
      </c>
      <c r="EO3" s="3" t="e">
        <f t="shared" ref="EO3:EO51" si="118">IF(AND(EE$1&lt;&gt;"",DT3&lt;&gt;""),EM3-EE3,IF(DT3&lt;&gt;"",EK3-DZ3,""))</f>
        <v>#DIV/0!</v>
      </c>
      <c r="EP3" s="3" t="e">
        <f t="shared" si="74"/>
        <v>#DIV/0!</v>
      </c>
      <c r="EQ3" s="3" t="e">
        <f t="shared" ref="EQ3:EQ51" si="119">IF(DT3&lt;&gt;"",IF(EE3&lt;&gt;"",EE3,DZ3),NA())</f>
        <v>#DIV/0!</v>
      </c>
      <c r="ER3" s="9" t="e">
        <f t="shared" ref="ER3:ER66" si="120">IF(DT3&lt;&gt;"",(ET3/SUM(ET:ET)),"")</f>
        <v>#DIV/0!</v>
      </c>
      <c r="ES3" s="3" t="e">
        <f t="shared" ref="ES3:ES66" si="121">IF(DT3&lt;&gt;"",1/(EA3^2),"")</f>
        <v>#DIV/0!</v>
      </c>
      <c r="ET3" s="3" t="e">
        <f t="shared" ref="ET3:ET33" si="122">IF(EA3&lt;&gt;"",1/(EA3^2+IF(Between_subgroup_weighting=EX$38,0,EY$35)),"")</f>
        <v>#DIV/0!</v>
      </c>
      <c r="EU3" s="3" t="e">
        <f t="shared" si="75"/>
        <v>#DIV/0!</v>
      </c>
      <c r="EV3" s="35" t="e">
        <f t="shared" si="76"/>
        <v>#DIV/0!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284</v>
      </c>
      <c r="FP3" s="3" t="str">
        <f>IF(SUM(Moderator)&lt;&gt;0,SUMPRODUCT(Moderator,FE:FE)/SUM(Calculations!FE:FE),"")</f>
        <v/>
      </c>
      <c r="FR3" s="133"/>
      <c r="FS3" s="128"/>
      <c r="FT3" s="76">
        <f>IF(AND(Include_study?="Yes",Sufficient_data="Yes"),IF(Additional_weighting_method="Inverse Variance",1/'Publication Bias Analysis'!F:F^2,IF(Additional_weighting_method="Mantel-Haenszel",Weightf_MH,Weightf_Peto)),"")</f>
        <v>27.702537295121299</v>
      </c>
      <c r="FU3" s="3">
        <f>IF(AND(Include_study?="Yes",Sufficient_data="Yes"),1/('Publication Bias Analysis'!F:F^2+IF(Additional_model="Fixed effect",0,Calculations!GH$12)),"")</f>
        <v>27.702537295121299</v>
      </c>
      <c r="FV3" s="3">
        <f>IF(AND(Include_study?="Yes",Sufficient_data="Yes"),1/('Publication Bias Analysis'!F:F^2+IF(Additional_model="Fixed effect",0,'Publication Bias Analysis'!L$32)),"")</f>
        <v>27.702537295121299</v>
      </c>
      <c r="FW3" s="3">
        <f>IF(AND(Include_study?="Yes",Sufficient_data="Yes"),'Publication Bias Analysis'!E:E-'Publication Bias Analysis'!I$37,"")</f>
        <v>5.8143456313085123E-2</v>
      </c>
      <c r="FX3" s="3">
        <f>IF(AND(Include_study?="Yes",Sufficient_data="Yes"),IF(Additional_model="Fixed effect",1/'Publication Bias Analysis'!F:F,1/SQRT('Publication Bias Analysis'!F:F^2+GH$12)),"")</f>
        <v>5.2633199879088961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0.75740335714132823</v>
      </c>
      <c r="FZ3" s="6">
        <f t="shared" si="80"/>
        <v>4</v>
      </c>
      <c r="GA3" s="83">
        <f>IF(AND(Include_study?="Yes",Sufficient_data="Yes"),FZ:FZ+IF(GL:GL&lt;0,-1,1)*COUNTIF(FZ$2:FZ2,FZ:FZ),"")</f>
        <v>4</v>
      </c>
      <c r="GB3" s="83">
        <f>IF(AND(Include_study?="Yes",Sufficient_data="Yes"),RANK(GP:GP,GP:GP,1)*IF(GO:GO&lt;0,-1,1)+IF(GO:GO&lt;0,-1,1)*COUNTIF(FZ$2:FZ2,FZ:FZ),"")</f>
        <v>4</v>
      </c>
      <c r="GC3" s="83">
        <f>IF(AND(Include_study?="Yes",Sufficient_data="Yes"),RANK(GS:GS,GS:GS,1)*IF(GR:GR&lt;0,-1,1)+IF(GR:GR&lt;0,-1,1)*COUNTIF(FZ$2:FZ2,FZ:FZ),"")</f>
        <v>4</v>
      </c>
      <c r="GD3" s="3">
        <f>IF(AND(Include_study?="Yes",Sufficient_data="Yes"),'Publication Bias Analysis'!E3,NA())</f>
        <v>0.14390220599949552</v>
      </c>
      <c r="GE3" s="35">
        <f>IF(AND(Include_study?="Yes",Sufficient_data="Yes"),'Publication Bias Analysis'!F3,NA())</f>
        <v>0.18999414861669803</v>
      </c>
      <c r="GG3" s="2" t="s">
        <v>285</v>
      </c>
      <c r="GH3" s="3">
        <f>IF(Additional_valid_options="Yes",IF(Trim_and_fill="Off",'Publication Bias Analysis'!I29,'Publication Bias Analysis'!I37)-ABS(TINV((1-Additional_confidence_level),k_-1))*GI3,"")</f>
        <v>-0.57316012237115188</v>
      </c>
      <c r="GI3" s="3">
        <f>IF(Trim_and_fill="Off",GH17,GH22)</f>
        <v>0.25633063414783497</v>
      </c>
      <c r="GK3" s="126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5.8143456313085123E-2</v>
      </c>
      <c r="GM3" s="3">
        <f t="shared" si="81"/>
        <v>5.8143456313085123E-2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27.702537295121299</v>
      </c>
      <c r="GO3" s="3">
        <f>IF(AND(Include_study?="Yes",Sufficient_data="Yes"),IF('Publication Bias Analysis'!L$38="Left",'Publication Bias Analysis'!E:E-GW$3,GW$3-'Publication Bias Analysis'!E:E),"")</f>
        <v>5.8143456313085123E-2</v>
      </c>
      <c r="GP3" s="3">
        <f t="shared" si="82"/>
        <v>5.8143456313085123E-2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27.702537295121299</v>
      </c>
      <c r="GR3" s="3">
        <f>IF(AND(Include_study?="Yes",Sufficient_data="Yes"),IF('Publication Bias Analysis'!L$38="Left",'Publication Bias Analysis'!E:E-GW$10,GW$10-'Publication Bias Analysis'!E:E),"")</f>
        <v>5.8143456313085123E-2</v>
      </c>
      <c r="GS3" s="3">
        <f t="shared" si="83"/>
        <v>5.8143456313085123E-2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27.702537295121299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8.5758749686410396E-2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6"/>
      <c r="HL3" s="3">
        <f t="shared" si="89"/>
        <v>-0.13214271545868606</v>
      </c>
      <c r="HM3" s="35">
        <f>IF(AND(Include_study?="Yes",Sufficient_data="Yes"),Z_score-('Publication Bias Analysis'!P$3+'Publication Bias Analysis'!P$4*Inverse_standard_error),"")</f>
        <v>0.19034035811556038</v>
      </c>
      <c r="HO3" s="126"/>
      <c r="HP3" s="3">
        <f>IF(AND(Include_study?="Yes",Sufficient_data="Yes"),(GD:GD-SUMPRODUCT(Calculations!FT:FT,'Publication Bias Analysis'!E:E)/SUM(Calculations!FT:FT))/SQRT(Calculations!HQ:HQ),"")</f>
        <v>0.33344363420917805</v>
      </c>
      <c r="HQ3" s="3">
        <f>IF(AND(Include_study?="Yes",Sufficient_data="Yes"),GE:GE^2-1/SUM(Calculations!FT:FT),"")</f>
        <v>3.0405827542499233E-2</v>
      </c>
      <c r="HR3" s="6">
        <f t="shared" si="90"/>
        <v>2</v>
      </c>
      <c r="HS3" s="6">
        <f t="shared" si="91"/>
        <v>3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4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1</v>
      </c>
      <c r="HW3" s="126"/>
      <c r="HX3" s="20">
        <v>2</v>
      </c>
      <c r="HY3" s="3">
        <f t="shared" ref="HY3:HY10" si="123">HZ2</f>
        <v>-1.05</v>
      </c>
      <c r="HZ3" s="35">
        <f>HZ4-HY14</f>
        <v>-0.75</v>
      </c>
      <c r="IB3" s="126"/>
      <c r="IC3" s="76">
        <f t="shared" si="92"/>
        <v>5.976690905468672E-3</v>
      </c>
      <c r="ID3" s="3">
        <f t="shared" si="93"/>
        <v>5.1797987847395158E-3</v>
      </c>
      <c r="IE3" s="3">
        <f t="shared" si="94"/>
        <v>28.012606785627405</v>
      </c>
      <c r="IF3" s="35">
        <f t="shared" si="95"/>
        <v>27.702537295121299</v>
      </c>
      <c r="IH3" s="3">
        <v>0</v>
      </c>
      <c r="II3" s="3">
        <v>0</v>
      </c>
      <c r="IK3" s="126"/>
      <c r="IL3" s="3">
        <f>IF(AND(Include_study?="Yes",Sufficient_data="Yes"),'Publication Bias Analysis'!AV:AV,NA())</f>
        <v>0.75740335714132823</v>
      </c>
      <c r="IM3" s="3">
        <f>IF(AND(Sufficient_data="Yes",Include_study?="Yes"),'Publication Bias Analysis'!AU:AU,NA())</f>
        <v>5.2633199879088961</v>
      </c>
      <c r="IN3" s="3">
        <f t="shared" si="96"/>
        <v>-0.13214271545868606</v>
      </c>
      <c r="IO3" s="35">
        <f>IF(AND(Include_study?="Yes",Sufficient_data="Yes"),Z_score-('Publication Bias Analysis'!AY$30+'Publication Bias Analysis'!AY$31*Inverse_standard_error),"")</f>
        <v>0.30602761577876864</v>
      </c>
      <c r="IQ3" s="2" t="s">
        <v>101</v>
      </c>
      <c r="IR3" s="3">
        <v>0</v>
      </c>
      <c r="IS3" s="3">
        <v>0</v>
      </c>
      <c r="IU3" s="126"/>
      <c r="IV3" s="6">
        <f>IF('Publication Bias Analysis'!BG:BG&lt;&gt;"",RANK('Publication Bias Analysis'!BG:BG,'Publication Bias Analysis'!BG:BG,1)+COUNTIF('Publication Bias Analysis'!BG$2:BG2,'Publication Bias Analysis'!BG3),"")</f>
        <v>5</v>
      </c>
      <c r="IW3" s="3">
        <f t="shared" si="97"/>
        <v>0.73684210526315796</v>
      </c>
      <c r="IX3" s="3">
        <f>IF('Publication Bias Analysis'!BF3&lt;&gt;"",'Publication Bias Analysis'!BF3,NA())</f>
        <v>0.63364000077970128</v>
      </c>
      <c r="IY3" s="3">
        <f>IF('Publication Bias Analysis'!BG3&lt;&gt;"",'Publication Bias Analysis'!BG3,NA())</f>
        <v>0.75740335714132823</v>
      </c>
      <c r="IZ3" s="3">
        <f>IF(AND(Include_study?="Yes",Sufficient_data="Yes"),'Publication Bias Analysis'!BF:BF-AVERAGE('Publication Bias Analysis'!BF:BF),"")</f>
        <v>0.63364000077970128</v>
      </c>
      <c r="JA3" s="35">
        <f>IF(AND(Include_study?="Yes",Sufficient_data="Yes"),'Publication Bias Analysis'!BG:BG-('Publication Bias Analysis'!BJ$30+'Publication Bias Analysis'!BJ$31*'Publication Bias Analysis'!BF:BF),"")</f>
        <v>-0.18178789338692558</v>
      </c>
      <c r="JC3" s="2" t="s">
        <v>248</v>
      </c>
      <c r="JD3" s="3">
        <f>MIN('Publication Bias Analysis'!BF:BF)</f>
        <v>-1.2521195202652196</v>
      </c>
      <c r="JE3" s="3">
        <f>'Publication Bias Analysis'!BJ$30+JD3*'Publication Bias Analysis'!BJ$31</f>
        <v>-0.41253662990326795</v>
      </c>
      <c r="JG3" s="126"/>
      <c r="JH3" s="3">
        <f t="shared" si="98"/>
        <v>0.75740335714132823</v>
      </c>
      <c r="JI3" s="10">
        <f t="shared" ref="JI3:JI66" si="124">IF(JH3&lt;&gt;"",1-NORMSDIST(ABS(JH3)),"")</f>
        <v>0.22440412272837273</v>
      </c>
      <c r="JJ3" s="35">
        <f t="shared" ref="JJ3:JJ66" si="125">IF(JI3&lt;&gt;"",LN(MAX(10^-306,JI3)),"")</f>
        <v>-1.4943067332725382</v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3"/>
      <c r="I4" s="128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6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6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6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3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286</v>
      </c>
      <c r="BB4" s="3">
        <f>'Forest Plot'!$B$16-CES_CI_Lower_limit</f>
        <v>0.13418000382695627</v>
      </c>
      <c r="BD4" s="133"/>
      <c r="BE4" s="128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-4.5663445378238826E-2</v>
      </c>
      <c r="BO4" s="126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287</v>
      </c>
      <c r="CB4" s="3">
        <f>SQRT(VarlnCES_MH)</f>
        <v>5.1125466321564242E-2</v>
      </c>
      <c r="CD4" s="126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287</v>
      </c>
      <c r="CN4" s="3">
        <f>SQRT(VarlnCES_Peto)</f>
        <v>5.1015211700526274E-2</v>
      </c>
      <c r="CP4" s="126"/>
      <c r="CQ4" s="52" t="str">
        <f t="shared" si="52"/>
        <v/>
      </c>
      <c r="CS4" s="2" t="s">
        <v>97</v>
      </c>
      <c r="CT4" s="3">
        <f>IF(Weighting_method="Inverse variance",IF(Model_effect_size_measure="Odds Ratio",CICES_LL,""),"")</f>
        <v>0.95536344007146456</v>
      </c>
      <c r="CU4" s="3">
        <f>IF(Model_effect_size_measure="Odds Ratio",CICES_LL_MH,"")</f>
        <v>0.95536344007146456</v>
      </c>
      <c r="CV4" s="3" t="str">
        <f>IF(Model_effect_size_measure="Peto Odds Ratio",CICES_LL_Peto,"")</f>
        <v/>
      </c>
      <c r="CX4" s="133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128</v>
      </c>
      <c r="FP4" s="3" t="str">
        <f>IF(FP3&lt;&gt;"",SUMPRODUCT(FF:FF,FG:FG,FE:FE)/SUMPRODUCT(FG:FG,FG:FG,FE:FE),"")</f>
        <v/>
      </c>
      <c r="FR4" s="133"/>
      <c r="FS4" s="128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279</v>
      </c>
      <c r="GH4" s="3">
        <f>IF(Trim_and_fill="Off",'Publication Bias Analysis'!I29,'Publication Bias Analysis'!I37)</f>
        <v>8.5758749686410396E-2</v>
      </c>
      <c r="GI4" s="3">
        <v>0</v>
      </c>
      <c r="GK4" s="126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2" t="s">
        <v>59</v>
      </c>
      <c r="GW4" s="11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6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6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6"/>
      <c r="HX4" s="20">
        <v>3</v>
      </c>
      <c r="HY4" s="3">
        <f t="shared" si="123"/>
        <v>-0.75</v>
      </c>
      <c r="HZ4" s="35">
        <f>HZ5-HY14</f>
        <v>-0.44999999999999996</v>
      </c>
      <c r="IB4" s="126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8.0203045685279181E-2</v>
      </c>
      <c r="II4" s="3">
        <f>MAX('Publication Bias Analysis'!AH:AH)</f>
        <v>8.0203045685279181E-2</v>
      </c>
      <c r="IK4" s="126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288</v>
      </c>
      <c r="IR4" s="3">
        <f>MAX(Inverse_standard_error)</f>
        <v>5.9367112306724064</v>
      </c>
      <c r="IS4" s="3">
        <f>IR4*'Publication Bias Analysis'!AY31</f>
        <v>0.50912493239173628</v>
      </c>
      <c r="IU4" s="126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249</v>
      </c>
      <c r="JD4" s="3">
        <f>MAX('Publication Bias Analysis'!BF:BF)</f>
        <v>1.2521195202652198</v>
      </c>
      <c r="JE4" s="3">
        <f>'Publication Bias Analysis'!BJ$30+JD4*'Publication Bias Analysis'!BJ$31</f>
        <v>1.3825224391737816</v>
      </c>
      <c r="JG4" s="126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>
        <f t="shared" si="0"/>
        <v>1</v>
      </c>
      <c r="B5" s="6">
        <f>IF(AND(Include_study?="Yes",Sufficient_data="Yes"),IF(Input!a_&lt;&gt;"",Input!a_,Input!n1_-Input!b_),"")</f>
        <v>64</v>
      </c>
      <c r="C5" s="6">
        <f>IF(AND(Include_study?="Yes",Sufficient_data="Yes"),IF(Input!b_&lt;&gt;"",Input!b_,Input!n1_-Input!a_),"")</f>
        <v>3333</v>
      </c>
      <c r="D5" s="6">
        <f>IF(AND(Include_study?="Yes",Sufficient_data="Yes"),IF(Input!c_&lt;&gt;"",Input!c_,Input!n2_-Input!d_),"")</f>
        <v>47.6</v>
      </c>
      <c r="E5" s="6">
        <f>IF(AND(Include_study?="Yes",Sufficient_data="Yes"),IF(Input!d_&lt;&gt;"",Input!d_,Input!n2_-Input!c_),"")</f>
        <v>3349.4</v>
      </c>
      <c r="F5" s="35" t="str">
        <f t="shared" si="1"/>
        <v>No</v>
      </c>
      <c r="H5" s="133"/>
      <c r="I5" s="128"/>
      <c r="J5" s="76">
        <f t="shared" si="2"/>
        <v>1.3511536027552333</v>
      </c>
      <c r="K5" s="3">
        <f t="shared" si="3"/>
        <v>0.30095874811493556</v>
      </c>
      <c r="L5" s="3">
        <f t="shared" si="4"/>
        <v>0.19295593875450406</v>
      </c>
      <c r="M5" s="3">
        <f t="shared" si="5"/>
        <v>0.92561643351910683</v>
      </c>
      <c r="N5" s="35">
        <f t="shared" si="6"/>
        <v>1.9723245959426476</v>
      </c>
      <c r="P5" s="126"/>
      <c r="Q5" s="76">
        <f t="shared" si="7"/>
        <v>1.348201179019074</v>
      </c>
      <c r="R5" s="3">
        <f t="shared" si="8"/>
        <v>0.1908808988739169</v>
      </c>
      <c r="S5" s="3">
        <f t="shared" si="9"/>
        <v>0.92735843705912591</v>
      </c>
      <c r="T5" s="35">
        <f t="shared" si="10"/>
        <v>1.9600257532272096</v>
      </c>
      <c r="V5" s="126"/>
      <c r="W5" s="76">
        <f t="shared" si="11"/>
        <v>4.8277892257874606E-3</v>
      </c>
      <c r="X5" s="3">
        <f t="shared" si="12"/>
        <v>3.0836258959068014E-3</v>
      </c>
      <c r="Y5" s="3">
        <f t="shared" si="13"/>
        <v>-1.2170836920386199E-3</v>
      </c>
      <c r="Z5" s="35">
        <f t="shared" si="14"/>
        <v>1.0872662143613541E-2</v>
      </c>
      <c r="AB5" s="126"/>
      <c r="AC5" s="76">
        <f t="shared" si="15"/>
        <v>1.3445378151260505</v>
      </c>
      <c r="AD5" s="3">
        <f t="shared" si="16"/>
        <v>0.29605032212229759</v>
      </c>
      <c r="AE5" s="3">
        <f t="shared" si="17"/>
        <v>0.18985428248451999</v>
      </c>
      <c r="AF5" s="3">
        <f t="shared" si="18"/>
        <v>0.92670169927936752</v>
      </c>
      <c r="AG5" s="35">
        <f t="shared" si="19"/>
        <v>1.9507700673363628</v>
      </c>
      <c r="AI5" s="133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5" s="6">
        <f>IF(AJ5&lt;&gt;"",IF(AJ5=0,COUNTIF(AJ$2:AJ4,0)+1,COUNTIF(AJ$2:AJ4,AJ5)+AJ5+COUNTIF(AJ:AJ,0)),"")</f>
        <v>3</v>
      </c>
      <c r="AL5" s="6">
        <f t="shared" si="20"/>
        <v>1</v>
      </c>
      <c r="AM5" s="3" t="str">
        <f>IF(AND(Include_study?="Yes",Sufficient_data="Yes",Input!Study_name&lt;&gt;""),Input!Study_name,"")</f>
        <v>Hazarika et al. (A)</v>
      </c>
      <c r="AN5" s="6">
        <f t="shared" si="21"/>
        <v>6794</v>
      </c>
      <c r="AO5" s="3">
        <f t="shared" si="22"/>
        <v>1.3511536027552333</v>
      </c>
      <c r="AP5" s="3">
        <f t="shared" si="23"/>
        <v>26.85862035553189</v>
      </c>
      <c r="AQ5" s="3">
        <f t="shared" si="24"/>
        <v>26.85862035553189</v>
      </c>
      <c r="AR5" s="3">
        <f t="shared" si="25"/>
        <v>0.19295593875450406</v>
      </c>
      <c r="AS5" s="3">
        <f t="shared" si="26"/>
        <v>0.92561643351910683</v>
      </c>
      <c r="AT5" s="3">
        <f t="shared" si="27"/>
        <v>1.9723245959426476</v>
      </c>
      <c r="AU5" s="80">
        <f t="shared" si="28"/>
        <v>0.15287789636313134</v>
      </c>
      <c r="AW5" s="44">
        <f t="shared" si="29"/>
        <v>1.3511536027552333</v>
      </c>
      <c r="AX5" s="3">
        <f t="shared" si="30"/>
        <v>0.4255371692361265</v>
      </c>
      <c r="AY5" s="35">
        <f t="shared" si="31"/>
        <v>0.62117099318741431</v>
      </c>
      <c r="BA5" s="2" t="s">
        <v>289</v>
      </c>
      <c r="BB5" s="3">
        <f>CES_CI_Upper_limit-'Forest Plot'!$B$16</f>
        <v>0.15302547422265755</v>
      </c>
      <c r="BD5" s="133"/>
      <c r="BE5" s="128"/>
      <c r="BF5" s="3">
        <f t="shared" si="32"/>
        <v>0.30095874811493556</v>
      </c>
      <c r="BG5" s="3">
        <f t="shared" si="33"/>
        <v>0.19295593875450406</v>
      </c>
      <c r="BH5" s="3">
        <f t="shared" si="34"/>
        <v>26.85862035553189</v>
      </c>
      <c r="BI5" s="3">
        <f t="shared" si="99"/>
        <v>26.85862035553189</v>
      </c>
      <c r="BJ5" s="35">
        <f t="shared" si="35"/>
        <v>0.21519999842852516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0.21718094475105962</v>
      </c>
      <c r="BO5" s="126"/>
      <c r="BP5" s="3">
        <f t="shared" si="36"/>
        <v>31.551604356785401</v>
      </c>
      <c r="BQ5" s="3">
        <f t="shared" si="37"/>
        <v>23.351604356785401</v>
      </c>
      <c r="BR5" s="3">
        <f t="shared" si="38"/>
        <v>15.8519644261777</v>
      </c>
      <c r="BS5" s="3">
        <f>IF(AND(Sufficient_data="Yes",Include_study?="Yes"),IF(Add_0_5="Yes",(a_+d_+1)*(ab_+0.5)*(c_+0.5)/(Number_of_subjects+2)^2,(a_+d_)*b_*c_/Number_of_subjects^2),"")</f>
        <v>11.732170490351971</v>
      </c>
      <c r="BT5" s="3">
        <f t="shared" si="39"/>
        <v>15.699639930607702</v>
      </c>
      <c r="BU5" s="3">
        <f t="shared" si="40"/>
        <v>11.619433866433429</v>
      </c>
      <c r="BV5" s="3">
        <f t="shared" si="41"/>
        <v>23.351604356785401</v>
      </c>
      <c r="BW5" s="3">
        <f t="shared" si="42"/>
        <v>1.2393614275396183</v>
      </c>
      <c r="BX5" s="3">
        <f t="shared" si="43"/>
        <v>26.85862035553189</v>
      </c>
      <c r="BY5" s="35">
        <f t="shared" si="44"/>
        <v>0.21519999842852522</v>
      </c>
      <c r="CA5" s="3" t="s">
        <v>290</v>
      </c>
      <c r="CB5" s="3">
        <f>lnCES_OddsRatio_MH-ABS(TINV((1-Confidence_level),k_-1))*SElnCES_MH</f>
        <v>-4.5663445378238895E-2</v>
      </c>
      <c r="CD5" s="126"/>
      <c r="CE5" s="76">
        <f t="shared" si="45"/>
        <v>55.79999999999999</v>
      </c>
      <c r="CF5" s="3">
        <f t="shared" si="46"/>
        <v>27.445747092595315</v>
      </c>
      <c r="CG5" s="3">
        <f t="shared" si="47"/>
        <v>0.29877124395029919</v>
      </c>
      <c r="CH5" s="3">
        <f t="shared" si="48"/>
        <v>3.643551755491449E-2</v>
      </c>
      <c r="CI5" s="3">
        <f t="shared" si="49"/>
        <v>27.445747092595315</v>
      </c>
      <c r="CJ5" s="3">
        <f t="shared" si="50"/>
        <v>27.445747092595319</v>
      </c>
      <c r="CK5" s="35">
        <f t="shared" si="51"/>
        <v>0.21269857309382148</v>
      </c>
      <c r="CM5" s="3" t="s">
        <v>290</v>
      </c>
      <c r="CN5" s="3">
        <f>lnCES_PetoOddsRatio-ABS(TINV((1-Confidence_level),k_-1))*SElnCES_Peto</f>
        <v>-4.5066105682036339E-2</v>
      </c>
      <c r="CP5" s="126"/>
      <c r="CQ5" s="52">
        <f t="shared" si="52"/>
        <v>1.4012363850456285E-2</v>
      </c>
      <c r="CS5" s="2" t="s">
        <v>98</v>
      </c>
      <c r="CT5" s="3">
        <f>IF(Weighting_method="Inverse variance",IF(Model_effect_size_measure="Odds Ratio",CICES_UL,""),"")</f>
        <v>1.2425689181210784</v>
      </c>
      <c r="CU5" s="3">
        <f>IF(Model_effect_size_measure="Odds Ratio",CICES_UL_MH,"")</f>
        <v>1.2425689181210784</v>
      </c>
      <c r="CV5" s="3" t="str">
        <f>IF(Model_effect_size_measure="Peto Odds Ratio",CICES_UL_Peto,"")</f>
        <v/>
      </c>
      <c r="CX5" s="133"/>
      <c r="CY5" s="48">
        <f t="shared" si="53"/>
        <v>1</v>
      </c>
      <c r="CZ5" s="6" t="str">
        <f t="shared" si="54"/>
        <v>Hazarika et al. (A)</v>
      </c>
      <c r="DA5" s="17" t="str">
        <f t="shared" si="55"/>
        <v>English</v>
      </c>
      <c r="DB5" s="3">
        <f t="shared" si="56"/>
        <v>0.30095874811493556</v>
      </c>
      <c r="DC5" s="3">
        <f t="shared" si="57"/>
        <v>0.19295593875450406</v>
      </c>
      <c r="DD5" s="3">
        <f t="shared" si="58"/>
        <v>26.85862035553189</v>
      </c>
      <c r="DE5" s="3">
        <f t="shared" si="59"/>
        <v>26.85862035553189</v>
      </c>
      <c r="DF5" s="80">
        <f t="shared" si="60"/>
        <v>0.30624668415401279</v>
      </c>
      <c r="DG5" s="3">
        <f t="shared" si="61"/>
        <v>1.3511536027552333</v>
      </c>
      <c r="DH5" s="3">
        <f t="shared" si="62"/>
        <v>0.92561644270551113</v>
      </c>
      <c r="DI5" s="3">
        <f t="shared" si="63"/>
        <v>1.9723245763680479</v>
      </c>
      <c r="DJ5" s="35" t="e">
        <f t="shared" si="64"/>
        <v>#DIV/0!</v>
      </c>
      <c r="DL5" s="44">
        <f t="shared" si="65"/>
        <v>1.3511536027552333</v>
      </c>
      <c r="DM5" s="3">
        <f t="shared" si="100"/>
        <v>0.4255371600497222</v>
      </c>
      <c r="DN5" s="35">
        <f t="shared" si="101"/>
        <v>0.62117097361281459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101</v>
      </c>
      <c r="FP5" s="3" t="str">
        <f>IF(FP3&lt;&gt;"",FP2-FP3*FP4,"")</f>
        <v/>
      </c>
      <c r="FR5" s="133"/>
      <c r="FS5" s="128"/>
      <c r="FT5" s="76">
        <f>IF(AND(Include_study?="Yes",Sufficient_data="Yes"),IF(Additional_weighting_method="Inverse Variance",1/'Publication Bias Analysis'!F:F^2,IF(Additional_weighting_method="Mantel-Haenszel",Weightf_MH,Weightf_Peto)),"")</f>
        <v>26.85862035553189</v>
      </c>
      <c r="FU5" s="3">
        <f>IF(AND(Include_study?="Yes",Sufficient_data="Yes"),1/('Publication Bias Analysis'!F:F^2+IF(Additional_model="Fixed effect",0,Calculations!GH$12)),"")</f>
        <v>26.85862035553189</v>
      </c>
      <c r="FV5" s="3">
        <f>IF(AND(Include_study?="Yes",Sufficient_data="Yes"),1/('Publication Bias Analysis'!F:F^2+IF(Additional_model="Fixed effect",0,'Publication Bias Analysis'!L$32)),"")</f>
        <v>26.85862035553189</v>
      </c>
      <c r="FW5" s="3">
        <f>IF(AND(Include_study?="Yes",Sufficient_data="Yes"),'Publication Bias Analysis'!E:E-'Publication Bias Analysis'!I$37,"")</f>
        <v>0.21519999842852516</v>
      </c>
      <c r="FX5" s="3">
        <f>IF(AND(Include_study?="Yes",Sufficient_data="Yes"),IF(Additional_model="Fixed effect",1/'Publication Bias Analysis'!F:F,1/SQRT('Publication Bias Analysis'!F:F^2+GH$12)),"")</f>
        <v>5.182530304352488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1.5597278324656407</v>
      </c>
      <c r="FZ5" s="6">
        <f t="shared" si="80"/>
        <v>6</v>
      </c>
      <c r="GA5" s="83">
        <f>IF(AND(Include_study?="Yes",Sufficient_data="Yes"),FZ:FZ+IF(GL:GL&lt;0,-1,1)*COUNTIF(FZ$2:FZ4,FZ:FZ),"")</f>
        <v>6</v>
      </c>
      <c r="GB5" s="83">
        <f>IF(AND(Include_study?="Yes",Sufficient_data="Yes"),RANK(GP:GP,GP:GP,1)*IF(GO:GO&lt;0,-1,1)+IF(GO:GO&lt;0,-1,1)*COUNTIF(FZ$2:FZ4,FZ:FZ),"")</f>
        <v>6</v>
      </c>
      <c r="GC5" s="83">
        <f>IF(AND(Include_study?="Yes",Sufficient_data="Yes"),RANK(GS:GS,GS:GS,1)*IF(GR:GR&lt;0,-1,1)+IF(GR:GR&lt;0,-1,1)*COUNTIF(FZ$2:FZ4,FZ:FZ),"")</f>
        <v>6</v>
      </c>
      <c r="GD5" s="3">
        <f>IF(AND(Include_study?="Yes",Sufficient_data="Yes"),'Publication Bias Analysis'!E5,NA())</f>
        <v>0.30095874811493556</v>
      </c>
      <c r="GE5" s="35">
        <f>IF(AND(Include_study?="Yes",Sufficient_data="Yes"),'Publication Bias Analysis'!F5,NA())</f>
        <v>0.19295593875450406</v>
      </c>
      <c r="GG5" s="2" t="s">
        <v>291</v>
      </c>
      <c r="GH5" s="3">
        <f>IF(Additional_valid_options="Yes",IF(Trim_and_fill="Off",'Publication Bias Analysis'!I29,'Publication Bias Analysis'!I37)+ABS(TINV((1-Additional_confidence_level),k_-1))*GI3,"")</f>
        <v>0.74467762174397267</v>
      </c>
      <c r="GI5" s="3">
        <f>IF(Trim_and_fill="Off",GH17,GH22)</f>
        <v>0.25633063414783497</v>
      </c>
      <c r="GK5" s="126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0.21519999842852516</v>
      </c>
      <c r="GM5" s="3">
        <f t="shared" si="81"/>
        <v>0.21519999842852516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26.85862035553189</v>
      </c>
      <c r="GO5" s="3">
        <f>IF(AND(Include_study?="Yes",Sufficient_data="Yes"),IF('Publication Bias Analysis'!L$38="Left",'Publication Bias Analysis'!E:E-GW$3,GW$3-'Publication Bias Analysis'!E:E),"")</f>
        <v>0.21519999842852516</v>
      </c>
      <c r="GP5" s="3">
        <f t="shared" si="82"/>
        <v>0.21519999842852516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26.85862035553189</v>
      </c>
      <c r="GR5" s="3">
        <f>IF(AND(Include_study?="Yes",Sufficient_data="Yes"),IF('Publication Bias Analysis'!L$38="Left",'Publication Bias Analysis'!E:E-GW$10,GW$10-'Publication Bias Analysis'!E:E),"")</f>
        <v>0.21519999842852516</v>
      </c>
      <c r="GS5" s="3">
        <f t="shared" si="83"/>
        <v>0.21519999842852516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26.85862035553189</v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2.2960617902336464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6"/>
      <c r="HL5" s="3">
        <f t="shared" si="89"/>
        <v>-0.2129323990150942</v>
      </c>
      <c r="HM5" s="35">
        <f>IF(AND(Include_study?="Yes",Sufficient_data="Yes"),Z_score-('Publication Bias Analysis'!P$3+'Publication Bias Analysis'!P$4*Inverse_standard_error),"")</f>
        <v>0.94248865133071269</v>
      </c>
      <c r="HO5" s="126"/>
      <c r="HP5" s="3">
        <f>IF(AND(Include_study?="Yes",Sufficient_data="Yes"),(GD:GD-SUMPRODUCT(Calculations!FT:FT,'Publication Bias Analysis'!E:E)/SUM(Calculations!FT:FT))/SQRT(Calculations!HQ:HQ),"")</f>
        <v>1.2117446395940072</v>
      </c>
      <c r="HQ5" s="3">
        <f>IF(AND(Include_study?="Yes",Sufficient_data="Yes"),GE:GE^2-1/SUM(Calculations!FT:FT),"")</f>
        <v>3.1540045334547226E-2</v>
      </c>
      <c r="HR5" s="6">
        <f t="shared" si="90"/>
        <v>1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4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26"/>
      <c r="HX5" s="20">
        <v>4</v>
      </c>
      <c r="HY5" s="3">
        <f t="shared" si="123"/>
        <v>-0.44999999999999996</v>
      </c>
      <c r="HZ5" s="35">
        <f>HZ6-HY14</f>
        <v>-0.15</v>
      </c>
      <c r="IB5" s="126"/>
      <c r="IC5" s="76">
        <f t="shared" si="92"/>
        <v>1.8840153076243746E-2</v>
      </c>
      <c r="ID5" s="3">
        <f t="shared" si="93"/>
        <v>1.4012363850456285E-2</v>
      </c>
      <c r="IE5" s="3">
        <f t="shared" si="94"/>
        <v>27.74336938932862</v>
      </c>
      <c r="IF5" s="35">
        <f t="shared" si="95"/>
        <v>26.85862035553189</v>
      </c>
      <c r="IH5" s="112" t="s">
        <v>292</v>
      </c>
      <c r="II5" s="112"/>
      <c r="IK5" s="126"/>
      <c r="IL5" s="3">
        <f>IF(AND(Include_study?="Yes",Sufficient_data="Yes"),'Publication Bias Analysis'!AV:AV,NA())</f>
        <v>1.5597278324656407</v>
      </c>
      <c r="IM5" s="3">
        <f>IF(AND(Sufficient_data="Yes",Include_study?="Yes"),'Publication Bias Analysis'!AU:AU,NA())</f>
        <v>5.182530304352488</v>
      </c>
      <c r="IN5" s="3">
        <f t="shared" si="96"/>
        <v>-0.2129323990150942</v>
      </c>
      <c r="IO5" s="35">
        <f>IF(AND(Include_study?="Yes",Sufficient_data="Yes"),Z_score-('Publication Bias Analysis'!AY$30+'Publication Bias Analysis'!AY$31*Inverse_standard_error),"")</f>
        <v>1.1152805133524395</v>
      </c>
      <c r="IQ5" s="24" t="s">
        <v>248</v>
      </c>
      <c r="IR5" s="2" t="s">
        <v>245</v>
      </c>
      <c r="IS5" s="2" t="s">
        <v>246</v>
      </c>
      <c r="IU5" s="126"/>
      <c r="IV5" s="6">
        <f>IF('Publication Bias Analysis'!BG:BG&lt;&gt;"",RANK('Publication Bias Analysis'!BG:BG,'Publication Bias Analysis'!BG:BG,1)+COUNTIF('Publication Bias Analysis'!BG$2:BG4,'Publication Bias Analysis'!BG5),"")</f>
        <v>6</v>
      </c>
      <c r="IW5" s="3">
        <f t="shared" si="97"/>
        <v>0.89473684210526327</v>
      </c>
      <c r="IX5" s="3">
        <f>IF('Publication Bias Analysis'!BF5&lt;&gt;"",'Publication Bias Analysis'!BF5,NA())</f>
        <v>1.2521195202652198</v>
      </c>
      <c r="IY5" s="3">
        <f>IF('Publication Bias Analysis'!BG5&lt;&gt;"",'Publication Bias Analysis'!BG5,NA())</f>
        <v>1.5597278324656407</v>
      </c>
      <c r="IZ5" s="3">
        <f>IF(AND(Include_study?="Yes",Sufficient_data="Yes"),'Publication Bias Analysis'!BF:BF-AVERAGE('Publication Bias Analysis'!BF:BF),"")</f>
        <v>1.2521195202652198</v>
      </c>
      <c r="JA5" s="35">
        <f>IF(AND(Include_study?="Yes",Sufficient_data="Yes"),'Publication Bias Analysis'!BG:BG-('Publication Bias Analysis'!BJ$30+'Publication Bias Analysis'!BJ$31*'Publication Bias Analysis'!BF:BF),"")</f>
        <v>0.17720539329185914</v>
      </c>
      <c r="JC5" s="24" t="s">
        <v>293</v>
      </c>
      <c r="JD5" s="2" t="s">
        <v>245</v>
      </c>
      <c r="JE5" s="2" t="s">
        <v>246</v>
      </c>
      <c r="JG5" s="126"/>
      <c r="JH5" s="3">
        <f t="shared" si="98"/>
        <v>1.5597278324656407</v>
      </c>
      <c r="JI5" s="10">
        <f t="shared" si="124"/>
        <v>5.941210600199176E-2</v>
      </c>
      <c r="JJ5" s="35">
        <f t="shared" si="125"/>
        <v>-2.823257268631568</v>
      </c>
    </row>
    <row r="6" spans="1:270" ht="14.1">
      <c r="A6" s="2">
        <f t="shared" si="0"/>
        <v>1</v>
      </c>
      <c r="B6" s="6">
        <f>IF(AND(Include_study?="Yes",Sufficient_data="Yes"),IF(Input!a_&lt;&gt;"",Input!a_,Input!n1_-Input!b_),"")</f>
        <v>73</v>
      </c>
      <c r="C6" s="6">
        <f>IF(AND(Include_study?="Yes",Sufficient_data="Yes"),IF(Input!b_&lt;&gt;"",Input!b_,Input!n1_-Input!a_),"")</f>
        <v>912</v>
      </c>
      <c r="D6" s="6">
        <f>IF(AND(Include_study?="Yes",Sufficient_data="Yes"),IF(Input!c_&lt;&gt;"",Input!c_,Input!n2_-Input!d_),"")</f>
        <v>70</v>
      </c>
      <c r="E6" s="6">
        <f>IF(AND(Include_study?="Yes",Sufficient_data="Yes"),IF(Input!d_&lt;&gt;"",Input!d_,Input!n2_-Input!c_),"")</f>
        <v>915</v>
      </c>
      <c r="F6" s="35" t="str">
        <f t="shared" si="1"/>
        <v>No</v>
      </c>
      <c r="H6" s="133"/>
      <c r="I6" s="128"/>
      <c r="J6" s="76">
        <f t="shared" si="2"/>
        <v>1.0462875939849625</v>
      </c>
      <c r="K6" s="3">
        <f t="shared" si="3"/>
        <v>4.5248274300222172E-2</v>
      </c>
      <c r="L6" s="3">
        <f t="shared" si="4"/>
        <v>0.17370587734913909</v>
      </c>
      <c r="M6" s="3">
        <f t="shared" si="5"/>
        <v>0.74422006261036044</v>
      </c>
      <c r="N6" s="35">
        <f t="shared" si="6"/>
        <v>1.4709597124902904</v>
      </c>
      <c r="P6" s="126"/>
      <c r="Q6" s="76">
        <f t="shared" si="7"/>
        <v>1.0462571206404792</v>
      </c>
      <c r="R6" s="3">
        <f t="shared" si="8"/>
        <v>0.17362632033080799</v>
      </c>
      <c r="S6" s="3">
        <f t="shared" si="9"/>
        <v>0.74431450954508072</v>
      </c>
      <c r="T6" s="35">
        <f t="shared" si="10"/>
        <v>1.47068738880282</v>
      </c>
      <c r="V6" s="126"/>
      <c r="W6" s="76">
        <f t="shared" si="11"/>
        <v>3.0456852791878181E-3</v>
      </c>
      <c r="X6" s="3">
        <f t="shared" si="12"/>
        <v>1.1691237105078982E-2</v>
      </c>
      <c r="Y6" s="3">
        <f t="shared" si="13"/>
        <v>-1.9882819784269368E-2</v>
      </c>
      <c r="Z6" s="35">
        <f t="shared" si="14"/>
        <v>2.5974190342645004E-2</v>
      </c>
      <c r="AB6" s="126"/>
      <c r="AC6" s="76">
        <f t="shared" si="15"/>
        <v>1.0428571428571429</v>
      </c>
      <c r="AD6" s="3">
        <f t="shared" si="16"/>
        <v>4.1964199099032207E-2</v>
      </c>
      <c r="AE6" s="3">
        <f t="shared" si="17"/>
        <v>0.16110210293447041</v>
      </c>
      <c r="AF6" s="3">
        <f t="shared" si="18"/>
        <v>0.76034391066385654</v>
      </c>
      <c r="AG6" s="35">
        <f t="shared" si="19"/>
        <v>1.430340935404641</v>
      </c>
      <c r="AI6" s="133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6" s="6">
        <f>IF(AJ6&lt;&gt;"",IF(AJ6=0,COUNTIF(AJ$2:AJ5,0)+1,COUNTIF(AJ$2:AJ5,AJ6)+AJ6+COUNTIF(AJ:AJ,0)),"")</f>
        <v>4</v>
      </c>
      <c r="AL6" s="6">
        <f t="shared" si="20"/>
        <v>1</v>
      </c>
      <c r="AM6" s="3" t="str">
        <f>IF(AND(Include_study?="Yes",Sufficient_data="Yes",Input!Study_name&lt;&gt;""),Input!Study_name,"")</f>
        <v xml:space="preserve">Quan et al. </v>
      </c>
      <c r="AN6" s="6">
        <f t="shared" si="21"/>
        <v>1970</v>
      </c>
      <c r="AO6" s="3">
        <f t="shared" si="22"/>
        <v>1.0462875939849625</v>
      </c>
      <c r="AP6" s="3">
        <f t="shared" si="23"/>
        <v>33.141409414610365</v>
      </c>
      <c r="AQ6" s="3">
        <f t="shared" si="24"/>
        <v>33.141409414610365</v>
      </c>
      <c r="AR6" s="3">
        <f t="shared" si="25"/>
        <v>0.17370587734913909</v>
      </c>
      <c r="AS6" s="3">
        <f t="shared" si="26"/>
        <v>0.74422006261036044</v>
      </c>
      <c r="AT6" s="3">
        <f t="shared" si="27"/>
        <v>1.4709597124902904</v>
      </c>
      <c r="AU6" s="80">
        <f t="shared" si="28"/>
        <v>0.18863921105208137</v>
      </c>
      <c r="AW6" s="44">
        <f t="shared" si="29"/>
        <v>1.0462875939849625</v>
      </c>
      <c r="AX6" s="3">
        <f t="shared" si="30"/>
        <v>0.30206753137460207</v>
      </c>
      <c r="AY6" s="35">
        <f t="shared" si="31"/>
        <v>0.42467211850532793</v>
      </c>
      <c r="BA6" s="2" t="s">
        <v>294</v>
      </c>
      <c r="BB6" s="3">
        <f>'Forest Plot'!$B$16-CES_PI_Lower_limit</f>
        <v>0.13418000382695627</v>
      </c>
      <c r="BD6" s="133"/>
      <c r="BE6" s="128"/>
      <c r="BF6" s="3">
        <f t="shared" si="32"/>
        <v>4.5248274300222172E-2</v>
      </c>
      <c r="BG6" s="3">
        <f t="shared" si="33"/>
        <v>0.17370587734913909</v>
      </c>
      <c r="BH6" s="3">
        <f t="shared" si="34"/>
        <v>33.141409414610365</v>
      </c>
      <c r="BI6" s="3">
        <f t="shared" si="99"/>
        <v>33.141409414610365</v>
      </c>
      <c r="BJ6" s="35">
        <f t="shared" si="35"/>
        <v>-4.0510475386188224E-2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-4.5663445378238826E-2</v>
      </c>
      <c r="BO6" s="126"/>
      <c r="BP6" s="3">
        <f t="shared" si="36"/>
        <v>33.906091370558379</v>
      </c>
      <c r="BQ6" s="3">
        <f t="shared" si="37"/>
        <v>32.406091370558379</v>
      </c>
      <c r="BR6" s="3">
        <f t="shared" si="38"/>
        <v>17.00467932696024</v>
      </c>
      <c r="BS6" s="3">
        <f>IF(AND(Sufficient_data="Yes",Include_study?="Yes"),IF(Add_0_5="Yes",(a_+d_+1)*(ab_+0.5)*(c_+0.5)/(Number_of_subjects+2)^2,(a_+d_)*b_*c_/Number_of_subjects^2),"")</f>
        <v>16.252395063000851</v>
      </c>
      <c r="BT6" s="3">
        <f t="shared" si="39"/>
        <v>16.901412043598135</v>
      </c>
      <c r="BU6" s="3">
        <f t="shared" si="40"/>
        <v>16.153696307557524</v>
      </c>
      <c r="BV6" s="3">
        <f t="shared" si="41"/>
        <v>32.406091370558379</v>
      </c>
      <c r="BW6" s="3">
        <f t="shared" si="42"/>
        <v>5.543702242124883E-2</v>
      </c>
      <c r="BX6" s="3">
        <f t="shared" si="43"/>
        <v>33.141409414610365</v>
      </c>
      <c r="BY6" s="35">
        <f t="shared" si="44"/>
        <v>-4.0510475386188155E-2</v>
      </c>
      <c r="CA6" s="3" t="s">
        <v>295</v>
      </c>
      <c r="CB6" s="3">
        <f>lnCES_OddsRatio_MH+ABS(TINV((1-Confidence_level),k_-1))*SElnCES_MH</f>
        <v>0.21718094475105953</v>
      </c>
      <c r="CD6" s="126"/>
      <c r="CE6" s="76">
        <f t="shared" si="45"/>
        <v>71.5</v>
      </c>
      <c r="CF6" s="3">
        <f t="shared" si="46"/>
        <v>33.17178770949721</v>
      </c>
      <c r="CG6" s="3">
        <f t="shared" si="47"/>
        <v>4.5219148667424526E-2</v>
      </c>
      <c r="CH6" s="3">
        <f t="shared" si="48"/>
        <v>3.0146099111616351E-2</v>
      </c>
      <c r="CI6" s="3">
        <f t="shared" si="49"/>
        <v>33.17178770949721</v>
      </c>
      <c r="CJ6" s="3">
        <f t="shared" si="50"/>
        <v>33.17178770949721</v>
      </c>
      <c r="CK6" s="35">
        <f t="shared" si="51"/>
        <v>-4.0853522189053186E-2</v>
      </c>
      <c r="CM6" s="3" t="s">
        <v>295</v>
      </c>
      <c r="CN6" s="3">
        <f>lnCES_PetoOddsRatio+ABS(TINV((1-Confidence_level),k_-1))*SElnCES_Peto</f>
        <v>0.21721144739499176</v>
      </c>
      <c r="CP6" s="126"/>
      <c r="CQ6" s="52">
        <f t="shared" si="52"/>
        <v>7.1065989847715741E-2</v>
      </c>
      <c r="CS6" s="2" t="s">
        <v>296</v>
      </c>
      <c r="CT6" s="3">
        <f>IF(Weighting_method="Inverse variance",IF(Model_effect_size_measure="Odds Ratio",PICES_LL,""),"")</f>
        <v>0.95536344007146456</v>
      </c>
      <c r="CU6" s="3">
        <f>IF(Model_effect_size_measure="Odds Ratio",PICES_LL_MH,"")</f>
        <v>0.95536344007146456</v>
      </c>
      <c r="CV6" s="3" t="str">
        <f>IF(Model_effect_size_measure="Peto Odds Ratio",PICES_LL_Peto,"")</f>
        <v/>
      </c>
      <c r="CX6" s="133"/>
      <c r="CY6" s="48">
        <f t="shared" si="53"/>
        <v>1</v>
      </c>
      <c r="CZ6" s="6" t="str">
        <f t="shared" si="54"/>
        <v xml:space="preserve">Quan et al. </v>
      </c>
      <c r="DA6" s="17" t="str">
        <f t="shared" si="55"/>
        <v>English</v>
      </c>
      <c r="DB6" s="3">
        <f t="shared" si="56"/>
        <v>4.5248274300222172E-2</v>
      </c>
      <c r="DC6" s="3">
        <f t="shared" si="57"/>
        <v>0.17370587734913909</v>
      </c>
      <c r="DD6" s="3">
        <f t="shared" si="58"/>
        <v>33.141409414610365</v>
      </c>
      <c r="DE6" s="3">
        <f t="shared" si="59"/>
        <v>33.141409414610365</v>
      </c>
      <c r="DF6" s="80">
        <f t="shared" si="60"/>
        <v>0.37788414323093078</v>
      </c>
      <c r="DG6" s="3">
        <f t="shared" si="61"/>
        <v>1.0462875939849625</v>
      </c>
      <c r="DH6" s="3">
        <f t="shared" si="62"/>
        <v>0.74422014184853047</v>
      </c>
      <c r="DI6" s="3">
        <f t="shared" si="63"/>
        <v>1.4709595558751316</v>
      </c>
      <c r="DJ6" s="35" t="e">
        <f t="shared" si="64"/>
        <v>#DIV/0!</v>
      </c>
      <c r="DL6" s="44">
        <f t="shared" si="65"/>
        <v>1.0462875939849625</v>
      </c>
      <c r="DM6" s="3">
        <f t="shared" si="100"/>
        <v>0.30206745213643205</v>
      </c>
      <c r="DN6" s="35">
        <f t="shared" si="101"/>
        <v>0.42467196189016909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297</v>
      </c>
      <c r="FP6" s="3" t="str">
        <f>IF(FP3&lt;&gt;"",SUM(FH:FH),"")</f>
        <v/>
      </c>
      <c r="FR6" s="133"/>
      <c r="FS6" s="128"/>
      <c r="FT6" s="76">
        <f>IF(AND(Include_study?="Yes",Sufficient_data="Yes"),IF(Additional_weighting_method="Inverse Variance",1/'Publication Bias Analysis'!F:F^2,IF(Additional_weighting_method="Mantel-Haenszel",Weightf_MH,Weightf_Peto)),"")</f>
        <v>33.141409414610365</v>
      </c>
      <c r="FU6" s="3">
        <f>IF(AND(Include_study?="Yes",Sufficient_data="Yes"),1/('Publication Bias Analysis'!F:F^2+IF(Additional_model="Fixed effect",0,Calculations!GH$12)),"")</f>
        <v>33.141409414610365</v>
      </c>
      <c r="FV6" s="3">
        <f>IF(AND(Include_study?="Yes",Sufficient_data="Yes"),1/('Publication Bias Analysis'!F:F^2+IF(Additional_model="Fixed effect",0,'Publication Bias Analysis'!L$32)),"")</f>
        <v>33.141409414610365</v>
      </c>
      <c r="FW6" s="3">
        <f>IF(AND(Include_study?="Yes",Sufficient_data="Yes"),'Publication Bias Analysis'!E:E-'Publication Bias Analysis'!I$37,"")</f>
        <v>-4.0510475386188224E-2</v>
      </c>
      <c r="FX6" s="3">
        <f>IF(AND(Include_study?="Yes",Sufficient_data="Yes"),IF(Additional_model="Fixed effect",1/'Publication Bias Analysis'!F:F,1/SQRT('Publication Bias Analysis'!F:F^2+GH$12)),"")</f>
        <v>5.7568575989519113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0.26048787174469445</v>
      </c>
      <c r="FZ6" s="6">
        <f t="shared" si="80"/>
        <v>-3</v>
      </c>
      <c r="GA6" s="83">
        <f>IF(AND(Include_study?="Yes",Sufficient_data="Yes"),FZ:FZ+IF(GL:GL&lt;0,-1,1)*COUNTIF(FZ$2:FZ5,FZ:FZ),"")</f>
        <v>-3</v>
      </c>
      <c r="GB6" s="83">
        <f>IF(AND(Include_study?="Yes",Sufficient_data="Yes"),RANK(GP:GP,GP:GP,1)*IF(GO:GO&lt;0,-1,1)+IF(GO:GO&lt;0,-1,1)*COUNTIF(FZ$2:FZ5,FZ:FZ),"")</f>
        <v>-3</v>
      </c>
      <c r="GC6" s="83">
        <f>IF(AND(Include_study?="Yes",Sufficient_data="Yes"),RANK(GS:GS,GS:GS,1)*IF(GR:GR&lt;0,-1,1)+IF(GR:GR&lt;0,-1,1)*COUNTIF(FZ$2:FZ5,FZ:FZ),"")</f>
        <v>-3</v>
      </c>
      <c r="GD6" s="3">
        <f>IF(AND(Include_study?="Yes",Sufficient_data="Yes"),'Publication Bias Analysis'!E6,NA())</f>
        <v>4.5248274300222172E-2</v>
      </c>
      <c r="GE6" s="35">
        <f>IF(AND(Include_study?="Yes",Sufficient_data="Yes"),'Publication Bias Analysis'!F6,NA())</f>
        <v>0.17370587734913909</v>
      </c>
      <c r="GG6" s="24" t="s">
        <v>298</v>
      </c>
      <c r="GH6" s="2" t="s">
        <v>245</v>
      </c>
      <c r="GI6" s="2" t="s">
        <v>246</v>
      </c>
      <c r="GK6" s="12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-4.0510475386188224E-2</v>
      </c>
      <c r="GM6" s="3">
        <f t="shared" si="81"/>
        <v>4.0510475386188224E-2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33.141409414610365</v>
      </c>
      <c r="GO6" s="3">
        <f>IF(AND(Include_study?="Yes",Sufficient_data="Yes"),IF('Publication Bias Analysis'!L$38="Left",'Publication Bias Analysis'!E:E-GW$3,GW$3-'Publication Bias Analysis'!E:E),"")</f>
        <v>-4.0510475386188224E-2</v>
      </c>
      <c r="GP6" s="3">
        <f t="shared" si="82"/>
        <v>4.0510475386188224E-2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33.141409414610365</v>
      </c>
      <c r="GR6" s="3">
        <f>IF(AND(Include_study?="Yes",Sufficient_data="Yes"),IF('Publication Bias Analysis'!L$38="Left",'Publication Bias Analysis'!E:E-GW$10,GW$10-'Publication Bias Analysis'!E:E),"")</f>
        <v>-4.0510475386188224E-2</v>
      </c>
      <c r="GS6" s="3">
        <f t="shared" si="83"/>
        <v>4.0510475386188224E-2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33.141409414610365</v>
      </c>
      <c r="GV6" s="2" t="s">
        <v>148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6"/>
      <c r="HL6" s="3">
        <f t="shared" si="89"/>
        <v>0.36139489558432913</v>
      </c>
      <c r="HM6" s="35">
        <f>IF(AND(Include_study?="Yes",Sufficient_data="Yes"),Z_score-('Publication Bias Analysis'!P$3+'Publication Bias Analysis'!P$4*Inverse_standard_error),"")</f>
        <v>-5.2908610371216191E-5</v>
      </c>
      <c r="HO6" s="126"/>
      <c r="HP6" s="3">
        <f>IF(AND(Include_study?="Yes",Sufficient_data="Yes"),(GD:GD-SUMPRODUCT(Calculations!FT:FT,'Publication Bias Analysis'!E:E)/SUM(Calculations!FT:FT))/SQRT(Calculations!HQ:HQ),"")</f>
        <v>-0.25890820798535663</v>
      </c>
      <c r="HQ6" s="3">
        <f>IF(AND(Include_study?="Yes",Sufficient_data="Yes"),GE:GE^2-1/SUM(Calculations!FT:FT),"")</f>
        <v>2.4481782859549446E-2</v>
      </c>
      <c r="HR6" s="6">
        <f t="shared" si="90"/>
        <v>5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5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26"/>
      <c r="HX6" s="20">
        <v>5</v>
      </c>
      <c r="HY6" s="3">
        <f t="shared" si="123"/>
        <v>-0.15</v>
      </c>
      <c r="HZ6" s="35">
        <f>1/2*HY14</f>
        <v>0.15</v>
      </c>
      <c r="IB6" s="126"/>
      <c r="IC6" s="76">
        <f t="shared" si="92"/>
        <v>7.4111675126903559E-2</v>
      </c>
      <c r="ID6" s="3">
        <f t="shared" si="93"/>
        <v>7.1065989847715741E-2</v>
      </c>
      <c r="IE6" s="3">
        <f t="shared" si="94"/>
        <v>38.529873311134089</v>
      </c>
      <c r="IF6" s="35">
        <f t="shared" si="95"/>
        <v>33.141409414610365</v>
      </c>
      <c r="IH6" s="3">
        <v>0</v>
      </c>
      <c r="II6" s="3">
        <v>0</v>
      </c>
      <c r="IK6" s="126"/>
      <c r="IL6" s="3">
        <f>IF(AND(Include_study?="Yes",Sufficient_data="Yes"),'Publication Bias Analysis'!AV:AV,NA())</f>
        <v>0.26048787174469445</v>
      </c>
      <c r="IM6" s="3">
        <f>IF(AND(Sufficient_data="Yes",Include_study?="Yes"),'Publication Bias Analysis'!AU:AU,NA())</f>
        <v>5.7568575989519113</v>
      </c>
      <c r="IN6" s="3">
        <f t="shared" si="96"/>
        <v>0.36139489558432913</v>
      </c>
      <c r="IO6" s="35">
        <f>IF(AND(Include_study?="Yes",Sufficient_data="Yes"),Z_score-('Publication Bias Analysis'!AY$30+'Publication Bias Analysis'!AY$31*Inverse_standard_error),"")</f>
        <v>-0.23321303806413207</v>
      </c>
      <c r="IQ6" s="2" t="s">
        <v>101</v>
      </c>
      <c r="IR6" s="3">
        <v>0</v>
      </c>
      <c r="IS6" s="3">
        <f>ABS(TINV((1-Additional_confidence_level),k_-1))*-1</f>
        <v>-2.570581835636315</v>
      </c>
      <c r="IU6" s="126"/>
      <c r="IV6" s="6">
        <f>IF('Publication Bias Analysis'!BG:BG&lt;&gt;"",RANK('Publication Bias Analysis'!BG:BG,'Publication Bias Analysis'!BG:BG,1)+COUNTIF('Publication Bias Analysis'!BG$2:BG5,'Publication Bias Analysis'!BG6),"")</f>
        <v>3</v>
      </c>
      <c r="IW6" s="3">
        <f t="shared" si="97"/>
        <v>0.42105263157894735</v>
      </c>
      <c r="IX6" s="3">
        <f>IF('Publication Bias Analysis'!BF6&lt;&gt;"",'Publication Bias Analysis'!BF6,NA())</f>
        <v>-0.19920132478926703</v>
      </c>
      <c r="IY6" s="3">
        <f>IF('Publication Bias Analysis'!BG6&lt;&gt;"",'Publication Bias Analysis'!BG6,NA())</f>
        <v>0.26048787174469445</v>
      </c>
      <c r="IZ6" s="3">
        <f>IF(AND(Include_study?="Yes",Sufficient_data="Yes"),'Publication Bias Analysis'!BF:BF-AVERAGE('Publication Bias Analysis'!BF:BF),"")</f>
        <v>-0.19920132478926703</v>
      </c>
      <c r="JA6" s="35">
        <f>IF(AND(Include_study?="Yes",Sufficient_data="Yes"),'Publication Bias Analysis'!BG:BG-('Publication Bias Analysis'!BJ$30+'Publication Bias Analysis'!BJ$31*'Publication Bias Analysis'!BF:BF),"")</f>
        <v>-8.1715890621062437E-2</v>
      </c>
      <c r="JC6" s="2" t="s">
        <v>285</v>
      </c>
      <c r="JD6" s="3">
        <f>MIN('Publication Bias Analysis'!BF:BF)</f>
        <v>-1.2521195202652196</v>
      </c>
      <c r="JE6" s="3">
        <f>'Publication Bias Analysis'!BJ30</f>
        <v>0.48499290463525674</v>
      </c>
      <c r="JG6" s="126"/>
      <c r="JH6" s="3">
        <f t="shared" si="98"/>
        <v>0.26048787174469445</v>
      </c>
      <c r="JI6" s="10">
        <f t="shared" si="124"/>
        <v>0.39724373472095942</v>
      </c>
      <c r="JJ6" s="35">
        <f t="shared" si="125"/>
        <v>-0.92320524531722592</v>
      </c>
    </row>
    <row r="7" spans="1:270" ht="14.1">
      <c r="A7" s="2">
        <f t="shared" si="0"/>
        <v>1</v>
      </c>
      <c r="B7" s="6">
        <f>IF(AND(Include_study?="Yes",Sufficient_data="Yes"),IF(Input!a_&lt;&gt;"",Input!a_,Input!n1_-Input!b_),"")</f>
        <v>74</v>
      </c>
      <c r="C7" s="6">
        <f>IF(AND(Include_study?="Yes",Sufficient_data="Yes"),IF(Input!b_&lt;&gt;"",Input!b_,Input!n1_-Input!a_),"")</f>
        <v>911</v>
      </c>
      <c r="D7" s="6">
        <f>IF(AND(Include_study?="Yes",Sufficient_data="Yes"),IF(Input!c_&lt;&gt;"",Input!c_,Input!n2_-Input!d_),"")</f>
        <v>79</v>
      </c>
      <c r="E7" s="6">
        <f>IF(AND(Include_study?="Yes",Sufficient_data="Yes"),IF(Input!d_&lt;&gt;"",Input!d_,Input!n2_-Input!c_),"")</f>
        <v>906</v>
      </c>
      <c r="F7" s="35" t="str">
        <f t="shared" si="1"/>
        <v>No</v>
      </c>
      <c r="H7" s="133"/>
      <c r="I7" s="128"/>
      <c r="J7" s="76">
        <f t="shared" si="2"/>
        <v>0.93156775834039651</v>
      </c>
      <c r="K7" s="3">
        <f t="shared" si="3"/>
        <v>-7.0886350479830787E-2</v>
      </c>
      <c r="L7" s="3">
        <f t="shared" si="4"/>
        <v>0.16844342955969202</v>
      </c>
      <c r="M7" s="3">
        <f t="shared" si="5"/>
        <v>0.6694943358611587</v>
      </c>
      <c r="N7" s="35">
        <f t="shared" si="6"/>
        <v>1.2962297690884748</v>
      </c>
      <c r="P7" s="126"/>
      <c r="Q7" s="76">
        <f t="shared" si="7"/>
        <v>0.93162297131839999</v>
      </c>
      <c r="R7" s="3">
        <f t="shared" si="8"/>
        <v>0.1683176560623576</v>
      </c>
      <c r="S7" s="3">
        <f t="shared" si="9"/>
        <v>0.66969918583156074</v>
      </c>
      <c r="T7" s="35">
        <f t="shared" si="10"/>
        <v>1.2959868834399617</v>
      </c>
      <c r="V7" s="126"/>
      <c r="W7" s="76">
        <f t="shared" si="11"/>
        <v>-5.0761421319796829E-3</v>
      </c>
      <c r="X7" s="3">
        <f t="shared" si="12"/>
        <v>1.2059638985087259E-2</v>
      </c>
      <c r="Y7" s="3">
        <f t="shared" si="13"/>
        <v>-2.8727145960557917E-2</v>
      </c>
      <c r="Z7" s="35">
        <f t="shared" si="14"/>
        <v>1.8574861696598551E-2</v>
      </c>
      <c r="AB7" s="126"/>
      <c r="AC7" s="76">
        <f t="shared" si="15"/>
        <v>0.93670886075949378</v>
      </c>
      <c r="AD7" s="3">
        <f t="shared" si="16"/>
        <v>-6.5382759262851628E-2</v>
      </c>
      <c r="AE7" s="3">
        <f t="shared" si="17"/>
        <v>0.15537465851554719</v>
      </c>
      <c r="AF7" s="3">
        <f t="shared" si="18"/>
        <v>0.69066602077971206</v>
      </c>
      <c r="AG7" s="35">
        <f t="shared" si="19"/>
        <v>1.2704019937665398</v>
      </c>
      <c r="AI7" s="133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7" s="6">
        <f>IF(AJ7&lt;&gt;"",IF(AJ7=0,COUNTIF(AJ$2:AJ6,0)+1,COUNTIF(AJ$2:AJ6,AJ7)+AJ7+COUNTIF(AJ:AJ,0)),"")</f>
        <v>5</v>
      </c>
      <c r="AL7" s="6">
        <f t="shared" si="20"/>
        <v>1</v>
      </c>
      <c r="AM7" s="3" t="str">
        <f>IF(AND(Include_study?="Yes",Sufficient_data="Yes",Input!Study_name&lt;&gt;""),Input!Study_name,"")</f>
        <v xml:space="preserve">Quan et al. </v>
      </c>
      <c r="AN7" s="6">
        <f t="shared" si="21"/>
        <v>1970</v>
      </c>
      <c r="AO7" s="3">
        <f t="shared" si="22"/>
        <v>0.93156775834039651</v>
      </c>
      <c r="AP7" s="3">
        <f t="shared" si="23"/>
        <v>35.244540236391877</v>
      </c>
      <c r="AQ7" s="3">
        <f t="shared" si="24"/>
        <v>35.244540236391877</v>
      </c>
      <c r="AR7" s="3">
        <f t="shared" si="25"/>
        <v>0.16844342955969202</v>
      </c>
      <c r="AS7" s="3">
        <f t="shared" si="26"/>
        <v>0.6694943358611587</v>
      </c>
      <c r="AT7" s="3">
        <f t="shared" si="27"/>
        <v>1.2962297690884748</v>
      </c>
      <c r="AU7" s="80">
        <f t="shared" si="28"/>
        <v>0.20061012435866152</v>
      </c>
      <c r="AW7" s="44">
        <f t="shared" si="29"/>
        <v>0.93156775834039651</v>
      </c>
      <c r="AX7" s="3">
        <f t="shared" si="30"/>
        <v>0.26207342247923782</v>
      </c>
      <c r="AY7" s="35">
        <f t="shared" si="31"/>
        <v>0.36466201074807825</v>
      </c>
      <c r="BA7" s="2" t="s">
        <v>299</v>
      </c>
      <c r="BB7" s="3">
        <f>CES_PI_Upper_limit-'Forest Plot'!$B$16</f>
        <v>0.15302547422265755</v>
      </c>
      <c r="BD7" s="133"/>
      <c r="BE7" s="128"/>
      <c r="BF7" s="3">
        <f t="shared" si="32"/>
        <v>-7.0886350479830787E-2</v>
      </c>
      <c r="BG7" s="3">
        <f t="shared" si="33"/>
        <v>0.16844342955969202</v>
      </c>
      <c r="BH7" s="3">
        <f t="shared" si="34"/>
        <v>35.244540236391877</v>
      </c>
      <c r="BI7" s="3">
        <f t="shared" si="99"/>
        <v>35.244540236391877</v>
      </c>
      <c r="BJ7" s="35">
        <f t="shared" si="35"/>
        <v>-0.15664510016624117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0.21718094475105962</v>
      </c>
      <c r="BO7" s="126"/>
      <c r="BP7" s="3">
        <f t="shared" si="36"/>
        <v>34.032487309644672</v>
      </c>
      <c r="BQ7" s="3">
        <f t="shared" si="37"/>
        <v>36.532487309644672</v>
      </c>
      <c r="BR7" s="3">
        <f t="shared" si="38"/>
        <v>16.929866783478058</v>
      </c>
      <c r="BS7" s="3">
        <f>IF(AND(Sufficient_data="Yes",Include_study?="Yes"),IF(Add_0_5="Yes",(a_+d_+1)*(ab_+0.5)*(c_+0.5)/(Number_of_subjects+2)^2,(a_+d_)*b_*c_/Number_of_subjects^2),"")</f>
        <v>18.173521605813086</v>
      </c>
      <c r="BT7" s="3">
        <f t="shared" si="39"/>
        <v>17.102620526166611</v>
      </c>
      <c r="BU7" s="3">
        <f t="shared" si="40"/>
        <v>18.358965703831586</v>
      </c>
      <c r="BV7" s="3">
        <f t="shared" si="41"/>
        <v>36.532487309644672</v>
      </c>
      <c r="BW7" s="3">
        <f t="shared" si="42"/>
        <v>0.86911667708532203</v>
      </c>
      <c r="BX7" s="3">
        <f t="shared" si="43"/>
        <v>35.244540236391877</v>
      </c>
      <c r="BY7" s="35">
        <f t="shared" si="44"/>
        <v>-0.15664510016624111</v>
      </c>
      <c r="CA7" s="3" t="s">
        <v>300</v>
      </c>
      <c r="CB7" s="3">
        <f>lnCES_OddsRatio_MH-ABS(TINV((1-Confidence_level),k_-1))*SQRT(T2_MH+SElnCES_MH^2)</f>
        <v>-4.5663445378238895E-2</v>
      </c>
      <c r="CD7" s="126"/>
      <c r="CE7" s="76">
        <f t="shared" si="45"/>
        <v>76.5</v>
      </c>
      <c r="CF7" s="3">
        <f t="shared" si="46"/>
        <v>35.297232097511426</v>
      </c>
      <c r="CG7" s="3">
        <f t="shared" si="47"/>
        <v>-7.0827083355815265E-2</v>
      </c>
      <c r="CH7" s="3">
        <f t="shared" si="48"/>
        <v>2.8330833342326108E-2</v>
      </c>
      <c r="CI7" s="3">
        <f t="shared" si="49"/>
        <v>35.297232097511426</v>
      </c>
      <c r="CJ7" s="3">
        <f t="shared" si="50"/>
        <v>35.297232097511426</v>
      </c>
      <c r="CK7" s="35">
        <f t="shared" si="51"/>
        <v>-0.15689975421229296</v>
      </c>
      <c r="CM7" s="3" t="s">
        <v>300</v>
      </c>
      <c r="CN7" s="3">
        <f>lnCES_PetoOddsRatio-ABS(TINV((1-Confidence_level),k_-1))*SQRT(T2_Peto+SElnCES_Peto^2)</f>
        <v>-4.5066105682036339E-2</v>
      </c>
      <c r="CP7" s="126"/>
      <c r="CQ7" s="52">
        <f t="shared" si="52"/>
        <v>8.0203045685279181E-2</v>
      </c>
      <c r="CS7" s="2" t="s">
        <v>301</v>
      </c>
      <c r="CT7" s="3">
        <f>IF(Weighting_method="Inverse variance",IF(Model_effect_size_measure="Odds Ratio",PICES_UL,""),"")</f>
        <v>1.2425689181210784</v>
      </c>
      <c r="CU7" s="3">
        <f>IF(Model_effect_size_measure="Odds Ratio",PICES_UL_MH,"")</f>
        <v>1.2425689181210784</v>
      </c>
      <c r="CV7" s="3" t="str">
        <f>IF(Model_effect_size_measure="Peto Odds Ratio",PICES_UL_Peto,"")</f>
        <v/>
      </c>
      <c r="CX7" s="133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106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3"/>
      <c r="FS7" s="128"/>
      <c r="FT7" s="76">
        <f>IF(AND(Include_study?="Yes",Sufficient_data="Yes"),IF(Additional_weighting_method="Inverse Variance",1/'Publication Bias Analysis'!F:F^2,IF(Additional_weighting_method="Mantel-Haenszel",Weightf_MH,Weightf_Peto)),"")</f>
        <v>35.244540236391877</v>
      </c>
      <c r="FU7" s="3">
        <f>IF(AND(Include_study?="Yes",Sufficient_data="Yes"),1/('Publication Bias Analysis'!F:F^2+IF(Additional_model="Fixed effect",0,Calculations!GH$12)),"")</f>
        <v>35.244540236391877</v>
      </c>
      <c r="FV7" s="3">
        <f>IF(AND(Include_study?="Yes",Sufficient_data="Yes"),1/('Publication Bias Analysis'!F:F^2+IF(Additional_model="Fixed effect",0,'Publication Bias Analysis'!L$32)),"")</f>
        <v>35.244540236391877</v>
      </c>
      <c r="FW7" s="3">
        <f>IF(AND(Include_study?="Yes",Sufficient_data="Yes"),'Publication Bias Analysis'!E:E-'Publication Bias Analysis'!I$37,"")</f>
        <v>-0.15664510016624117</v>
      </c>
      <c r="FX7" s="3">
        <f>IF(AND(Include_study?="Yes",Sufficient_data="Yes"),IF(Additional_model="Fixed effect",1/'Publication Bias Analysis'!F:F,1/SQRT('Publication Bias Analysis'!F:F^2+GH$12)),"")</f>
        <v>5.9367112306724064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-0.42083179299499174</v>
      </c>
      <c r="FZ7" s="6">
        <f t="shared" si="80"/>
        <v>-5</v>
      </c>
      <c r="GA7" s="83">
        <f>IF(AND(Include_study?="Yes",Sufficient_data="Yes"),FZ:FZ+IF(GL:GL&lt;0,-1,1)*COUNTIF(FZ$2:FZ6,FZ:FZ),"")</f>
        <v>-5</v>
      </c>
      <c r="GB7" s="83">
        <f>IF(AND(Include_study?="Yes",Sufficient_data="Yes"),RANK(GP:GP,GP:GP,1)*IF(GO:GO&lt;0,-1,1)+IF(GO:GO&lt;0,-1,1)*COUNTIF(FZ$2:FZ6,FZ:FZ),"")</f>
        <v>-5</v>
      </c>
      <c r="GC7" s="83">
        <f>IF(AND(Include_study?="Yes",Sufficient_data="Yes"),RANK(GS:GS,GS:GS,1)*IF(GR:GR&lt;0,-1,1)+IF(GR:GR&lt;0,-1,1)*COUNTIF(FZ$2:FZ6,FZ:FZ),"")</f>
        <v>-5</v>
      </c>
      <c r="GD7" s="3">
        <f>IF(AND(Include_study?="Yes",Sufficient_data="Yes"),'Publication Bias Analysis'!E7,NA())</f>
        <v>-7.0886350479830787E-2</v>
      </c>
      <c r="GE7" s="35">
        <f>IF(AND(Include_study?="Yes",Sufficient_data="Yes"),'Publication Bias Analysis'!F7,NA())</f>
        <v>0.16844342955969202</v>
      </c>
      <c r="GG7" s="2" t="s">
        <v>248</v>
      </c>
      <c r="GH7" s="3">
        <f>IF(Trim_and_fill="Off",'Publication Bias Analysis'!I29,'Publication Bias Analysis'!I37)</f>
        <v>8.5758749686410396E-2</v>
      </c>
      <c r="GI7" s="3">
        <v>0</v>
      </c>
      <c r="GK7" s="126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-0.15664510016624117</v>
      </c>
      <c r="GM7" s="3">
        <f t="shared" si="81"/>
        <v>0.15664510016624117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35.244540236391877</v>
      </c>
      <c r="GO7" s="3">
        <f>IF(AND(Include_study?="Yes",Sufficient_data="Yes"),IF('Publication Bias Analysis'!L$38="Left",'Publication Bias Analysis'!E:E-GW$3,GW$3-'Publication Bias Analysis'!E:E),"")</f>
        <v>-0.15664510016624117</v>
      </c>
      <c r="GP7" s="3">
        <f t="shared" si="82"/>
        <v>0.15664510016624117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35.244540236391877</v>
      </c>
      <c r="GR7" s="3">
        <f>IF(AND(Include_study?="Yes",Sufficient_data="Yes"),IF('Publication Bias Analysis'!L$38="Left",'Publication Bias Analysis'!E:E-GW$10,GW$10-'Publication Bias Analysis'!E:E),"")</f>
        <v>-0.15664510016624117</v>
      </c>
      <c r="GS7" s="3">
        <f t="shared" si="83"/>
        <v>0.15664510016624117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35.244540236391877</v>
      </c>
      <c r="GV7" s="36" t="s">
        <v>302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6"/>
      <c r="HL7" s="3">
        <f t="shared" si="89"/>
        <v>0.5412485273048242</v>
      </c>
      <c r="HM7" s="35">
        <f>IF(AND(Include_study?="Yes",Sufficient_data="Yes"),Z_score-('Publication Bias Analysis'!P$3+'Publication Bias Analysis'!P$4*Inverse_standard_error),"")</f>
        <v>-0.56967058145030613</v>
      </c>
      <c r="HO7" s="126"/>
      <c r="HP7" s="3">
        <f>IF(AND(Include_study?="Yes",Sufficient_data="Yes"),(GD:GD-SUMPRODUCT(Calculations!FT:FT,'Publication Bias Analysis'!E:E)/SUM(Calculations!FT:FT))/SQRT(Calculations!HQ:HQ),"")</f>
        <v>-1.0401199292656014</v>
      </c>
      <c r="HQ7" s="3">
        <f>IF(AND(Include_study?="Yes",Sufficient_data="Yes"),GE:GE^2-1/SUM(Calculations!FT:FT),"")</f>
        <v>2.2681239995746224E-2</v>
      </c>
      <c r="HR7" s="6">
        <f t="shared" si="90"/>
        <v>6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0</v>
      </c>
      <c r="HW7" s="126"/>
      <c r="HX7" s="20">
        <v>6</v>
      </c>
      <c r="HY7" s="3">
        <f t="shared" si="123"/>
        <v>0.15</v>
      </c>
      <c r="HZ7" s="35">
        <f>HZ6+HY14</f>
        <v>0.44999999999999996</v>
      </c>
      <c r="IB7" s="126"/>
      <c r="IC7" s="76">
        <f t="shared" si="92"/>
        <v>7.5126903553299498E-2</v>
      </c>
      <c r="ID7" s="3">
        <f t="shared" si="93"/>
        <v>8.0203045685279181E-2</v>
      </c>
      <c r="IE7" s="3">
        <f t="shared" si="94"/>
        <v>41.422816571112058</v>
      </c>
      <c r="IF7" s="35">
        <f t="shared" si="95"/>
        <v>35.244540236391877</v>
      </c>
      <c r="IH7" s="3">
        <f>MAX('Publication Bias Analysis'!AH:AH)</f>
        <v>8.0203045685279181E-2</v>
      </c>
      <c r="II7" s="3">
        <f>EXP(SUMPRODUCT(LogRiskRatio,IE:IE)/SUM(IE:IE))*MAX('Publication Bias Analysis'!AH:AH)</f>
        <v>8.6800333497854792E-2</v>
      </c>
      <c r="IK7" s="126"/>
      <c r="IL7" s="3">
        <f>IF(AND(Include_study?="Yes",Sufficient_data="Yes"),'Publication Bias Analysis'!AV:AV,NA())</f>
        <v>-0.42083179299499174</v>
      </c>
      <c r="IM7" s="3">
        <f>IF(AND(Sufficient_data="Yes",Include_study?="Yes"),'Publication Bias Analysis'!AU:AU,NA())</f>
        <v>5.9367112306724064</v>
      </c>
      <c r="IN7" s="3">
        <f t="shared" si="96"/>
        <v>0.5412485273048242</v>
      </c>
      <c r="IO7" s="35">
        <f>IF(AND(Include_study?="Yes",Sufficient_data="Yes"),Z_score-('Publication Bias Analysis'!AY$30+'Publication Bias Analysis'!AY$31*Inverse_standard_error),"")</f>
        <v>-0.92995672538672802</v>
      </c>
      <c r="IQ7" s="2" t="s">
        <v>288</v>
      </c>
      <c r="IR7" s="3">
        <f>MAX(Inverse_standard_error)</f>
        <v>5.9367112306724064</v>
      </c>
      <c r="IS7" s="3">
        <f>IR7*'Publication Bias Analysis'!AY31+IS6</f>
        <v>-2.0614569032445789</v>
      </c>
      <c r="IU7" s="126"/>
      <c r="IV7" s="6">
        <f>IF('Publication Bias Analysis'!BG:BG&lt;&gt;"",RANK('Publication Bias Analysis'!BG:BG,'Publication Bias Analysis'!BG:BG,1)+COUNTIF('Publication Bias Analysis'!BG$2:BG6,'Publication Bias Analysis'!BG7),"")</f>
        <v>1</v>
      </c>
      <c r="IW7" s="3">
        <f t="shared" si="97"/>
        <v>0.10526315789473686</v>
      </c>
      <c r="IX7" s="3">
        <f>IF('Publication Bias Analysis'!BF7&lt;&gt;"",'Publication Bias Analysis'!BF7,NA())</f>
        <v>-1.2521195202652196</v>
      </c>
      <c r="IY7" s="3">
        <f>IF('Publication Bias Analysis'!BG7&lt;&gt;"",'Publication Bias Analysis'!BG7,NA())</f>
        <v>-0.42083179299499174</v>
      </c>
      <c r="IZ7" s="3">
        <f>IF(AND(Include_study?="Yes",Sufficient_data="Yes"),'Publication Bias Analysis'!BF:BF-AVERAGE('Publication Bias Analysis'!BF:BF),"")</f>
        <v>-1.2521195202652196</v>
      </c>
      <c r="JA7" s="35">
        <f>IF(AND(Include_study?="Yes",Sufficient_data="Yes"),'Publication Bias Analysis'!BG:BG-('Publication Bias Analysis'!BJ$30+'Publication Bias Analysis'!BJ$31*'Publication Bias Analysis'!BF:BF),"")</f>
        <v>-8.2951630917237895E-3</v>
      </c>
      <c r="JC7" s="2" t="s">
        <v>291</v>
      </c>
      <c r="JD7" s="3">
        <f>MAX('Publication Bias Analysis'!BF:BF)</f>
        <v>1.2521195202652198</v>
      </c>
      <c r="JE7" s="3">
        <f>'Publication Bias Analysis'!BJ30</f>
        <v>0.48499290463525674</v>
      </c>
      <c r="JG7" s="126"/>
      <c r="JH7" s="3">
        <f t="shared" si="98"/>
        <v>-0.42083179299499174</v>
      </c>
      <c r="JI7" s="10">
        <f t="shared" si="124"/>
        <v>0.33693895701541166</v>
      </c>
      <c r="JJ7" s="35">
        <f t="shared" si="125"/>
        <v>-1.0878535014897484</v>
      </c>
    </row>
    <row r="8" spans="1:270" ht="12.95">
      <c r="A8" s="2">
        <f t="shared" si="0"/>
        <v>1</v>
      </c>
      <c r="B8" s="6">
        <f>IF(AND(Include_study?="Yes",Sufficient_data="Yes"),IF(Input!a_&lt;&gt;"",Input!a_,Input!n1_-Input!b_),"")</f>
        <v>47</v>
      </c>
      <c r="C8" s="6">
        <f>IF(AND(Include_study?="Yes",Sufficient_data="Yes"),IF(Input!b_&lt;&gt;"",Input!b_,Input!n1_-Input!a_),"")</f>
        <v>938</v>
      </c>
      <c r="D8" s="6">
        <f>IF(AND(Include_study?="Yes",Sufficient_data="Yes"),IF(Input!c_&lt;&gt;"",Input!c_,Input!n2_-Input!d_),"")</f>
        <v>45</v>
      </c>
      <c r="E8" s="6">
        <f>IF(AND(Include_study?="Yes",Sufficient_data="Yes"),IF(Input!d_&lt;&gt;"",Input!d_,Input!n2_-Input!c_),"")</f>
        <v>940</v>
      </c>
      <c r="F8" s="35" t="str">
        <f t="shared" si="1"/>
        <v>No</v>
      </c>
      <c r="H8" s="133"/>
      <c r="I8" s="128"/>
      <c r="J8" s="76">
        <f t="shared" si="2"/>
        <v>1.04667140488036</v>
      </c>
      <c r="K8" s="3">
        <f t="shared" si="3"/>
        <v>4.561503819756367E-2</v>
      </c>
      <c r="L8" s="3">
        <f t="shared" si="4"/>
        <v>0.21360886178986249</v>
      </c>
      <c r="M8" s="3">
        <f t="shared" si="5"/>
        <v>0.6884529622419121</v>
      </c>
      <c r="N8" s="35">
        <f t="shared" si="6"/>
        <v>1.5912794190422508</v>
      </c>
      <c r="P8" s="126"/>
      <c r="Q8" s="76">
        <f t="shared" si="7"/>
        <v>1.0466400018191393</v>
      </c>
      <c r="R8" s="3">
        <f t="shared" si="8"/>
        <v>0.21350652205157356</v>
      </c>
      <c r="S8" s="3">
        <f t="shared" si="9"/>
        <v>0.68857049284557104</v>
      </c>
      <c r="T8" s="35">
        <f t="shared" si="10"/>
        <v>1.5909123390996815</v>
      </c>
      <c r="V8" s="126"/>
      <c r="W8" s="76">
        <f t="shared" si="11"/>
        <v>2.0304568527918787E-3</v>
      </c>
      <c r="X8" s="3">
        <f t="shared" si="12"/>
        <v>9.5075219501481421E-3</v>
      </c>
      <c r="Y8" s="3">
        <f t="shared" si="13"/>
        <v>-1.6615411263269163E-2</v>
      </c>
      <c r="Z8" s="35">
        <f t="shared" si="14"/>
        <v>2.0676324968852921E-2</v>
      </c>
      <c r="AB8" s="126"/>
      <c r="AC8" s="76">
        <f t="shared" si="15"/>
        <v>1.0444444444444445</v>
      </c>
      <c r="AD8" s="3">
        <f t="shared" si="16"/>
        <v>4.3485111939738891E-2</v>
      </c>
      <c r="AE8" s="3">
        <f t="shared" si="17"/>
        <v>0.20363781847709722</v>
      </c>
      <c r="AF8" s="3">
        <f t="shared" si="18"/>
        <v>0.700554372808742</v>
      </c>
      <c r="AG8" s="35">
        <f t="shared" si="19"/>
        <v>1.5571442273027971</v>
      </c>
      <c r="AI8" s="133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8" s="6">
        <f>IF(AJ8&lt;&gt;"",IF(AJ8=0,COUNTIF(AJ$2:AJ7,0)+1,COUNTIF(AJ$2:AJ7,AJ8)+AJ8+COUNTIF(AJ:AJ,0)),"")</f>
        <v>6</v>
      </c>
      <c r="AL8" s="6">
        <f t="shared" si="20"/>
        <v>1</v>
      </c>
      <c r="AM8" s="3" t="str">
        <f>IF(AND(Include_study?="Yes",Sufficient_data="Yes",Input!Study_name&lt;&gt;""),Input!Study_name,"")</f>
        <v xml:space="preserve">Quan et al. </v>
      </c>
      <c r="AN8" s="6">
        <f t="shared" si="21"/>
        <v>1970</v>
      </c>
      <c r="AO8" s="3">
        <f t="shared" si="22"/>
        <v>1.04667140488036</v>
      </c>
      <c r="AP8" s="3">
        <f t="shared" si="23"/>
        <v>21.916008903962037</v>
      </c>
      <c r="AQ8" s="3">
        <f t="shared" si="24"/>
        <v>21.916008903962037</v>
      </c>
      <c r="AR8" s="3">
        <f t="shared" si="25"/>
        <v>0.21360886178986249</v>
      </c>
      <c r="AS8" s="3">
        <f t="shared" si="26"/>
        <v>0.6884529622419121</v>
      </c>
      <c r="AT8" s="3">
        <f t="shared" si="27"/>
        <v>1.5912794190422508</v>
      </c>
      <c r="AU8" s="80">
        <f t="shared" si="28"/>
        <v>0.1247448042216099</v>
      </c>
      <c r="AW8" s="44">
        <f t="shared" si="29"/>
        <v>1.04667140488036</v>
      </c>
      <c r="AX8" s="3">
        <f t="shared" si="30"/>
        <v>0.35821844263844793</v>
      </c>
      <c r="AY8" s="35">
        <f t="shared" si="31"/>
        <v>0.54460801416189075</v>
      </c>
      <c r="BA8" s="2" t="s">
        <v>303</v>
      </c>
      <c r="BB8" s="9">
        <f>IF(BB2&lt;&gt;"",MAX(Weight_lookup),"")</f>
        <v>0.20061012435866152</v>
      </c>
      <c r="BD8" s="133"/>
      <c r="BE8" s="128"/>
      <c r="BF8" s="3">
        <f t="shared" si="32"/>
        <v>4.561503819756367E-2</v>
      </c>
      <c r="BG8" s="3">
        <f t="shared" si="33"/>
        <v>0.21360886178986249</v>
      </c>
      <c r="BH8" s="3">
        <f t="shared" si="34"/>
        <v>21.916008903962037</v>
      </c>
      <c r="BI8" s="3">
        <f t="shared" si="99"/>
        <v>21.916008903962037</v>
      </c>
      <c r="BJ8" s="35">
        <f t="shared" si="35"/>
        <v>-4.0143711488846726E-2</v>
      </c>
      <c r="BO8" s="126"/>
      <c r="BP8" s="3">
        <f t="shared" si="36"/>
        <v>22.426395939086294</v>
      </c>
      <c r="BQ8" s="3">
        <f t="shared" si="37"/>
        <v>21.426395939086294</v>
      </c>
      <c r="BR8" s="3">
        <f t="shared" si="38"/>
        <v>11.235965884202118</v>
      </c>
      <c r="BS8" s="3">
        <f>IF(AND(Sufficient_data="Yes",Include_study?="Yes"),IF(Add_0_5="Yes",(a_+d_+1)*(ab_+0.5)*(c_+0.5)/(Number_of_subjects+2)^2,(a_+d_)*b_*c_/Number_of_subjects^2),"")</f>
        <v>10.734950655775721</v>
      </c>
      <c r="BT8" s="3">
        <f t="shared" si="39"/>
        <v>11.190430054884176</v>
      </c>
      <c r="BU8" s="3">
        <f t="shared" si="40"/>
        <v>10.691445283310573</v>
      </c>
      <c r="BV8" s="3">
        <f t="shared" si="41"/>
        <v>21.426395939086294</v>
      </c>
      <c r="BW8" s="3">
        <f t="shared" si="42"/>
        <v>3.600527820311962E-2</v>
      </c>
      <c r="BX8" s="3">
        <f t="shared" si="43"/>
        <v>21.916008903962037</v>
      </c>
      <c r="BY8" s="35">
        <f t="shared" si="44"/>
        <v>-4.0143711488846656E-2</v>
      </c>
      <c r="CA8" s="3" t="s">
        <v>304</v>
      </c>
      <c r="CB8" s="3">
        <f>lnCES_OddsRatio_MH+ABS(TINV((1-Confidence_level),k_-1))*SQRT(T2_MH+SElnCES_MH^2)</f>
        <v>0.21718094475105953</v>
      </c>
      <c r="CD8" s="126"/>
      <c r="CE8" s="76">
        <f t="shared" si="45"/>
        <v>46</v>
      </c>
      <c r="CF8" s="3">
        <f t="shared" si="46"/>
        <v>21.937023869984763</v>
      </c>
      <c r="CG8" s="3">
        <f t="shared" si="47"/>
        <v>4.5585034958559062E-2</v>
      </c>
      <c r="CH8" s="3">
        <f t="shared" si="48"/>
        <v>4.5585034958559062E-2</v>
      </c>
      <c r="CI8" s="3">
        <f t="shared" si="49"/>
        <v>21.937023869984763</v>
      </c>
      <c r="CJ8" s="3">
        <f t="shared" si="50"/>
        <v>21.937023869984763</v>
      </c>
      <c r="CK8" s="35">
        <f t="shared" si="51"/>
        <v>-4.048763589791865E-2</v>
      </c>
      <c r="CM8" s="3" t="s">
        <v>304</v>
      </c>
      <c r="CN8" s="3">
        <f>lnCES_PetoOddsRatio+ABS(TINV((1-Confidence_level),k_-1))*SQRT(T2_Peto+SElnCES_Peto^2)</f>
        <v>0.21721144739499176</v>
      </c>
      <c r="CP8" s="126"/>
      <c r="CQ8" s="52">
        <f t="shared" si="52"/>
        <v>4.5685279187817257E-2</v>
      </c>
      <c r="CX8" s="133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305</v>
      </c>
      <c r="FP8" s="6">
        <f>COUNTIFS(Include_study?,"Yes",Sufficient_data,"Yes",Moderator,"&lt;&gt;")</f>
        <v>0</v>
      </c>
      <c r="FR8" s="133"/>
      <c r="FS8" s="128"/>
      <c r="FT8" s="76">
        <f>IF(AND(Include_study?="Yes",Sufficient_data="Yes"),IF(Additional_weighting_method="Inverse Variance",1/'Publication Bias Analysis'!F:F^2,IF(Additional_weighting_method="Mantel-Haenszel",Weightf_MH,Weightf_Peto)),"")</f>
        <v>21.916008903962037</v>
      </c>
      <c r="FU8" s="3">
        <f>IF(AND(Include_study?="Yes",Sufficient_data="Yes"),1/('Publication Bias Analysis'!F:F^2+IF(Additional_model="Fixed effect",0,Calculations!GH$12)),"")</f>
        <v>21.916008903962037</v>
      </c>
      <c r="FV8" s="3">
        <f>IF(AND(Include_study?="Yes",Sufficient_data="Yes"),1/('Publication Bias Analysis'!F:F^2+IF(Additional_model="Fixed effect",0,'Publication Bias Analysis'!L$32)),"")</f>
        <v>21.916008903962037</v>
      </c>
      <c r="FW8" s="3">
        <f>IF(AND(Include_study?="Yes",Sufficient_data="Yes"),'Publication Bias Analysis'!E:E-'Publication Bias Analysis'!I$37,"")</f>
        <v>-4.0143711488846726E-2</v>
      </c>
      <c r="FX8" s="3">
        <f>IF(AND(Include_study?="Yes",Sufficient_data="Yes"),IF(Additional_model="Fixed effect",1/'Publication Bias Analysis'!F:F,1/SQRT('Publication Bias Analysis'!F:F^2+GH$12)),"")</f>
        <v>4.6814537169518227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0.21354469011888383</v>
      </c>
      <c r="FZ8" s="6">
        <f t="shared" si="80"/>
        <v>-2</v>
      </c>
      <c r="GA8" s="83">
        <f>IF(AND(Include_study?="Yes",Sufficient_data="Yes"),FZ:FZ+IF(GL:GL&lt;0,-1,1)*COUNTIF(FZ$2:FZ7,FZ:FZ),"")</f>
        <v>-2</v>
      </c>
      <c r="GB8" s="83">
        <f>IF(AND(Include_study?="Yes",Sufficient_data="Yes"),RANK(GP:GP,GP:GP,1)*IF(GO:GO&lt;0,-1,1)+IF(GO:GO&lt;0,-1,1)*COUNTIF(FZ$2:FZ7,FZ:FZ),"")</f>
        <v>-2</v>
      </c>
      <c r="GC8" s="83">
        <f>IF(AND(Include_study?="Yes",Sufficient_data="Yes"),RANK(GS:GS,GS:GS,1)*IF(GR:GR&lt;0,-1,1)+IF(GR:GR&lt;0,-1,1)*COUNTIF(FZ$2:FZ7,FZ:FZ),"")</f>
        <v>-2</v>
      </c>
      <c r="GD8" s="3">
        <f>IF(AND(Include_study?="Yes",Sufficient_data="Yes"),'Publication Bias Analysis'!E8,NA())</f>
        <v>4.561503819756367E-2</v>
      </c>
      <c r="GE8" s="35">
        <f>IF(AND(Include_study?="Yes",Sufficient_data="Yes"),'Publication Bias Analysis'!F8,NA())</f>
        <v>0.21360886178986249</v>
      </c>
      <c r="GG8" s="2" t="s">
        <v>249</v>
      </c>
      <c r="GH8" s="3">
        <f>IF(Trim_and_fill="Off",'Publication Bias Analysis'!I29,'Publication Bias Analysis'!I37)</f>
        <v>8.5758749686410396E-2</v>
      </c>
      <c r="GI8" s="3">
        <f>IF(Trim_and_fill="Off",GH17,GH22)</f>
        <v>0.25633063414783497</v>
      </c>
      <c r="GK8" s="126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-4.0143711488846726E-2</v>
      </c>
      <c r="GM8" s="3">
        <f t="shared" si="81"/>
        <v>4.0143711488846726E-2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21.916008903962037</v>
      </c>
      <c r="GO8" s="3">
        <f>IF(AND(Include_study?="Yes",Sufficient_data="Yes"),IF('Publication Bias Analysis'!L$38="Left",'Publication Bias Analysis'!E:E-GW$3,GW$3-'Publication Bias Analysis'!E:E),"")</f>
        <v>-4.0143711488846726E-2</v>
      </c>
      <c r="GP8" s="3">
        <f t="shared" si="82"/>
        <v>4.0143711488846726E-2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21.916008903962037</v>
      </c>
      <c r="GR8" s="3">
        <f>IF(AND(Include_study?="Yes",Sufficient_data="Yes"),IF('Publication Bias Analysis'!L$38="Left",'Publication Bias Analysis'!E:E-GW$10,GW$10-'Publication Bias Analysis'!E:E),"")</f>
        <v>-4.0143711488846726E-2</v>
      </c>
      <c r="GS8" s="3">
        <f t="shared" si="83"/>
        <v>4.0143711488846726E-2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21.916008903962037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6"/>
      <c r="HL8" s="3">
        <f t="shared" si="89"/>
        <v>-0.71400898641575949</v>
      </c>
      <c r="HM8" s="35">
        <f>IF(AND(Include_study?="Yes",Sufficient_data="Yes"),Z_score-('Publication Bias Analysis'!P$3+'Publication Bias Analysis'!P$4*Inverse_standard_error),"")</f>
        <v>-0.71489895417621718</v>
      </c>
      <c r="HO8" s="126"/>
      <c r="HP8" s="3">
        <f>IF(AND(Include_study?="Yes",Sufficient_data="Yes"),(GD:GD-SUMPRODUCT(Calculations!FT:FT,'Publication Bias Analysis'!E:E)/SUM(Calculations!FT:FT))/SQRT(Calculations!HQ:HQ),"")</f>
        <v>-0.20087732112912668</v>
      </c>
      <c r="HQ8" s="3">
        <f>IF(AND(Include_study?="Yes",Sufficient_data="Yes"),GE:GE^2-1/SUM(Calculations!FT:FT),"")</f>
        <v>3.9936796869075877E-2</v>
      </c>
      <c r="HR8" s="6">
        <f t="shared" si="90"/>
        <v>4</v>
      </c>
      <c r="HS8" s="6">
        <f t="shared" si="91"/>
        <v>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2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3</v>
      </c>
      <c r="HW8" s="126"/>
      <c r="HX8" s="20">
        <v>7</v>
      </c>
      <c r="HY8" s="3">
        <f t="shared" si="123"/>
        <v>0.44999999999999996</v>
      </c>
      <c r="HZ8" s="35">
        <f>HZ7+HY14</f>
        <v>0.75</v>
      </c>
      <c r="IB8" s="126"/>
      <c r="IC8" s="76">
        <f t="shared" si="92"/>
        <v>4.7715736040609136E-2</v>
      </c>
      <c r="ID8" s="3">
        <f t="shared" si="93"/>
        <v>4.5685279187817257E-2</v>
      </c>
      <c r="IE8" s="3">
        <f t="shared" si="94"/>
        <v>24.114770228035653</v>
      </c>
      <c r="IF8" s="35">
        <f t="shared" si="95"/>
        <v>21.916008903962037</v>
      </c>
      <c r="IK8" s="126"/>
      <c r="IL8" s="3">
        <f>IF(AND(Include_study?="Yes",Sufficient_data="Yes"),'Publication Bias Analysis'!AV:AV,NA())</f>
        <v>0.21354469011888383</v>
      </c>
      <c r="IM8" s="3">
        <f>IF(AND(Sufficient_data="Yes",Include_study?="Yes"),'Publication Bias Analysis'!AU:AU,NA())</f>
        <v>4.6814537169518227</v>
      </c>
      <c r="IN8" s="3">
        <f t="shared" si="96"/>
        <v>-0.71400898641575949</v>
      </c>
      <c r="IO8" s="35">
        <f>IF(AND(Include_study?="Yes",Sufficient_data="Yes"),Z_score-('Publication Bias Analysis'!AY$30+'Publication Bias Analysis'!AY$31*Inverse_standard_error),"")</f>
        <v>-0.18793092736170308</v>
      </c>
      <c r="IQ8" s="24" t="s">
        <v>249</v>
      </c>
      <c r="IR8" s="2" t="s">
        <v>245</v>
      </c>
      <c r="IS8" s="2" t="s">
        <v>246</v>
      </c>
      <c r="IU8" s="126"/>
      <c r="IV8" s="6">
        <f>IF('Publication Bias Analysis'!BG:BG&lt;&gt;"",RANK('Publication Bias Analysis'!BG:BG,'Publication Bias Analysis'!BG:BG,1)+COUNTIF('Publication Bias Analysis'!BG$2:BG7,'Publication Bias Analysis'!BG8),"")</f>
        <v>2</v>
      </c>
      <c r="IW8" s="3">
        <f t="shared" si="97"/>
        <v>0.26315789473684215</v>
      </c>
      <c r="IX8" s="3">
        <f>IF('Publication Bias Analysis'!BF8&lt;&gt;"",'Publication Bias Analysis'!BF8,NA())</f>
        <v>-0.63364000077970106</v>
      </c>
      <c r="IY8" s="3">
        <f>IF('Publication Bias Analysis'!BG8&lt;&gt;"",'Publication Bias Analysis'!BG8,NA())</f>
        <v>0.21354469011888383</v>
      </c>
      <c r="IZ8" s="3">
        <f>IF(AND(Include_study?="Yes",Sufficient_data="Yes"),'Publication Bias Analysis'!BF:BF-AVERAGE('Publication Bias Analysis'!BF:BF),"")</f>
        <v>-0.63364000077970106</v>
      </c>
      <c r="JA8" s="35">
        <f>IF(AND(Include_study?="Yes",Sufficient_data="Yes"),'Publication Bias Analysis'!BG:BG-('Publication Bias Analysis'!BJ$30+'Publication Bias Analysis'!BJ$31*'Publication Bias Analysis'!BF:BF),"")</f>
        <v>0.18275013137662399</v>
      </c>
      <c r="JG8" s="126"/>
      <c r="JH8" s="3">
        <f t="shared" si="98"/>
        <v>0.21354469011888383</v>
      </c>
      <c r="JI8" s="10">
        <f t="shared" si="124"/>
        <v>0.41545106760642514</v>
      </c>
      <c r="JJ8" s="35">
        <f t="shared" si="125"/>
        <v>-0.87839043911533154</v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3"/>
      <c r="I9" s="128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6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6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6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3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3"/>
      <c r="BE9" s="128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1.0895434438984208</v>
      </c>
      <c r="BO9" s="126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6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6"/>
      <c r="CQ9" s="52" t="str">
        <f t="shared" si="52"/>
        <v/>
      </c>
      <c r="CS9" s="112" t="s">
        <v>152</v>
      </c>
      <c r="CT9" s="112"/>
      <c r="CU9" s="112"/>
      <c r="CV9" s="112"/>
      <c r="CX9" s="133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3"/>
      <c r="FS9" s="128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6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2" t="s">
        <v>105</v>
      </c>
      <c r="GW9" s="11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6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6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6"/>
      <c r="HX9" s="20">
        <v>8</v>
      </c>
      <c r="HY9" s="3">
        <f t="shared" si="123"/>
        <v>0.75</v>
      </c>
      <c r="HZ9" s="35">
        <f>HZ8+HY14</f>
        <v>1.05</v>
      </c>
      <c r="IB9" s="126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6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101</v>
      </c>
      <c r="IR9" s="3">
        <v>0</v>
      </c>
      <c r="IS9" s="3">
        <f>ABS(TINV((1-Additional_confidence_level),k_-1))</f>
        <v>2.570581835636315</v>
      </c>
      <c r="IU9" s="126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6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3"/>
      <c r="I10" s="128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6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6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6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3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3"/>
      <c r="BE10" s="128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6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306</v>
      </c>
      <c r="CB10" s="3">
        <f>IF(Meta_analysis_model="Fixed effect model",SUMPRODUCT(Weightf_MH,OddsRatio)/SUM(Weightf_MH),EXP(SUMPRODUCT(Weight_MH,LogOddsRatio)/SUM(Weight_MH)))</f>
        <v>1.0895434438984208</v>
      </c>
      <c r="CD10" s="126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307</v>
      </c>
      <c r="CN10" s="3">
        <f>EXP(lnCES_PetoOddsRatio)</f>
        <v>1.0898855283421338</v>
      </c>
      <c r="CP10" s="126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33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308</v>
      </c>
      <c r="FP10" s="1"/>
      <c r="FR10" s="133"/>
      <c r="FS10" s="128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2" t="s">
        <v>59</v>
      </c>
      <c r="GH10" s="112"/>
      <c r="GK10" s="126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8.5758749686410396E-2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6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6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6"/>
      <c r="HX10" s="54">
        <v>9</v>
      </c>
      <c r="HY10" s="32">
        <f t="shared" si="123"/>
        <v>1.05</v>
      </c>
      <c r="HZ10" s="39"/>
      <c r="IB10" s="126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6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288</v>
      </c>
      <c r="IR10" s="3">
        <f>MAX(Inverse_standard_error)</f>
        <v>5.9367112306724064</v>
      </c>
      <c r="IS10" s="3">
        <f>IR10*'Publication Bias Analysis'!AY31+IS9</f>
        <v>3.0797067680280512</v>
      </c>
      <c r="IU10" s="126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6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3"/>
      <c r="I11" s="128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6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6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6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3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3"/>
      <c r="BE11" s="128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309</v>
      </c>
      <c r="BM11" s="3">
        <f>IF(Model_effect_size_measure="Risk Difference",CES_IV-ABS(TINV((1-Confidence_level),k_-1))*SECES_Risk_Difference,EXP(CIlnCES_LL))</f>
        <v>0.95536344007146456</v>
      </c>
      <c r="BO11" s="126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309</v>
      </c>
      <c r="CB11" s="3">
        <f>EXP(CIlnCES_LL_MH)</f>
        <v>0.95536344007146456</v>
      </c>
      <c r="CD11" s="126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309</v>
      </c>
      <c r="CN11" s="3">
        <f>EXP(CIlnCES_LL_Peto)</f>
        <v>0.95593428705632821</v>
      </c>
      <c r="CP11" s="126"/>
      <c r="CQ11" s="52" t="str">
        <f t="shared" si="52"/>
        <v/>
      </c>
      <c r="CS11" s="2" t="s">
        <v>283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1.0850232431676656</v>
      </c>
      <c r="CU11" s="3">
        <f>IF(Model_effect_size_measure="Odds Ratio",CES_OddsRatio_MH/(1-MEDIAN(Control_group_risk)+(MEDIAN(Control_group_risk)*CES_OddsRatio_MH)),NA())</f>
        <v>1.0850232431676656</v>
      </c>
      <c r="CV11" s="3" t="e">
        <f>IF(Model_effect_size_measure="Peto Odds Ratio",CES_PetoOddsRatio/(1-MEDIAN(Control_group_risk)+(MEDIAN(Control_group_risk)*CES_PetoOddsRatio)),NA())</f>
        <v>#N/A</v>
      </c>
      <c r="CX11" s="133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198</v>
      </c>
      <c r="EY11" s="3" t="e">
        <f>IF(Subgroup_valid_options="Yes",IF(Subgroup_effect_size_measure="Risk Difference",EY9-ABS(TINV((1-Subgroup_confidence_level),Subgroup_k-1))*EY10,EXP(EY4)),"")</f>
        <v>#DIV/0!</v>
      </c>
      <c r="FA11" s="13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245</v>
      </c>
      <c r="FP11" s="2" t="s">
        <v>246</v>
      </c>
      <c r="FR11" s="133"/>
      <c r="FS11" s="128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2.2960617902336464</v>
      </c>
      <c r="GK11" s="126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2" t="s">
        <v>59</v>
      </c>
      <c r="GW11" s="11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6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6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6"/>
      <c r="IB11" s="126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6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6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6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.1">
      <c r="A12" s="2">
        <f t="shared" si="0"/>
        <v>0</v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3"/>
      <c r="I12" s="128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6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6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6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3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>
        <f t="shared" si="20"/>
        <v>0</v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3"/>
      <c r="BE12" s="128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310</v>
      </c>
      <c r="BM12" s="3">
        <f>IF(Model_effect_size_measure="Risk Difference",CES_IV+ABS(TINV((1-Confidence_level),k_-1))*SECES_Risk_Difference,EXP(CIlnCES_UL))</f>
        <v>1.2425689181210784</v>
      </c>
      <c r="BO12" s="126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310</v>
      </c>
      <c r="CB12" s="3">
        <f>EXP(CIlnCES_UL_MH)</f>
        <v>1.2425689181210784</v>
      </c>
      <c r="CD12" s="126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310</v>
      </c>
      <c r="CN12" s="3">
        <f>EXP(CIlnCES_UL_Peto)</f>
        <v>1.2426068203364049</v>
      </c>
      <c r="CP12" s="126"/>
      <c r="CQ12" s="52" t="str">
        <f t="shared" si="52"/>
        <v/>
      </c>
      <c r="CS12" s="2" t="s">
        <v>97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0.95735158052105118</v>
      </c>
      <c r="CU12" s="3">
        <f>IF(Model_effect_size_measure="Odds Ratio",CICES_LL_MH/(1-MEDIAN(Control_group_risk)+(MEDIAN(Control_group_risk)*CICES_LL_MH)),"")</f>
        <v>0.95735158052105118</v>
      </c>
      <c r="CV12" s="3" t="str">
        <f>IF(Model_effect_size_measure="Peto Odds Ratio",CICES_LL_Peto/(1-MEDIAN(Control_group_risk)+(MEDIAN(Control_group_risk)*CICES_LL_Peto)),"")</f>
        <v/>
      </c>
      <c r="CX12" s="13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199</v>
      </c>
      <c r="EY12" s="3" t="e">
        <f>IF(Subgroup_valid_options="Yes",IF(Subgroup_effect_size_measure="Risk Difference",EY9+ABS(TINV((1-Subgroup_confidence_level),Subgroup_k-1))*EY10,EXP(EY5)),"")</f>
        <v>#DIV/0!</v>
      </c>
      <c r="FA12" s="13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3"/>
      <c r="FS12" s="128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148</v>
      </c>
      <c r="GH12" s="3">
        <f>MAX(0,(GH11-(k_-1))/((SUM(Calculations!FT:FT))-SUMPRODUCT(Calculations!FT:FT,Calculations!FT:FT)/SUM(Calculations!FT:FT)))</f>
        <v>0</v>
      </c>
      <c r="GK12" s="126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2.2960617902336464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6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6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6"/>
      <c r="HX12" s="124" t="s">
        <v>311</v>
      </c>
      <c r="HY12" s="112"/>
      <c r="IB12" s="126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6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6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6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.1">
      <c r="A13" s="2">
        <f t="shared" si="0"/>
        <v>0</v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3"/>
      <c r="I13" s="128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6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6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6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3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>
        <f t="shared" si="20"/>
        <v>0</v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3"/>
      <c r="BE13" s="128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312</v>
      </c>
      <c r="BM13" s="3">
        <f>IF(Model_effect_size_measure="Risk Difference",CES_IV-ABS(TINV((1-Confidence_level),k_-1))*SQRT(T2_+SECES_Risk_Difference^2),EXP(PIlnCES_LL))</f>
        <v>0.95536344007146456</v>
      </c>
      <c r="BO13" s="126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312</v>
      </c>
      <c r="CB13" s="3">
        <f>EXP(PIlnCES_LL_MH)</f>
        <v>0.95536344007146456</v>
      </c>
      <c r="CD13" s="126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312</v>
      </c>
      <c r="CN13" s="3">
        <f>EXP(PIlnCES_LL_Peto)</f>
        <v>0.95593428705632821</v>
      </c>
      <c r="CP13" s="126"/>
      <c r="CQ13" s="52" t="str">
        <f t="shared" si="52"/>
        <v/>
      </c>
      <c r="CS13" s="2" t="s">
        <v>98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1.228702421464714</v>
      </c>
      <c r="CU13" s="3">
        <f>IF(Model_effect_size_measure="Odds Ratio",CICES_UL_MH/(1-MEDIAN(Control_group_risk)+(MEDIAN(Control_group_risk)*CICES_UL_MH)),"")</f>
        <v>1.228702421464714</v>
      </c>
      <c r="CV13" s="3" t="str">
        <f>IF(Model_effect_size_measure="Peto Odds Ratio",CICES_UL_Peto/(1-MEDIAN(Control_group_risk)+(MEDIAN(Control_group_risk)*CICES_UL_Peto)),"")</f>
        <v/>
      </c>
      <c r="CX13" s="13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313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3"/>
      <c r="FS13" s="128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6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148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6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6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6"/>
      <c r="HX13" s="2" t="s">
        <v>314</v>
      </c>
      <c r="HY13" s="3">
        <f>MAX(MAX(Standardized_residual),ABS(MIN(Standardized_residual)))</f>
        <v>1.2117446395940075</v>
      </c>
      <c r="IB13" s="126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6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6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6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3"/>
      <c r="I14" s="128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6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6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6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3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3"/>
      <c r="BE14" s="128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315</v>
      </c>
      <c r="BM14" s="3">
        <f>IF(Model_effect_size_measure="Risk Difference",CES_IV+ABS(TINV((1-Confidence_level),k_-1))*SQRT(T2_+SECES_Risk_Difference^2),EXP(PIlnCES_UL))</f>
        <v>1.2425689181210784</v>
      </c>
      <c r="BO14" s="126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315</v>
      </c>
      <c r="CB14" s="3">
        <f>EXP(PIlnCES_UL_MH)</f>
        <v>1.2425689181210784</v>
      </c>
      <c r="CD14" s="126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315</v>
      </c>
      <c r="CN14" s="3">
        <f>EXP(PIlnCES_UL_Peto)</f>
        <v>1.2426068203364049</v>
      </c>
      <c r="CP14" s="126"/>
      <c r="CQ14" s="52" t="str">
        <f t="shared" si="52"/>
        <v/>
      </c>
      <c r="CS14" s="2" t="s">
        <v>296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0.95735158052105118</v>
      </c>
      <c r="CU14" s="3">
        <f>IF(Model_effect_size_measure="Odds Ratio",PICES_LL_MH/(1-MEDIAN(Control_group_risk)+(MEDIAN(Control_group_risk)*PICES_LL_MH)),"")</f>
        <v>0.95735158052105118</v>
      </c>
      <c r="CV14" s="3" t="str">
        <f>IF(Model_effect_size_measure="Peto Odds Ratio",PICES_LL_Peto/(1-MEDIAN(Control_group_risk)+(MEDIAN(Control_group_risk)*PICES_LL_Peto)),"")</f>
        <v/>
      </c>
      <c r="CX14" s="13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316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3"/>
      <c r="FS14" s="128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2" t="s">
        <v>317</v>
      </c>
      <c r="GH14" s="112"/>
      <c r="GK14" s="126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302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6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6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6"/>
      <c r="HX14" s="2" t="s">
        <v>311</v>
      </c>
      <c r="HY14" s="21">
        <f>ROUND(HY13/4,1)</f>
        <v>0.3</v>
      </c>
      <c r="IB14" s="126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6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6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6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3"/>
      <c r="I15" s="128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3"/>
      <c r="BE15" s="128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6"/>
      <c r="CQ15" s="52" t="str">
        <f t="shared" si="52"/>
        <v/>
      </c>
      <c r="CS15" s="2" t="s">
        <v>301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1.228702421464714</v>
      </c>
      <c r="CU15" s="3">
        <f>IF(Model_effect_size_measure="Odds Ratio",PICES_UL_MH/(1-MEDIAN(Control_group_risk)+(MEDIAN(Control_group_risk)*PICES_UL_MH)),"")</f>
        <v>1.228702421464714</v>
      </c>
      <c r="CV15" s="3" t="str">
        <f>IF(Model_effect_size_measure="Peto Odds Ratio",PICES_UL_Peto/(1-MEDIAN(Control_group_risk)+(MEDIAN(Control_group_risk)*PICES_UL_Peto)),"")</f>
        <v/>
      </c>
      <c r="CX15" s="13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3"/>
      <c r="FS15" s="128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318</v>
      </c>
      <c r="GH15" s="3">
        <f>IF(Additional_valid_options="Yes",'Publication Bias Analysis'!I29-'Publication Bias Analysis'!I31,NA())</f>
        <v>0.19393756262202361</v>
      </c>
      <c r="GK15" s="12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6"/>
      <c r="IB15" s="12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3"/>
      <c r="I16" s="128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3"/>
      <c r="BE16" s="128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1.6774174566352691</v>
      </c>
      <c r="BO16" s="12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1.6774174566352678</v>
      </c>
      <c r="CD16" s="12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1.6871961908488911</v>
      </c>
      <c r="CP16" s="126"/>
      <c r="CQ16" s="52" t="str">
        <f t="shared" si="52"/>
        <v/>
      </c>
      <c r="CX16" s="13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2" t="s">
        <v>319</v>
      </c>
      <c r="EY16" s="112"/>
      <c r="FA16" s="13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3"/>
      <c r="FS16" s="128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320</v>
      </c>
      <c r="GH16" s="3">
        <f>IF(Additional_valid_options="Yes",'Publication Bias Analysis'!I29-'Publication Bias Analysis'!I33,NA())</f>
        <v>0.19393756262202361</v>
      </c>
      <c r="GK16" s="12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2" t="s">
        <v>105</v>
      </c>
      <c r="GW16" s="11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6"/>
      <c r="IB16" s="12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3"/>
      <c r="I17" s="128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3"/>
      <c r="BE17" s="128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6"/>
      <c r="CQ17" s="52" t="str">
        <f t="shared" si="52"/>
        <v/>
      </c>
      <c r="CS17" s="112" t="s">
        <v>171</v>
      </c>
      <c r="CT17" s="112"/>
      <c r="CU17" s="112"/>
      <c r="CV17" s="112"/>
      <c r="CX17" s="13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1.0502737959270161</v>
      </c>
      <c r="FA17" s="13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3"/>
      <c r="FS17" s="128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321</v>
      </c>
      <c r="GH17" s="3">
        <f>IF(Additional_valid_options="Yes",MAX('Publication Bias Analysis'!F:F)*1.1,NA())</f>
        <v>0.23496974796884876</v>
      </c>
      <c r="GK17" s="12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8.5758749686410396E-2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6"/>
      <c r="IB17" s="12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3"/>
      <c r="I18" s="128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3"/>
      <c r="BE18" s="128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2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2" t="s">
        <v>59</v>
      </c>
      <c r="CB18" s="112"/>
      <c r="CD18" s="12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26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3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>
        <f>CHIDIST(EY17,Subgroup_k-1)</f>
        <v>0.78908966925393165</v>
      </c>
      <c r="FA18" s="13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3"/>
      <c r="FS18" s="128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2" t="s">
        <v>59</v>
      </c>
      <c r="GW18" s="11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6"/>
      <c r="IB18" s="12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3"/>
      <c r="I19" s="128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3"/>
      <c r="BE19" s="128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2.2960617902336464</v>
      </c>
      <c r="BO19" s="12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2.2960883331704918</v>
      </c>
      <c r="CD19" s="12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2.2979876971446096</v>
      </c>
      <c r="CP19" s="126"/>
      <c r="CQ19" s="52" t="str">
        <f t="shared" si="52"/>
        <v/>
      </c>
      <c r="CS19" s="2" t="s">
        <v>283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3.9556927631200986E-3</v>
      </c>
      <c r="CU19" s="3">
        <f>IF(Model_effect_size_measure="Odds Ratio",CU11*MEDIAN(Control_group_risk)-MEDIAN(Control_group_risk),NA())</f>
        <v>3.9556927631200986E-3</v>
      </c>
      <c r="CV19" s="3" t="e">
        <f>IF(Model_effect_size_measure="Peto Odds Ratio",CV11*MEDIAN(Control_group_risk)-MEDIAN(Control_group_risk),NA())</f>
        <v>#N/A</v>
      </c>
      <c r="CX19" s="13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>
        <f>MAX(0,(EY17-(Subgroup_k-1))/EY17)</f>
        <v>0</v>
      </c>
      <c r="FA19" s="13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3"/>
      <c r="FS19" s="128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2" t="s">
        <v>322</v>
      </c>
      <c r="GH19" s="112"/>
      <c r="GK19" s="12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2.2960617902336464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6"/>
      <c r="IB19" s="12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3"/>
      <c r="I20" s="128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3"/>
      <c r="BE20" s="128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148</v>
      </c>
      <c r="BM20" s="3">
        <f>MAX((Q_-(k_-1))/(SUM(Weightf)-SUMPRODUCT(Weightf,Weightf)/SUM(Weightf)),0)</f>
        <v>0</v>
      </c>
      <c r="BO20" s="12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148</v>
      </c>
      <c r="CB20" s="3">
        <f>MAX((Q_MH-(k_-1))/(SUM(Weightf_MH)-SUMPRODUCT(Weightf_MH,Weightf_MH)/SUM(Weightf_MH)),0)</f>
        <v>0</v>
      </c>
      <c r="CD20" s="12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148</v>
      </c>
      <c r="CN20" s="3">
        <f>MAX((Q_Peto-(k_-1))/(SUM(Weightf_Peto)-SUMPRODUCT(Weightf_Peto,Weightf_Peto)/SUM(Weightf_Peto)),0)</f>
        <v>0</v>
      </c>
      <c r="CP20" s="126"/>
      <c r="CQ20" s="52" t="str">
        <f t="shared" si="52"/>
        <v/>
      </c>
      <c r="CS20" s="2" t="s">
        <v>323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2.358204123530955E-3</v>
      </c>
      <c r="CU20" s="3">
        <f>IF(Model_effect_size_measure="Odds Ratio",CU19/Z_value_MH,"")</f>
        <v>2.3582041235309568E-3</v>
      </c>
      <c r="CV20" s="3" t="str">
        <f>IF(Model_effect_size_measure="Peto Odds Ratio",CV19/Z_value_Peto,"")</f>
        <v/>
      </c>
      <c r="CX20" s="13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148</v>
      </c>
      <c r="EY20" s="3">
        <f>MAX(0,(EY17-(Subgroup_k-1))/(SUM(Subgroup_weightf)-(SUMPRODUCT(Subgroup_weightf,Subgroup_weightf)/SUM(Subgroup_weightf))))</f>
        <v>0</v>
      </c>
      <c r="FA20" s="13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3"/>
      <c r="FS20" s="128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324</v>
      </c>
      <c r="GH20" s="3">
        <f>IF(AND(Trim_and_fill="On",Additional_valid_options="Yes"),'Publication Bias Analysis'!I37-'Publication Bias Analysis'!I39,NA())</f>
        <v>0.19393756262202361</v>
      </c>
      <c r="GK20" s="12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148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6"/>
      <c r="IB20" s="12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3"/>
      <c r="I21" s="128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3"/>
      <c r="BE21" s="128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6"/>
      <c r="CQ21" s="52" t="str">
        <f t="shared" si="52"/>
        <v/>
      </c>
      <c r="CS21" s="2" t="s">
        <v>97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-2.1062639215512309E-3</v>
      </c>
      <c r="CU21" s="3">
        <f>IF(Model_effect_size_measure="Odds Ratio",CU19-CU20*ABS(TINV((1-Confidence_level),k_-1)),"")</f>
        <v>-2.1062639215512361E-3</v>
      </c>
      <c r="CV21" s="3" t="str">
        <f>IF(Model_effect_size_measure="Peto Odds Ratio",CV19-CV20*ABS(TINV((1-Confidence_level),k_-1)),"")</f>
        <v/>
      </c>
      <c r="CX21" s="13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>
        <f>SQRT(EY20)</f>
        <v>0</v>
      </c>
      <c r="FA21" s="13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3"/>
      <c r="FS21" s="128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325</v>
      </c>
      <c r="GH21" s="3">
        <f>IF(AND(Trim_and_fill="On",Additional_valid_options="Yes"),'Publication Bias Analysis'!I37-'Publication Bias Analysis'!I41,NA())</f>
        <v>0.19393756262202361</v>
      </c>
      <c r="GK21" s="12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302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6"/>
      <c r="IB21" s="12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3"/>
      <c r="I22" s="128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3"/>
      <c r="BE22" s="128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6"/>
      <c r="CQ22" s="52" t="str">
        <f t="shared" si="52"/>
        <v/>
      </c>
      <c r="CS22" s="2" t="s">
        <v>98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1.0017649447791429E-2</v>
      </c>
      <c r="CU22" s="3">
        <f>IF(Model_effect_size_measure="Odds Ratio",CU19+CU20*ABS(TINV((1-Confidence_level),k_-1)),"")</f>
        <v>1.0017649447791432E-2</v>
      </c>
      <c r="CV22" s="3" t="str">
        <f>IF(Model_effect_size_measure="Peto Odds Ratio",CV19+CV20*ABS(TINV((1-Confidence_level),k_-1)),"")</f>
        <v/>
      </c>
      <c r="CX22" s="13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3"/>
      <c r="FS22" s="128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326</v>
      </c>
      <c r="GH22" s="3">
        <f>IF(AND(Trim_and_fill="On",Additional_valid_options="Yes"),MAX('Publication Bias Analysis'!F:F)*1.2,NA())</f>
        <v>0.25633063414783497</v>
      </c>
      <c r="GK22" s="12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6"/>
      <c r="IB22" s="12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3"/>
      <c r="I23" s="128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3"/>
      <c r="BE23" s="128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6"/>
      <c r="CQ23" s="52" t="str">
        <f t="shared" si="52"/>
        <v/>
      </c>
      <c r="CS23" s="2" t="s">
        <v>296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-2.1062639215512309E-3</v>
      </c>
      <c r="CU23" s="3">
        <f>IF(Model_effect_size_measure="Odds Ratio",CU19-((lnCES_OddsRatio_MH-PIlnCES_LL_MH)/SElnCES_MH)*CU20,"")</f>
        <v>-2.1062639215512361E-3</v>
      </c>
      <c r="CV23" s="3" t="str">
        <f>IF(Model_effect_size_measure="Peto Odds Ratio",CV19-((lnCES_PetoOddsRatio-PIlnCES_LL_Peto)/SElnCES_Peto)*CV20,"")</f>
        <v/>
      </c>
      <c r="CX23" s="13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2" t="s">
        <v>327</v>
      </c>
      <c r="EY23" s="112"/>
      <c r="FA23" s="13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3"/>
      <c r="FS23" s="128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6"/>
      <c r="IB23" s="12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3"/>
      <c r="I24" s="128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3"/>
      <c r="BE24" s="128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6"/>
      <c r="CQ24" s="52" t="str">
        <f t="shared" si="52"/>
        <v/>
      </c>
      <c r="CS24" s="2" t="s">
        <v>301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1.0017649447791429E-2</v>
      </c>
      <c r="CU24" s="3">
        <f>IF(Model_effect_size_measure="Odds Ratio",CU19+((lnCES_OddsRatio_MH-PIlnCES_LL_MH)/SElnCES_MH)*CU20,"")</f>
        <v>1.0017649447791432E-2</v>
      </c>
      <c r="CV24" s="3" t="str">
        <f>IF(Model_effect_size_measure="Peto Odds Ratio",CV19+((lnCES_PetoOddsRatio-PIlnCES_LL_Peto)/SElnCES_Peto)*CV20,"")</f>
        <v/>
      </c>
      <c r="CX24" s="13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264</v>
      </c>
      <c r="EY24" s="3" t="e">
        <f>EY9</f>
        <v>#DIV/0!</v>
      </c>
      <c r="FA24" s="13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3"/>
      <c r="FS24" s="128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6"/>
      <c r="IB24" s="12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3"/>
      <c r="I25" s="128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3"/>
      <c r="BE25" s="128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6"/>
      <c r="CQ25" s="52" t="str">
        <f t="shared" si="52"/>
        <v/>
      </c>
      <c r="CX25" s="13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281</v>
      </c>
      <c r="EY25" s="6">
        <f>IF(Subgroup_valid_options="Yes",MAX(DP:DP)+1,"")</f>
        <v>7</v>
      </c>
      <c r="FA25" s="13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3"/>
      <c r="FS25" s="128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6"/>
      <c r="IB25" s="12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3"/>
      <c r="I26" s="128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3"/>
      <c r="BE26" s="128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6"/>
      <c r="CQ26" s="52" t="str">
        <f t="shared" si="52"/>
        <v/>
      </c>
      <c r="CX26" s="13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328</v>
      </c>
      <c r="EY26" s="6">
        <f>IF(Subgroup_valid_options="Yes",MAX(DR:DR)+1,"")</f>
        <v>3</v>
      </c>
      <c r="FA26" s="13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3"/>
      <c r="FS26" s="128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6"/>
      <c r="IB26" s="12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3"/>
      <c r="I27" s="128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3"/>
      <c r="BE27" s="128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6"/>
      <c r="CQ27" s="52" t="str">
        <f t="shared" si="52"/>
        <v/>
      </c>
      <c r="CX27" s="13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286</v>
      </c>
      <c r="EY27" s="3" t="e">
        <f>IF(Subgroup_valid_options="Yes",EY9-EY11,"")</f>
        <v>#DIV/0!</v>
      </c>
      <c r="FA27" s="13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3"/>
      <c r="FS27" s="128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6"/>
      <c r="IB27" s="12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3"/>
      <c r="I28" s="128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3"/>
      <c r="BE28" s="128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6"/>
      <c r="CQ28" s="52" t="str">
        <f t="shared" si="52"/>
        <v/>
      </c>
      <c r="CX28" s="13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289</v>
      </c>
      <c r="EY28" s="3" t="e">
        <f>IF(Subgroup_valid_options="Yes",EY12-EY9,"")</f>
        <v>#DIV/0!</v>
      </c>
      <c r="FA28" s="13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3"/>
      <c r="FS28" s="128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6"/>
      <c r="IB28" s="12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3"/>
      <c r="I29" s="128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3"/>
      <c r="BE29" s="128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6"/>
      <c r="CQ29" s="52" t="str">
        <f t="shared" si="52"/>
        <v/>
      </c>
      <c r="CX29" s="13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294</v>
      </c>
      <c r="EY29" s="3" t="e">
        <f>IF(Subgroup_valid_options="Yes",EY9-EY13,"")</f>
        <v>#DIV/0!</v>
      </c>
      <c r="FA29" s="13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3"/>
      <c r="FS29" s="128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6"/>
      <c r="IB29" s="12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3"/>
      <c r="I30" s="128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3"/>
      <c r="BE30" s="128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6"/>
      <c r="CQ30" s="52" t="str">
        <f t="shared" si="52"/>
        <v/>
      </c>
      <c r="CX30" s="13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299</v>
      </c>
      <c r="EY30" s="3" t="e">
        <f>IF(Subgroup_valid_options="Yes",EY14-EY9,"")</f>
        <v>#DIV/0!</v>
      </c>
      <c r="FA30" s="13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3"/>
      <c r="FS30" s="128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6"/>
      <c r="IB30" s="12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3"/>
      <c r="I31" s="128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3"/>
      <c r="BE31" s="128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6"/>
      <c r="CQ31" s="52" t="str">
        <f t="shared" si="52"/>
        <v/>
      </c>
      <c r="CX31" s="13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329</v>
      </c>
      <c r="EY31" s="3" t="e">
        <f>IF(Subgroup_valid_options="Yes",MAX(ER:ER),"")</f>
        <v>#DIV/0!</v>
      </c>
      <c r="FA31" s="13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3"/>
      <c r="FS31" s="128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6"/>
      <c r="IB31" s="12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3"/>
      <c r="I32" s="128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3"/>
      <c r="BE32" s="128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6"/>
      <c r="CQ32" s="52" t="str">
        <f t="shared" si="52"/>
        <v/>
      </c>
      <c r="CX32" s="13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3"/>
      <c r="FS32" s="128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6"/>
      <c r="IB32" s="12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3"/>
      <c r="I33" s="128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3"/>
      <c r="BE33" s="128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6"/>
      <c r="CQ33" s="52" t="str">
        <f t="shared" si="52"/>
        <v/>
      </c>
      <c r="CX33" s="13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2" t="s">
        <v>330</v>
      </c>
      <c r="EY33" s="112"/>
      <c r="FA33" s="13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3"/>
      <c r="FS33" s="128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6"/>
      <c r="IB33" s="12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3"/>
      <c r="I34" s="128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3"/>
      <c r="BE34" s="128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6"/>
      <c r="CQ34" s="52" t="str">
        <f t="shared" ref="CQ34:CQ97" si="175">IF(AND(Sufficient_data="Yes",Include_study?="Yes"),c_/(c_+d_),"")</f>
        <v/>
      </c>
      <c r="CX34" s="13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331</v>
      </c>
      <c r="EY34" s="3" t="e">
        <f>IF(Subgroup_valid_options="Yes",SUMPRODUCT(ES:ES,DZ:DZ,DZ:DZ)-SUMPRODUCT(ES:ES,DZ:DZ)^2/SUM(ES:ES),"")</f>
        <v>#DIV/0!</v>
      </c>
      <c r="FA34" s="13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3"/>
      <c r="FS34" s="128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6"/>
      <c r="IB34" s="12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3"/>
      <c r="I35" s="128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3"/>
      <c r="BE35" s="128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6"/>
      <c r="CQ35" s="52" t="str">
        <f t="shared" si="175"/>
        <v/>
      </c>
      <c r="CX35" s="13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148</v>
      </c>
      <c r="EY35" s="3" t="e">
        <f>IF(Subgroup_valid_options="Yes",MAX(0,(EY34-(COUNT(DT:DT)-1))/(SUM(ES:ES)-(SUMPRODUCT(ES:ES,ES:ES)/SUM(ES:ES)))),"")</f>
        <v>#DIV/0!</v>
      </c>
      <c r="FA35" s="13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3"/>
      <c r="FS35" s="128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6"/>
      <c r="IB35" s="12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3"/>
      <c r="I36" s="128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3"/>
      <c r="BE36" s="128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6"/>
      <c r="CQ36" s="52" t="str">
        <f t="shared" si="175"/>
        <v/>
      </c>
      <c r="CX36" s="13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3"/>
      <c r="FS36" s="128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6"/>
      <c r="IB36" s="12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3"/>
      <c r="I37" s="128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3"/>
      <c r="BE37" s="128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6"/>
      <c r="CQ37" s="52" t="str">
        <f t="shared" si="175"/>
        <v/>
      </c>
      <c r="CX37" s="13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2" t="s">
        <v>332</v>
      </c>
      <c r="EY37" s="112"/>
      <c r="FA37" s="13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3"/>
      <c r="FS37" s="128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6"/>
      <c r="IB37" s="12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3"/>
      <c r="I38" s="128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3"/>
      <c r="BE38" s="128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6"/>
      <c r="CQ38" s="52" t="str">
        <f t="shared" si="175"/>
        <v/>
      </c>
      <c r="CX38" s="13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94</v>
      </c>
      <c r="EY38" s="3"/>
      <c r="FA38" s="13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3"/>
      <c r="FS38" s="128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6"/>
      <c r="IB38" s="12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3"/>
      <c r="I39" s="128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3"/>
      <c r="BE39" s="128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6"/>
      <c r="CQ39" s="52" t="str">
        <f t="shared" si="175"/>
        <v/>
      </c>
      <c r="CX39" s="13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3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3"/>
      <c r="FS39" s="128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6"/>
      <c r="IB39" s="12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3"/>
      <c r="I40" s="128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3"/>
      <c r="BE40" s="128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6"/>
      <c r="CQ40" s="52" t="str">
        <f t="shared" si="175"/>
        <v/>
      </c>
      <c r="CX40" s="13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3"/>
      <c r="FS40" s="128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6"/>
      <c r="IB40" s="12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3"/>
      <c r="I41" s="128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3"/>
      <c r="BE41" s="128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6"/>
      <c r="CQ41" s="52" t="str">
        <f t="shared" si="175"/>
        <v/>
      </c>
      <c r="CX41" s="13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2" t="s">
        <v>333</v>
      </c>
      <c r="EY41" s="112"/>
      <c r="FA41" s="13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3"/>
      <c r="FS41" s="128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6"/>
      <c r="IB41" s="12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3"/>
      <c r="I42" s="128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3"/>
      <c r="BE42" s="128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6"/>
      <c r="CQ42" s="52" t="str">
        <f t="shared" si="175"/>
        <v/>
      </c>
      <c r="CX42" s="13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94</v>
      </c>
      <c r="EY42" s="30"/>
      <c r="FA42" s="13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3"/>
      <c r="FS42" s="128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6"/>
      <c r="IB42" s="12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3"/>
      <c r="I43" s="128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3"/>
      <c r="BE43" s="128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6"/>
      <c r="CQ43" s="52" t="str">
        <f t="shared" si="175"/>
        <v/>
      </c>
      <c r="CX43" s="13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3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3"/>
      <c r="FS43" s="128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6"/>
      <c r="IB43" s="12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3"/>
      <c r="I44" s="128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3"/>
      <c r="BE44" s="128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6"/>
      <c r="CQ44" s="52" t="str">
        <f t="shared" si="175"/>
        <v/>
      </c>
      <c r="CX44" s="13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334</v>
      </c>
      <c r="EY44" s="31"/>
      <c r="FA44" s="13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3"/>
      <c r="FS44" s="128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6"/>
      <c r="IB44" s="12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3"/>
      <c r="I45" s="128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3"/>
      <c r="BE45" s="128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6"/>
      <c r="CQ45" s="52" t="str">
        <f t="shared" si="175"/>
        <v/>
      </c>
      <c r="CX45" s="13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3"/>
      <c r="FS45" s="128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6"/>
      <c r="IB45" s="12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3"/>
      <c r="I46" s="128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3"/>
      <c r="BE46" s="128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6"/>
      <c r="CQ46" s="52" t="str">
        <f t="shared" si="175"/>
        <v/>
      </c>
      <c r="CX46" s="13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3"/>
      <c r="FS46" s="128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6"/>
      <c r="IB46" s="12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3"/>
      <c r="I47" s="128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3"/>
      <c r="BE47" s="128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6"/>
      <c r="CQ47" s="52" t="str">
        <f t="shared" si="175"/>
        <v/>
      </c>
      <c r="CX47" s="13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3"/>
      <c r="FS47" s="128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6"/>
      <c r="IB47" s="12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3"/>
      <c r="I48" s="128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3"/>
      <c r="BE48" s="128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6"/>
      <c r="CQ48" s="52" t="str">
        <f t="shared" si="175"/>
        <v/>
      </c>
      <c r="CX48" s="13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3"/>
      <c r="FS48" s="128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6"/>
      <c r="IB48" s="12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3"/>
      <c r="I49" s="128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3"/>
      <c r="BE49" s="128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6"/>
      <c r="CQ49" s="52" t="str">
        <f t="shared" si="175"/>
        <v/>
      </c>
      <c r="CX49" s="13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3"/>
      <c r="FS49" s="128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6"/>
      <c r="IB49" s="12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3"/>
      <c r="I50" s="128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3"/>
      <c r="BE50" s="128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6"/>
      <c r="CQ50" s="52" t="str">
        <f t="shared" si="175"/>
        <v/>
      </c>
      <c r="CX50" s="13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3"/>
      <c r="FS50" s="128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6"/>
      <c r="IB50" s="12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3"/>
      <c r="I51" s="128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3"/>
      <c r="BE51" s="128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6"/>
      <c r="CQ51" s="52" t="str">
        <f t="shared" si="175"/>
        <v/>
      </c>
      <c r="CX51" s="13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3"/>
      <c r="FS51" s="128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6"/>
      <c r="IB51" s="12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3"/>
      <c r="I52" s="128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3"/>
      <c r="BE52" s="128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6"/>
      <c r="CQ52" s="52" t="str">
        <f t="shared" si="175"/>
        <v/>
      </c>
      <c r="CX52" s="13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3"/>
      <c r="FS52" s="128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6"/>
      <c r="IB52" s="12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3"/>
      <c r="I53" s="128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3"/>
      <c r="BE53" s="128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6"/>
      <c r="CQ53" s="52" t="str">
        <f t="shared" si="175"/>
        <v/>
      </c>
      <c r="CX53" s="13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3"/>
      <c r="FS53" s="128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6"/>
      <c r="IB53" s="12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3"/>
      <c r="I54" s="128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3"/>
      <c r="BE54" s="128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6"/>
      <c r="CQ54" s="52" t="str">
        <f t="shared" si="175"/>
        <v/>
      </c>
      <c r="CX54" s="13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3"/>
      <c r="FS54" s="128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6"/>
      <c r="IB54" s="12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3"/>
      <c r="I55" s="128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3"/>
      <c r="BE55" s="128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6"/>
      <c r="CQ55" s="52" t="str">
        <f t="shared" si="175"/>
        <v/>
      </c>
      <c r="CX55" s="13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3"/>
      <c r="FS55" s="128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6"/>
      <c r="IB55" s="12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3"/>
      <c r="I56" s="128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3"/>
      <c r="BE56" s="128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6"/>
      <c r="CQ56" s="52" t="str">
        <f t="shared" si="175"/>
        <v/>
      </c>
      <c r="CX56" s="13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3"/>
      <c r="FS56" s="128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6"/>
      <c r="IB56" s="12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3"/>
      <c r="I57" s="128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3"/>
      <c r="BE57" s="128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6"/>
      <c r="CQ57" s="52" t="str">
        <f t="shared" si="175"/>
        <v/>
      </c>
      <c r="CX57" s="13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3"/>
      <c r="FS57" s="128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6"/>
      <c r="IB57" s="12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3"/>
      <c r="I58" s="128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3"/>
      <c r="BE58" s="128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6"/>
      <c r="CQ58" s="52" t="str">
        <f t="shared" si="175"/>
        <v/>
      </c>
      <c r="CX58" s="13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3"/>
      <c r="FS58" s="128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6"/>
      <c r="IB58" s="12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3"/>
      <c r="I59" s="128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3"/>
      <c r="BE59" s="128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6"/>
      <c r="CQ59" s="52" t="str">
        <f t="shared" si="175"/>
        <v/>
      </c>
      <c r="CX59" s="13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3"/>
      <c r="FS59" s="128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6"/>
      <c r="IB59" s="12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3"/>
      <c r="I60" s="128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3"/>
      <c r="BE60" s="128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6"/>
      <c r="CQ60" s="52" t="str">
        <f t="shared" si="175"/>
        <v/>
      </c>
      <c r="CX60" s="13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3"/>
      <c r="FS60" s="128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6"/>
      <c r="IB60" s="12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3"/>
      <c r="I61" s="128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3"/>
      <c r="BE61" s="128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6"/>
      <c r="CQ61" s="52" t="str">
        <f t="shared" si="175"/>
        <v/>
      </c>
      <c r="CX61" s="13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3"/>
      <c r="FS61" s="128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6"/>
      <c r="IB61" s="12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3"/>
      <c r="I62" s="128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3"/>
      <c r="BE62" s="128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6"/>
      <c r="CQ62" s="52" t="str">
        <f t="shared" si="175"/>
        <v/>
      </c>
      <c r="CX62" s="13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3"/>
      <c r="FS62" s="128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6"/>
      <c r="IB62" s="12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3"/>
      <c r="I63" s="128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3"/>
      <c r="BE63" s="128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6"/>
      <c r="CQ63" s="52" t="str">
        <f t="shared" si="175"/>
        <v/>
      </c>
      <c r="CX63" s="13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3"/>
      <c r="FS63" s="128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6"/>
      <c r="IB63" s="12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3"/>
      <c r="I64" s="128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3"/>
      <c r="BE64" s="128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6"/>
      <c r="CQ64" s="52" t="str">
        <f t="shared" si="175"/>
        <v/>
      </c>
      <c r="CX64" s="13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3"/>
      <c r="FS64" s="128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6"/>
      <c r="IB64" s="12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3"/>
      <c r="I65" s="128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3"/>
      <c r="BE65" s="128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6"/>
      <c r="CQ65" s="52" t="str">
        <f t="shared" si="175"/>
        <v/>
      </c>
      <c r="CX65" s="13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3"/>
      <c r="FS65" s="128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6"/>
      <c r="IB65" s="12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3"/>
      <c r="I66" s="128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3"/>
      <c r="BE66" s="128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6"/>
      <c r="CQ66" s="52" t="str">
        <f t="shared" si="175"/>
        <v/>
      </c>
      <c r="CX66" s="13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3"/>
      <c r="FS66" s="128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6"/>
      <c r="IB66" s="12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3"/>
      <c r="I67" s="128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3"/>
      <c r="BE67" s="128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6"/>
      <c r="CQ67" s="52" t="str">
        <f t="shared" si="175"/>
        <v/>
      </c>
      <c r="CX67" s="13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3"/>
      <c r="FS67" s="128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6"/>
      <c r="IB67" s="12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3"/>
      <c r="I68" s="128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3"/>
      <c r="BE68" s="128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6"/>
      <c r="CQ68" s="52" t="str">
        <f t="shared" si="175"/>
        <v/>
      </c>
      <c r="CX68" s="13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3"/>
      <c r="FS68" s="128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6"/>
      <c r="IB68" s="12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3"/>
      <c r="I69" s="128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3"/>
      <c r="BE69" s="128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6"/>
      <c r="CQ69" s="52" t="str">
        <f t="shared" si="175"/>
        <v/>
      </c>
      <c r="CX69" s="13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3"/>
      <c r="FS69" s="128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6"/>
      <c r="IB69" s="12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3"/>
      <c r="I70" s="128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3"/>
      <c r="BE70" s="128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6"/>
      <c r="CQ70" s="52" t="str">
        <f t="shared" si="175"/>
        <v/>
      </c>
      <c r="CX70" s="13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3"/>
      <c r="FS70" s="128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6"/>
      <c r="IB70" s="12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3"/>
      <c r="I71" s="128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3"/>
      <c r="BE71" s="128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6"/>
      <c r="CQ71" s="52" t="str">
        <f t="shared" si="175"/>
        <v/>
      </c>
      <c r="CX71" s="13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3"/>
      <c r="FS71" s="128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6"/>
      <c r="IB71" s="12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3"/>
      <c r="I72" s="128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3"/>
      <c r="BE72" s="128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6"/>
      <c r="CQ72" s="52" t="str">
        <f t="shared" si="175"/>
        <v/>
      </c>
      <c r="CX72" s="13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3"/>
      <c r="FS72" s="128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6"/>
      <c r="IB72" s="12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3"/>
      <c r="I73" s="128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3"/>
      <c r="BE73" s="128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6"/>
      <c r="CQ73" s="52" t="str">
        <f t="shared" si="175"/>
        <v/>
      </c>
      <c r="CX73" s="13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3"/>
      <c r="FS73" s="128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6"/>
      <c r="IB73" s="12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3"/>
      <c r="I74" s="128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3"/>
      <c r="BE74" s="128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6"/>
      <c r="CQ74" s="52" t="str">
        <f t="shared" si="175"/>
        <v/>
      </c>
      <c r="CX74" s="13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3"/>
      <c r="FS74" s="128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6"/>
      <c r="IB74" s="12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3"/>
      <c r="I75" s="128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3"/>
      <c r="BE75" s="128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6"/>
      <c r="CQ75" s="52" t="str">
        <f t="shared" si="175"/>
        <v/>
      </c>
      <c r="CX75" s="13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3"/>
      <c r="FS75" s="128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6"/>
      <c r="IB75" s="12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3"/>
      <c r="I76" s="128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3"/>
      <c r="BE76" s="128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6"/>
      <c r="CQ76" s="52" t="str">
        <f t="shared" si="175"/>
        <v/>
      </c>
      <c r="CX76" s="13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3"/>
      <c r="FS76" s="128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6"/>
      <c r="IB76" s="12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3"/>
      <c r="I77" s="128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3"/>
      <c r="BE77" s="128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6"/>
      <c r="CQ77" s="52" t="str">
        <f t="shared" si="175"/>
        <v/>
      </c>
      <c r="CX77" s="13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3"/>
      <c r="FS77" s="128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6"/>
      <c r="IB77" s="12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3"/>
      <c r="I78" s="128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3"/>
      <c r="BE78" s="128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6"/>
      <c r="CQ78" s="52" t="str">
        <f t="shared" si="175"/>
        <v/>
      </c>
      <c r="CX78" s="13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3"/>
      <c r="FS78" s="128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6"/>
      <c r="IB78" s="12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3"/>
      <c r="I79" s="128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3"/>
      <c r="BE79" s="128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6"/>
      <c r="CQ79" s="52" t="str">
        <f t="shared" si="175"/>
        <v/>
      </c>
      <c r="CX79" s="13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3"/>
      <c r="FS79" s="128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6"/>
      <c r="IB79" s="12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3"/>
      <c r="I80" s="128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3"/>
      <c r="BE80" s="128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6"/>
      <c r="CQ80" s="52" t="str">
        <f t="shared" si="175"/>
        <v/>
      </c>
      <c r="CX80" s="13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3"/>
      <c r="FS80" s="128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6"/>
      <c r="IB80" s="12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3"/>
      <c r="I81" s="128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3"/>
      <c r="BE81" s="128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6"/>
      <c r="CQ81" s="52" t="str">
        <f t="shared" si="175"/>
        <v/>
      </c>
      <c r="CX81" s="13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3"/>
      <c r="FS81" s="128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6"/>
      <c r="IB81" s="12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3"/>
      <c r="I82" s="128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3"/>
      <c r="BE82" s="128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6"/>
      <c r="CQ82" s="52" t="str">
        <f t="shared" si="175"/>
        <v/>
      </c>
      <c r="CX82" s="13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3"/>
      <c r="FS82" s="128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6"/>
      <c r="IB82" s="12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3"/>
      <c r="I83" s="128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3"/>
      <c r="BE83" s="128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6"/>
      <c r="CQ83" s="52" t="str">
        <f t="shared" si="175"/>
        <v/>
      </c>
      <c r="CX83" s="13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3"/>
      <c r="FS83" s="128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6"/>
      <c r="IB83" s="12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3"/>
      <c r="I84" s="128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3"/>
      <c r="BE84" s="128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6"/>
      <c r="CQ84" s="52" t="str">
        <f t="shared" si="175"/>
        <v/>
      </c>
      <c r="CX84" s="13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3"/>
      <c r="FS84" s="128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6"/>
      <c r="IB84" s="12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3"/>
      <c r="I85" s="128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3"/>
      <c r="BE85" s="128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6"/>
      <c r="CQ85" s="52" t="str">
        <f t="shared" si="175"/>
        <v/>
      </c>
      <c r="CX85" s="13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3"/>
      <c r="FS85" s="128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6"/>
      <c r="IB85" s="12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3"/>
      <c r="I86" s="128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3"/>
      <c r="BE86" s="128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6"/>
      <c r="CQ86" s="52" t="str">
        <f t="shared" si="175"/>
        <v/>
      </c>
      <c r="CX86" s="13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3"/>
      <c r="FS86" s="128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6"/>
      <c r="IB86" s="12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3"/>
      <c r="I87" s="128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3"/>
      <c r="BE87" s="128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6"/>
      <c r="CQ87" s="52" t="str">
        <f t="shared" si="175"/>
        <v/>
      </c>
      <c r="CX87" s="13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3"/>
      <c r="FS87" s="128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6"/>
      <c r="IB87" s="12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3"/>
      <c r="I88" s="128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3"/>
      <c r="BE88" s="128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6"/>
      <c r="CQ88" s="52" t="str">
        <f t="shared" si="175"/>
        <v/>
      </c>
      <c r="CX88" s="13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3"/>
      <c r="FS88" s="128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6"/>
      <c r="IB88" s="12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3"/>
      <c r="I89" s="128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3"/>
      <c r="BE89" s="128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6"/>
      <c r="CQ89" s="52" t="str">
        <f t="shared" si="175"/>
        <v/>
      </c>
      <c r="CX89" s="13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3"/>
      <c r="FS89" s="128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6"/>
      <c r="IB89" s="12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3"/>
      <c r="I90" s="128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3"/>
      <c r="BE90" s="128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6"/>
      <c r="CQ90" s="52" t="str">
        <f t="shared" si="175"/>
        <v/>
      </c>
      <c r="CX90" s="13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3"/>
      <c r="FS90" s="128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6"/>
      <c r="IB90" s="12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3"/>
      <c r="I91" s="128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3"/>
      <c r="BE91" s="128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6"/>
      <c r="CQ91" s="52" t="str">
        <f t="shared" si="175"/>
        <v/>
      </c>
      <c r="CX91" s="13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3"/>
      <c r="FS91" s="128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6"/>
      <c r="IB91" s="12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3"/>
      <c r="I92" s="128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3"/>
      <c r="BE92" s="128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6"/>
      <c r="CQ92" s="52" t="str">
        <f t="shared" si="175"/>
        <v/>
      </c>
      <c r="CX92" s="13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3"/>
      <c r="FS92" s="128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6"/>
      <c r="IB92" s="12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3"/>
      <c r="I93" s="128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3"/>
      <c r="BE93" s="128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6"/>
      <c r="CQ93" s="52" t="str">
        <f t="shared" si="175"/>
        <v/>
      </c>
      <c r="CX93" s="13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3"/>
      <c r="FS93" s="128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6"/>
      <c r="IB93" s="12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3"/>
      <c r="I94" s="128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3"/>
      <c r="BE94" s="128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6"/>
      <c r="CQ94" s="52" t="str">
        <f t="shared" si="175"/>
        <v/>
      </c>
      <c r="CX94" s="13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3"/>
      <c r="FS94" s="128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6"/>
      <c r="IB94" s="12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3"/>
      <c r="I95" s="128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3"/>
      <c r="BE95" s="128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6"/>
      <c r="CQ95" s="52" t="str">
        <f t="shared" si="175"/>
        <v/>
      </c>
      <c r="CX95" s="13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3"/>
      <c r="FS95" s="128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6"/>
      <c r="IB95" s="12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3"/>
      <c r="I96" s="128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3"/>
      <c r="BE96" s="128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6"/>
      <c r="CQ96" s="52" t="str">
        <f t="shared" si="175"/>
        <v/>
      </c>
      <c r="CX96" s="13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3"/>
      <c r="FS96" s="128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6"/>
      <c r="IB96" s="12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3"/>
      <c r="I97" s="128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3"/>
      <c r="BE97" s="128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6"/>
      <c r="CQ97" s="52" t="str">
        <f t="shared" si="175"/>
        <v/>
      </c>
      <c r="CX97" s="13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3"/>
      <c r="FS97" s="128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6"/>
      <c r="IB97" s="12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3"/>
      <c r="I98" s="128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3"/>
      <c r="BE98" s="128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6"/>
      <c r="CQ98" s="52" t="str">
        <f t="shared" ref="CQ98:CQ161" si="383">IF(AND(Sufficient_data="Yes",Include_study?="Yes"),c_/(c_+d_),"")</f>
        <v/>
      </c>
      <c r="CX98" s="13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3"/>
      <c r="FS98" s="128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6"/>
      <c r="IB98" s="12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3"/>
      <c r="I99" s="128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3"/>
      <c r="BE99" s="128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6"/>
      <c r="CQ99" s="52" t="str">
        <f t="shared" si="383"/>
        <v/>
      </c>
      <c r="CX99" s="13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3"/>
      <c r="FS99" s="128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6"/>
      <c r="IB99" s="12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3"/>
      <c r="I100" s="128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3"/>
      <c r="BE100" s="128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6"/>
      <c r="CQ100" s="52" t="str">
        <f t="shared" si="383"/>
        <v/>
      </c>
      <c r="CX100" s="13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3"/>
      <c r="FS100" s="128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6"/>
      <c r="IB100" s="12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3"/>
      <c r="I101" s="128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3"/>
      <c r="BE101" s="128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6"/>
      <c r="CQ101" s="52" t="str">
        <f t="shared" si="383"/>
        <v/>
      </c>
      <c r="CX101" s="13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3"/>
      <c r="FS101" s="128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6"/>
      <c r="IB101" s="12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3"/>
      <c r="I102" s="128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3"/>
      <c r="BE102" s="128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6"/>
      <c r="CQ102" s="52" t="str">
        <f t="shared" si="383"/>
        <v/>
      </c>
      <c r="CX102" s="13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3"/>
      <c r="FS102" s="128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6"/>
      <c r="IB102" s="12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3"/>
      <c r="I103" s="128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3"/>
      <c r="BE103" s="128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6"/>
      <c r="CQ103" s="52" t="str">
        <f t="shared" si="383"/>
        <v/>
      </c>
      <c r="CX103" s="13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3"/>
      <c r="FS103" s="128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6"/>
      <c r="IB103" s="12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3"/>
      <c r="I104" s="128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3"/>
      <c r="BE104" s="128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6"/>
      <c r="CQ104" s="52" t="str">
        <f t="shared" si="383"/>
        <v/>
      </c>
      <c r="CX104" s="13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3"/>
      <c r="FS104" s="128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6"/>
      <c r="IB104" s="12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3"/>
      <c r="I105" s="128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3"/>
      <c r="BE105" s="128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6"/>
      <c r="CQ105" s="52" t="str">
        <f t="shared" si="383"/>
        <v/>
      </c>
      <c r="CX105" s="13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3"/>
      <c r="FS105" s="128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6"/>
      <c r="IB105" s="12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3"/>
      <c r="I106" s="128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3"/>
      <c r="BE106" s="128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6"/>
      <c r="CQ106" s="52" t="str">
        <f t="shared" si="383"/>
        <v/>
      </c>
      <c r="CX106" s="13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3"/>
      <c r="FS106" s="128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6"/>
      <c r="IB106" s="12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3"/>
      <c r="I107" s="128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3"/>
      <c r="BE107" s="128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6"/>
      <c r="CQ107" s="52" t="str">
        <f t="shared" si="383"/>
        <v/>
      </c>
      <c r="CX107" s="13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3"/>
      <c r="FS107" s="128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6"/>
      <c r="IB107" s="12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3"/>
      <c r="I108" s="128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3"/>
      <c r="BE108" s="128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6"/>
      <c r="CQ108" s="52" t="str">
        <f t="shared" si="383"/>
        <v/>
      </c>
      <c r="CX108" s="13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3"/>
      <c r="FS108" s="128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6"/>
      <c r="IB108" s="12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3"/>
      <c r="I109" s="128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3"/>
      <c r="BE109" s="128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6"/>
      <c r="CQ109" s="52" t="str">
        <f t="shared" si="383"/>
        <v/>
      </c>
      <c r="CX109" s="13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3"/>
      <c r="FS109" s="128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6"/>
      <c r="IB109" s="12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3"/>
      <c r="I110" s="128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3"/>
      <c r="BE110" s="128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6"/>
      <c r="CQ110" s="52" t="str">
        <f t="shared" si="383"/>
        <v/>
      </c>
      <c r="CX110" s="13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3"/>
      <c r="FS110" s="128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6"/>
      <c r="IB110" s="12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3"/>
      <c r="I111" s="128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3"/>
      <c r="BE111" s="128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6"/>
      <c r="CQ111" s="52" t="str">
        <f t="shared" si="383"/>
        <v/>
      </c>
      <c r="CX111" s="13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3"/>
      <c r="FS111" s="128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6"/>
      <c r="IB111" s="12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3"/>
      <c r="I112" s="128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3"/>
      <c r="BE112" s="128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6"/>
      <c r="CQ112" s="52" t="str">
        <f t="shared" si="383"/>
        <v/>
      </c>
      <c r="CX112" s="13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3"/>
      <c r="FS112" s="128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6"/>
      <c r="IB112" s="12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3"/>
      <c r="I113" s="128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3"/>
      <c r="BE113" s="128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6"/>
      <c r="CQ113" s="52" t="str">
        <f t="shared" si="383"/>
        <v/>
      </c>
      <c r="CX113" s="13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3"/>
      <c r="FS113" s="128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6"/>
      <c r="IB113" s="12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3"/>
      <c r="I114" s="128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3"/>
      <c r="BE114" s="128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6"/>
      <c r="CQ114" s="52" t="str">
        <f t="shared" si="383"/>
        <v/>
      </c>
      <c r="CX114" s="13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3"/>
      <c r="FS114" s="128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6"/>
      <c r="IB114" s="12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3"/>
      <c r="I115" s="128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3"/>
      <c r="BE115" s="128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6"/>
      <c r="CQ115" s="52" t="str">
        <f t="shared" si="383"/>
        <v/>
      </c>
      <c r="CX115" s="13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3"/>
      <c r="FS115" s="128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6"/>
      <c r="IB115" s="12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3"/>
      <c r="I116" s="128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3"/>
      <c r="BE116" s="128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6"/>
      <c r="CQ116" s="52" t="str">
        <f t="shared" si="383"/>
        <v/>
      </c>
      <c r="CX116" s="13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3"/>
      <c r="FS116" s="128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6"/>
      <c r="IB116" s="12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3"/>
      <c r="I117" s="128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3"/>
      <c r="BE117" s="128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6"/>
      <c r="CQ117" s="52" t="str">
        <f t="shared" si="383"/>
        <v/>
      </c>
      <c r="CX117" s="13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3"/>
      <c r="FS117" s="128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6"/>
      <c r="IB117" s="12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3"/>
      <c r="I118" s="128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3"/>
      <c r="BE118" s="128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6"/>
      <c r="CQ118" s="52" t="str">
        <f t="shared" si="383"/>
        <v/>
      </c>
      <c r="CX118" s="13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3"/>
      <c r="FS118" s="128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6"/>
      <c r="IB118" s="12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3"/>
      <c r="I119" s="128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3"/>
      <c r="BE119" s="128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6"/>
      <c r="CQ119" s="52" t="str">
        <f t="shared" si="383"/>
        <v/>
      </c>
      <c r="CX119" s="13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3"/>
      <c r="FS119" s="128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6"/>
      <c r="IB119" s="12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3"/>
      <c r="I120" s="128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3"/>
      <c r="BE120" s="128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6"/>
      <c r="CQ120" s="52" t="str">
        <f t="shared" si="383"/>
        <v/>
      </c>
      <c r="CX120" s="13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3"/>
      <c r="FS120" s="128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6"/>
      <c r="IB120" s="12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3"/>
      <c r="I121" s="128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3"/>
      <c r="BE121" s="128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6"/>
      <c r="CQ121" s="52" t="str">
        <f t="shared" si="383"/>
        <v/>
      </c>
      <c r="CX121" s="13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3"/>
      <c r="FS121" s="128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6"/>
      <c r="IB121" s="12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3"/>
      <c r="I122" s="128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3"/>
      <c r="BE122" s="128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6"/>
      <c r="CQ122" s="52" t="str">
        <f t="shared" si="383"/>
        <v/>
      </c>
      <c r="CX122" s="13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3"/>
      <c r="FS122" s="128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6"/>
      <c r="IB122" s="12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3"/>
      <c r="I123" s="128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3"/>
      <c r="BE123" s="128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6"/>
      <c r="CQ123" s="52" t="str">
        <f t="shared" si="383"/>
        <v/>
      </c>
      <c r="CX123" s="13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3"/>
      <c r="FS123" s="128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6"/>
      <c r="IB123" s="12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3"/>
      <c r="I124" s="128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3"/>
      <c r="BE124" s="128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6"/>
      <c r="CQ124" s="52" t="str">
        <f t="shared" si="383"/>
        <v/>
      </c>
      <c r="CX124" s="13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3"/>
      <c r="FS124" s="128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6"/>
      <c r="IB124" s="12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3"/>
      <c r="I125" s="128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3"/>
      <c r="BE125" s="128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6"/>
      <c r="CQ125" s="52" t="str">
        <f t="shared" si="383"/>
        <v/>
      </c>
      <c r="CX125" s="13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3"/>
      <c r="FS125" s="128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6"/>
      <c r="IB125" s="12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3"/>
      <c r="I126" s="128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3"/>
      <c r="BE126" s="128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6"/>
      <c r="CQ126" s="52" t="str">
        <f t="shared" si="383"/>
        <v/>
      </c>
      <c r="CX126" s="13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3"/>
      <c r="FS126" s="128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6"/>
      <c r="IB126" s="12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3"/>
      <c r="I127" s="128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3"/>
      <c r="BE127" s="128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6"/>
      <c r="CQ127" s="52" t="str">
        <f t="shared" si="383"/>
        <v/>
      </c>
      <c r="CX127" s="13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3"/>
      <c r="FS127" s="128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6"/>
      <c r="IB127" s="12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3"/>
      <c r="I128" s="128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3"/>
      <c r="BE128" s="128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6"/>
      <c r="CQ128" s="52" t="str">
        <f t="shared" si="383"/>
        <v/>
      </c>
      <c r="CX128" s="13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3"/>
      <c r="FS128" s="128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6"/>
      <c r="IB128" s="12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3"/>
      <c r="I129" s="128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3"/>
      <c r="BE129" s="128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6"/>
      <c r="CQ129" s="52" t="str">
        <f t="shared" si="383"/>
        <v/>
      </c>
      <c r="CX129" s="13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3"/>
      <c r="FS129" s="128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6"/>
      <c r="IB129" s="12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3"/>
      <c r="I130" s="128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3"/>
      <c r="BE130" s="128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6"/>
      <c r="CQ130" s="52" t="str">
        <f t="shared" si="383"/>
        <v/>
      </c>
      <c r="CX130" s="13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3"/>
      <c r="FS130" s="128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6"/>
      <c r="IB130" s="12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3"/>
      <c r="I131" s="128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3"/>
      <c r="BE131" s="128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6"/>
      <c r="CQ131" s="52" t="str">
        <f t="shared" si="383"/>
        <v/>
      </c>
      <c r="CX131" s="13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3"/>
      <c r="FS131" s="128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6"/>
      <c r="IB131" s="12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3"/>
      <c r="I132" s="128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3"/>
      <c r="BE132" s="128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6"/>
      <c r="CQ132" s="52" t="str">
        <f t="shared" si="383"/>
        <v/>
      </c>
      <c r="CX132" s="13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3"/>
      <c r="FS132" s="128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6"/>
      <c r="IB132" s="12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3"/>
      <c r="I133" s="128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3"/>
      <c r="BE133" s="128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6"/>
      <c r="CQ133" s="52" t="str">
        <f t="shared" si="383"/>
        <v/>
      </c>
      <c r="CX133" s="13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3"/>
      <c r="FS133" s="128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6"/>
      <c r="IB133" s="12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3"/>
      <c r="I134" s="128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3"/>
      <c r="BE134" s="128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6"/>
      <c r="CQ134" s="52" t="str">
        <f t="shared" si="383"/>
        <v/>
      </c>
      <c r="CX134" s="13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3"/>
      <c r="FS134" s="128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6"/>
      <c r="IB134" s="12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3"/>
      <c r="I135" s="128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3"/>
      <c r="BE135" s="128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6"/>
      <c r="CQ135" s="52" t="str">
        <f t="shared" si="383"/>
        <v/>
      </c>
      <c r="CX135" s="13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3"/>
      <c r="FS135" s="128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6"/>
      <c r="IB135" s="12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3"/>
      <c r="I136" s="128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3"/>
      <c r="BE136" s="128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6"/>
      <c r="CQ136" s="52" t="str">
        <f t="shared" si="383"/>
        <v/>
      </c>
      <c r="CX136" s="13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3"/>
      <c r="FS136" s="128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6"/>
      <c r="IB136" s="12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3"/>
      <c r="I137" s="128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3"/>
      <c r="BE137" s="128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6"/>
      <c r="CQ137" s="52" t="str">
        <f t="shared" si="383"/>
        <v/>
      </c>
      <c r="CX137" s="13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3"/>
      <c r="FS137" s="128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6"/>
      <c r="IB137" s="12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3"/>
      <c r="I138" s="128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3"/>
      <c r="BE138" s="128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6"/>
      <c r="CQ138" s="52" t="str">
        <f t="shared" si="383"/>
        <v/>
      </c>
      <c r="CX138" s="13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3"/>
      <c r="FS138" s="128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6"/>
      <c r="IB138" s="12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3"/>
      <c r="I139" s="128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3"/>
      <c r="BE139" s="128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6"/>
      <c r="CQ139" s="52" t="str">
        <f t="shared" si="383"/>
        <v/>
      </c>
      <c r="CX139" s="13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3"/>
      <c r="FS139" s="128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6"/>
      <c r="IB139" s="12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3"/>
      <c r="I140" s="128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3"/>
      <c r="BE140" s="128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6"/>
      <c r="CQ140" s="52" t="str">
        <f t="shared" si="383"/>
        <v/>
      </c>
      <c r="CX140" s="13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3"/>
      <c r="FS140" s="128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6"/>
      <c r="IB140" s="12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3"/>
      <c r="I141" s="128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3"/>
      <c r="BE141" s="128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6"/>
      <c r="CQ141" s="52" t="str">
        <f t="shared" si="383"/>
        <v/>
      </c>
      <c r="CX141" s="13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3"/>
      <c r="FS141" s="128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6"/>
      <c r="IB141" s="12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3"/>
      <c r="I142" s="128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3"/>
      <c r="BE142" s="128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6"/>
      <c r="CQ142" s="52" t="str">
        <f t="shared" si="383"/>
        <v/>
      </c>
      <c r="CX142" s="13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3"/>
      <c r="FS142" s="128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6"/>
      <c r="IB142" s="12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3"/>
      <c r="I143" s="128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3"/>
      <c r="BE143" s="128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6"/>
      <c r="CQ143" s="52" t="str">
        <f t="shared" si="383"/>
        <v/>
      </c>
      <c r="CX143" s="13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3"/>
      <c r="FS143" s="128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6"/>
      <c r="IB143" s="12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3"/>
      <c r="I144" s="128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3"/>
      <c r="BE144" s="128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6"/>
      <c r="CQ144" s="52" t="str">
        <f t="shared" si="383"/>
        <v/>
      </c>
      <c r="CX144" s="13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3"/>
      <c r="FS144" s="128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6"/>
      <c r="IB144" s="12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3"/>
      <c r="I145" s="128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3"/>
      <c r="BE145" s="128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6"/>
      <c r="CQ145" s="52" t="str">
        <f t="shared" si="383"/>
        <v/>
      </c>
      <c r="CX145" s="13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3"/>
      <c r="FS145" s="128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6"/>
      <c r="IB145" s="12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3"/>
      <c r="I146" s="128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3"/>
      <c r="BE146" s="128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6"/>
      <c r="CQ146" s="52" t="str">
        <f t="shared" si="383"/>
        <v/>
      </c>
      <c r="CX146" s="13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3"/>
      <c r="FS146" s="128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6"/>
      <c r="IB146" s="12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3"/>
      <c r="I147" s="128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3"/>
      <c r="BE147" s="128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6"/>
      <c r="CQ147" s="52" t="str">
        <f t="shared" si="383"/>
        <v/>
      </c>
      <c r="CX147" s="13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3"/>
      <c r="FS147" s="128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6"/>
      <c r="IB147" s="12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3"/>
      <c r="I148" s="128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3"/>
      <c r="BE148" s="128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6"/>
      <c r="CQ148" s="52" t="str">
        <f t="shared" si="383"/>
        <v/>
      </c>
      <c r="CX148" s="13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3"/>
      <c r="FS148" s="128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6"/>
      <c r="IB148" s="12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3"/>
      <c r="I149" s="128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3"/>
      <c r="BE149" s="128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6"/>
      <c r="CQ149" s="52" t="str">
        <f t="shared" si="383"/>
        <v/>
      </c>
      <c r="CX149" s="13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3"/>
      <c r="FS149" s="128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6"/>
      <c r="IB149" s="12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3"/>
      <c r="I150" s="128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3"/>
      <c r="BE150" s="128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6"/>
      <c r="CQ150" s="52" t="str">
        <f t="shared" si="383"/>
        <v/>
      </c>
      <c r="CX150" s="13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3"/>
      <c r="FS150" s="128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6"/>
      <c r="IB150" s="12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3"/>
      <c r="I151" s="128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3"/>
      <c r="BE151" s="128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6"/>
      <c r="CQ151" s="52" t="str">
        <f t="shared" si="383"/>
        <v/>
      </c>
      <c r="CX151" s="13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3"/>
      <c r="FS151" s="128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6"/>
      <c r="IB151" s="12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3"/>
      <c r="I152" s="128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3"/>
      <c r="BE152" s="128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6"/>
      <c r="CQ152" s="52" t="str">
        <f t="shared" si="383"/>
        <v/>
      </c>
      <c r="CX152" s="13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3"/>
      <c r="FS152" s="128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6"/>
      <c r="IB152" s="12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3"/>
      <c r="I153" s="128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3"/>
      <c r="BE153" s="128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6"/>
      <c r="CQ153" s="52" t="str">
        <f t="shared" si="383"/>
        <v/>
      </c>
      <c r="CX153" s="13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3"/>
      <c r="FS153" s="128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6"/>
      <c r="IB153" s="12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3"/>
      <c r="I154" s="128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3"/>
      <c r="BE154" s="128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6"/>
      <c r="CQ154" s="52" t="str">
        <f t="shared" si="383"/>
        <v/>
      </c>
      <c r="CX154" s="13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3"/>
      <c r="FS154" s="128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6"/>
      <c r="IB154" s="12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3"/>
      <c r="I155" s="128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3"/>
      <c r="BE155" s="128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6"/>
      <c r="CQ155" s="52" t="str">
        <f t="shared" si="383"/>
        <v/>
      </c>
      <c r="CX155" s="13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3"/>
      <c r="FS155" s="128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6"/>
      <c r="IB155" s="12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3"/>
      <c r="I156" s="128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3"/>
      <c r="BE156" s="128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6"/>
      <c r="CQ156" s="52" t="str">
        <f t="shared" si="383"/>
        <v/>
      </c>
      <c r="CX156" s="13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3"/>
      <c r="FS156" s="128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6"/>
      <c r="IB156" s="12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3"/>
      <c r="I157" s="128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3"/>
      <c r="BE157" s="128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6"/>
      <c r="CQ157" s="52" t="str">
        <f t="shared" si="383"/>
        <v/>
      </c>
      <c r="CX157" s="13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3"/>
      <c r="FS157" s="128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6"/>
      <c r="IB157" s="12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3"/>
      <c r="I158" s="128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3"/>
      <c r="BE158" s="128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6"/>
      <c r="CQ158" s="52" t="str">
        <f t="shared" si="383"/>
        <v/>
      </c>
      <c r="CX158" s="13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3"/>
      <c r="FS158" s="128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6"/>
      <c r="IB158" s="12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3"/>
      <c r="I159" s="128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3"/>
      <c r="BE159" s="128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6"/>
      <c r="CQ159" s="52" t="str">
        <f t="shared" si="383"/>
        <v/>
      </c>
      <c r="CX159" s="13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3"/>
      <c r="FS159" s="128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6"/>
      <c r="IB159" s="12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3"/>
      <c r="I160" s="128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3"/>
      <c r="BE160" s="128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6"/>
      <c r="CQ160" s="52" t="str">
        <f t="shared" si="383"/>
        <v/>
      </c>
      <c r="CX160" s="13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3"/>
      <c r="FS160" s="128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6"/>
      <c r="IB160" s="12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3"/>
      <c r="I161" s="128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3"/>
      <c r="BE161" s="128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6"/>
      <c r="CQ161" s="52" t="str">
        <f t="shared" si="383"/>
        <v/>
      </c>
      <c r="CX161" s="13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3"/>
      <c r="FS161" s="128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6"/>
      <c r="IB161" s="12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3"/>
      <c r="I162" s="128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3"/>
      <c r="BE162" s="128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6"/>
      <c r="CQ162" s="52" t="str">
        <f t="shared" ref="CQ162:CQ201" si="582">IF(AND(Sufficient_data="Yes",Include_study?="Yes"),c_/(c_+d_),"")</f>
        <v/>
      </c>
      <c r="CX162" s="13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3"/>
      <c r="FS162" s="128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6"/>
      <c r="IB162" s="12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3"/>
      <c r="I163" s="128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3"/>
      <c r="BE163" s="128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6"/>
      <c r="CQ163" s="52" t="str">
        <f t="shared" si="582"/>
        <v/>
      </c>
      <c r="CX163" s="13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3"/>
      <c r="FS163" s="128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6"/>
      <c r="IB163" s="12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3"/>
      <c r="I164" s="128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3"/>
      <c r="BE164" s="128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6"/>
      <c r="CQ164" s="52" t="str">
        <f t="shared" si="582"/>
        <v/>
      </c>
      <c r="CX164" s="13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3"/>
      <c r="FS164" s="128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6"/>
      <c r="IB164" s="12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3"/>
      <c r="I165" s="128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3"/>
      <c r="BE165" s="128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6"/>
      <c r="CQ165" s="52" t="str">
        <f t="shared" si="582"/>
        <v/>
      </c>
      <c r="CX165" s="13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3"/>
      <c r="FS165" s="128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6"/>
      <c r="IB165" s="12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3"/>
      <c r="I166" s="128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3"/>
      <c r="BE166" s="128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6"/>
      <c r="CQ166" s="52" t="str">
        <f t="shared" si="582"/>
        <v/>
      </c>
      <c r="CX166" s="13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3"/>
      <c r="FS166" s="128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6"/>
      <c r="IB166" s="12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3"/>
      <c r="I167" s="128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3"/>
      <c r="BE167" s="128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6"/>
      <c r="CQ167" s="52" t="str">
        <f t="shared" si="582"/>
        <v/>
      </c>
      <c r="CX167" s="13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3"/>
      <c r="FS167" s="128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6"/>
      <c r="IB167" s="12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3"/>
      <c r="I168" s="128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3"/>
      <c r="BE168" s="128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6"/>
      <c r="CQ168" s="52" t="str">
        <f t="shared" si="582"/>
        <v/>
      </c>
      <c r="CX168" s="13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3"/>
      <c r="FS168" s="128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6"/>
      <c r="IB168" s="12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3"/>
      <c r="I169" s="128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3"/>
      <c r="BE169" s="128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6"/>
      <c r="CQ169" s="52" t="str">
        <f t="shared" si="582"/>
        <v/>
      </c>
      <c r="CX169" s="13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3"/>
      <c r="FS169" s="128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6"/>
      <c r="IB169" s="12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3"/>
      <c r="I170" s="128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3"/>
      <c r="BE170" s="128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6"/>
      <c r="CQ170" s="52" t="str">
        <f t="shared" si="582"/>
        <v/>
      </c>
      <c r="CX170" s="13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3"/>
      <c r="FS170" s="128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6"/>
      <c r="IB170" s="12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3"/>
      <c r="I171" s="128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3"/>
      <c r="BE171" s="128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6"/>
      <c r="CQ171" s="52" t="str">
        <f t="shared" si="582"/>
        <v/>
      </c>
      <c r="CX171" s="13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3"/>
      <c r="FS171" s="128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6"/>
      <c r="IB171" s="12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3"/>
      <c r="I172" s="128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3"/>
      <c r="BE172" s="128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6"/>
      <c r="CQ172" s="52" t="str">
        <f t="shared" si="582"/>
        <v/>
      </c>
      <c r="CX172" s="13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3"/>
      <c r="FS172" s="128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6"/>
      <c r="IB172" s="12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3"/>
      <c r="I173" s="128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3"/>
      <c r="BE173" s="128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6"/>
      <c r="CQ173" s="52" t="str">
        <f t="shared" si="582"/>
        <v/>
      </c>
      <c r="CX173" s="13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3"/>
      <c r="FS173" s="128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6"/>
      <c r="IB173" s="12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3"/>
      <c r="I174" s="128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3"/>
      <c r="BE174" s="128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6"/>
      <c r="CQ174" s="52" t="str">
        <f t="shared" si="582"/>
        <v/>
      </c>
      <c r="CX174" s="13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3"/>
      <c r="FS174" s="128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6"/>
      <c r="IB174" s="12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3"/>
      <c r="I175" s="128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3"/>
      <c r="BE175" s="128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6"/>
      <c r="CQ175" s="52" t="str">
        <f t="shared" si="582"/>
        <v/>
      </c>
      <c r="CX175" s="13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3"/>
      <c r="FS175" s="128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6"/>
      <c r="IB175" s="12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3"/>
      <c r="I176" s="128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3"/>
      <c r="BE176" s="128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6"/>
      <c r="CQ176" s="52" t="str">
        <f t="shared" si="582"/>
        <v/>
      </c>
      <c r="CX176" s="13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3"/>
      <c r="FS176" s="128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6"/>
      <c r="IB176" s="12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3"/>
      <c r="I177" s="128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3"/>
      <c r="BE177" s="128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6"/>
      <c r="CQ177" s="52" t="str">
        <f t="shared" si="582"/>
        <v/>
      </c>
      <c r="CX177" s="13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3"/>
      <c r="FS177" s="128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6"/>
      <c r="IB177" s="12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3"/>
      <c r="I178" s="128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3"/>
      <c r="BE178" s="128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6"/>
      <c r="CQ178" s="52" t="str">
        <f t="shared" si="582"/>
        <v/>
      </c>
      <c r="CX178" s="13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3"/>
      <c r="FS178" s="128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6"/>
      <c r="IB178" s="12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3"/>
      <c r="I179" s="128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3"/>
      <c r="BE179" s="128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6"/>
      <c r="CQ179" s="52" t="str">
        <f t="shared" si="582"/>
        <v/>
      </c>
      <c r="CX179" s="13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3"/>
      <c r="FS179" s="128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6"/>
      <c r="IB179" s="12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3"/>
      <c r="I180" s="128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3"/>
      <c r="BE180" s="128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6"/>
      <c r="CQ180" s="52" t="str">
        <f t="shared" si="582"/>
        <v/>
      </c>
      <c r="CX180" s="13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3"/>
      <c r="FS180" s="128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6"/>
      <c r="IB180" s="12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3"/>
      <c r="I181" s="128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3"/>
      <c r="BE181" s="128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6"/>
      <c r="CQ181" s="52" t="str">
        <f t="shared" si="582"/>
        <v/>
      </c>
      <c r="CX181" s="13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3"/>
      <c r="FS181" s="128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6"/>
      <c r="IB181" s="12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3"/>
      <c r="I182" s="128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3"/>
      <c r="BE182" s="128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6"/>
      <c r="CQ182" s="52" t="str">
        <f t="shared" si="582"/>
        <v/>
      </c>
      <c r="CX182" s="13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3"/>
      <c r="FS182" s="128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6"/>
      <c r="IB182" s="12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3"/>
      <c r="I183" s="128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3"/>
      <c r="BE183" s="128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6"/>
      <c r="CQ183" s="52" t="str">
        <f t="shared" si="582"/>
        <v/>
      </c>
      <c r="CX183" s="13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3"/>
      <c r="FS183" s="128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6"/>
      <c r="IB183" s="12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3"/>
      <c r="I184" s="128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3"/>
      <c r="BE184" s="128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6"/>
      <c r="CQ184" s="52" t="str">
        <f t="shared" si="582"/>
        <v/>
      </c>
      <c r="CX184" s="13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3"/>
      <c r="FS184" s="128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6"/>
      <c r="IB184" s="12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3"/>
      <c r="I185" s="128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3"/>
      <c r="BE185" s="128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6"/>
      <c r="CQ185" s="52" t="str">
        <f t="shared" si="582"/>
        <v/>
      </c>
      <c r="CX185" s="13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3"/>
      <c r="FS185" s="128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6"/>
      <c r="IB185" s="12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3"/>
      <c r="I186" s="128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3"/>
      <c r="BE186" s="128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6"/>
      <c r="CQ186" s="52" t="str">
        <f t="shared" si="582"/>
        <v/>
      </c>
      <c r="CX186" s="13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3"/>
      <c r="FS186" s="128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6"/>
      <c r="IB186" s="12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3"/>
      <c r="I187" s="128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3"/>
      <c r="BE187" s="128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6"/>
      <c r="CQ187" s="52" t="str">
        <f t="shared" si="582"/>
        <v/>
      </c>
      <c r="CX187" s="13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3"/>
      <c r="FS187" s="128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6"/>
      <c r="IB187" s="12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3"/>
      <c r="I188" s="128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3"/>
      <c r="BE188" s="128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6"/>
      <c r="CQ188" s="52" t="str">
        <f t="shared" si="582"/>
        <v/>
      </c>
      <c r="CX188" s="13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3"/>
      <c r="FS188" s="128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6"/>
      <c r="IB188" s="12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3"/>
      <c r="I189" s="128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3"/>
      <c r="BE189" s="128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6"/>
      <c r="CQ189" s="52" t="str">
        <f t="shared" si="582"/>
        <v/>
      </c>
      <c r="CX189" s="13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3"/>
      <c r="FS189" s="128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6"/>
      <c r="IB189" s="12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3"/>
      <c r="I190" s="128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3"/>
      <c r="BE190" s="128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6"/>
      <c r="CQ190" s="52" t="str">
        <f t="shared" si="582"/>
        <v/>
      </c>
      <c r="CX190" s="13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3"/>
      <c r="FS190" s="128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6"/>
      <c r="IB190" s="12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3"/>
      <c r="I191" s="128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3"/>
      <c r="BE191" s="128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6"/>
      <c r="CQ191" s="52" t="str">
        <f t="shared" si="582"/>
        <v/>
      </c>
      <c r="CX191" s="13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3"/>
      <c r="FS191" s="128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6"/>
      <c r="IB191" s="12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3"/>
      <c r="I192" s="128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3"/>
      <c r="BE192" s="128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6"/>
      <c r="CQ192" s="52" t="str">
        <f t="shared" si="582"/>
        <v/>
      </c>
      <c r="CX192" s="13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3"/>
      <c r="FS192" s="128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6"/>
      <c r="IB192" s="12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3"/>
      <c r="I193" s="128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3"/>
      <c r="BE193" s="128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6"/>
      <c r="CQ193" s="52" t="str">
        <f t="shared" si="582"/>
        <v/>
      </c>
      <c r="CX193" s="13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3"/>
      <c r="FS193" s="128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6"/>
      <c r="IB193" s="12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3"/>
      <c r="I194" s="128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3"/>
      <c r="BE194" s="128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6"/>
      <c r="CQ194" s="52" t="str">
        <f t="shared" si="582"/>
        <v/>
      </c>
      <c r="CX194" s="13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3"/>
      <c r="FS194" s="128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6"/>
      <c r="IB194" s="12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3"/>
      <c r="I195" s="128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3"/>
      <c r="BE195" s="128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6"/>
      <c r="CQ195" s="52" t="str">
        <f t="shared" si="582"/>
        <v/>
      </c>
      <c r="CX195" s="13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3"/>
      <c r="FS195" s="128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6"/>
      <c r="IB195" s="12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3"/>
      <c r="I196" s="128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3"/>
      <c r="BE196" s="128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6"/>
      <c r="CQ196" s="52" t="str">
        <f t="shared" si="582"/>
        <v/>
      </c>
      <c r="CX196" s="13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3"/>
      <c r="FS196" s="128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6"/>
      <c r="IB196" s="12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3"/>
      <c r="I197" s="128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3"/>
      <c r="BE197" s="128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6"/>
      <c r="CQ197" s="52" t="str">
        <f t="shared" si="582"/>
        <v/>
      </c>
      <c r="CX197" s="13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3"/>
      <c r="FS197" s="128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6"/>
      <c r="IB197" s="12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3"/>
      <c r="I198" s="128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3"/>
      <c r="BE198" s="128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6"/>
      <c r="CQ198" s="52" t="str">
        <f t="shared" si="582"/>
        <v/>
      </c>
      <c r="CX198" s="13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3"/>
      <c r="FS198" s="128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6"/>
      <c r="IB198" s="12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3"/>
      <c r="I199" s="128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3"/>
      <c r="BE199" s="128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6"/>
      <c r="CQ199" s="52" t="str">
        <f t="shared" si="582"/>
        <v/>
      </c>
      <c r="CX199" s="13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3"/>
      <c r="FS199" s="128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6"/>
      <c r="IB199" s="12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3"/>
      <c r="I200" s="128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3"/>
      <c r="BE200" s="128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6"/>
      <c r="CQ200" s="52" t="str">
        <f t="shared" si="582"/>
        <v/>
      </c>
      <c r="CX200" s="13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3"/>
      <c r="FS200" s="128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6"/>
      <c r="IB200" s="12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4"/>
      <c r="I201" s="132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4"/>
      <c r="BE201" s="132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7"/>
      <c r="CQ201" s="53" t="str">
        <f t="shared" si="582"/>
        <v/>
      </c>
      <c r="CX201" s="13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4"/>
      <c r="FS201" s="132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7"/>
      <c r="IB201" s="12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4A8D-7303-43A8-A16B-792085711F8B}">
  <dimension ref="D5:M11"/>
  <sheetViews>
    <sheetView showGridLines="0" workbookViewId="0">
      <selection activeCell="O5" sqref="O5"/>
    </sheetView>
  </sheetViews>
  <sheetFormatPr defaultRowHeight="12"/>
  <cols>
    <col min="3" max="3" width="19.6640625" customWidth="1"/>
    <col min="4" max="4" width="21.6640625" customWidth="1"/>
    <col min="5" max="7" width="9.5" customWidth="1"/>
    <col min="9" max="9" width="19.6640625" customWidth="1"/>
    <col min="10" max="10" width="9.5" customWidth="1"/>
    <col min="11" max="11" width="17.6640625" customWidth="1"/>
  </cols>
  <sheetData>
    <row r="5" spans="4:13" ht="24.75">
      <c r="D5" s="106" t="s">
        <v>1</v>
      </c>
      <c r="E5" s="107" t="s">
        <v>335</v>
      </c>
      <c r="F5" s="107" t="s">
        <v>336</v>
      </c>
      <c r="G5" s="107" t="s">
        <v>337</v>
      </c>
      <c r="H5" s="108" t="s">
        <v>30</v>
      </c>
      <c r="K5" s="108" t="s">
        <v>1</v>
      </c>
      <c r="L5" s="109" t="s">
        <v>338</v>
      </c>
      <c r="M5" s="109" t="s">
        <v>339</v>
      </c>
    </row>
    <row r="6" spans="4:13">
      <c r="D6" s="110" t="s">
        <v>12</v>
      </c>
      <c r="E6" s="101">
        <v>1.102076889085285</v>
      </c>
      <c r="F6" s="101">
        <v>0.77414775634190425</v>
      </c>
      <c r="G6" s="101">
        <v>1.5689168631000725</v>
      </c>
      <c r="H6" s="102">
        <v>0.175673499722307</v>
      </c>
      <c r="K6" s="110" t="s">
        <v>12</v>
      </c>
      <c r="L6" s="111">
        <v>9.7196480606444369E-2</v>
      </c>
      <c r="M6" s="111">
        <v>0.18011840828426004</v>
      </c>
    </row>
    <row r="7" spans="4:13">
      <c r="D7" s="110" t="s">
        <v>12</v>
      </c>
      <c r="E7" s="101">
        <v>1.1547711733101051</v>
      </c>
      <c r="F7" s="101">
        <v>0.79572475790243646</v>
      </c>
      <c r="G7" s="101">
        <v>1.6758262822224472</v>
      </c>
      <c r="H7" s="102">
        <v>0.15788541113746285</v>
      </c>
      <c r="K7" s="110" t="s">
        <v>12</v>
      </c>
      <c r="L7" s="111">
        <v>0.14390220599949552</v>
      </c>
      <c r="M7" s="111">
        <v>0.18999414861669803</v>
      </c>
    </row>
    <row r="8" spans="4:13">
      <c r="D8" s="110" t="s">
        <v>25</v>
      </c>
      <c r="E8" s="101">
        <v>1.3511536027552333</v>
      </c>
      <c r="F8" s="101">
        <v>0.92561643351910683</v>
      </c>
      <c r="G8" s="101">
        <v>1.9723245959426476</v>
      </c>
      <c r="H8" s="102">
        <v>0.15307566495596747</v>
      </c>
      <c r="K8" s="110" t="s">
        <v>25</v>
      </c>
      <c r="L8" s="111">
        <v>0.30095874811493556</v>
      </c>
      <c r="M8" s="111">
        <v>0.19295593875450406</v>
      </c>
    </row>
    <row r="9" spans="4:13">
      <c r="D9" s="110" t="s">
        <v>21</v>
      </c>
      <c r="E9" s="101">
        <v>1.0462875939849625</v>
      </c>
      <c r="F9" s="101">
        <v>0.74422006261036044</v>
      </c>
      <c r="G9" s="101">
        <v>1.4709597124902904</v>
      </c>
      <c r="H9" s="102">
        <v>0.18888324182573141</v>
      </c>
      <c r="K9" s="110" t="s">
        <v>21</v>
      </c>
      <c r="L9" s="111">
        <v>4.5248274300222172E-2</v>
      </c>
      <c r="M9" s="111">
        <v>0.17370587734913909</v>
      </c>
    </row>
    <row r="10" spans="4:13">
      <c r="D10" s="110" t="s">
        <v>21</v>
      </c>
      <c r="E10" s="101">
        <v>0.91797135243171224</v>
      </c>
      <c r="F10" s="101">
        <v>0.6590181322108406</v>
      </c>
      <c r="G10" s="101">
        <v>1.278677114783406</v>
      </c>
      <c r="H10" s="102">
        <v>0.1995760035694957</v>
      </c>
      <c r="K10" s="110" t="s">
        <v>21</v>
      </c>
      <c r="L10" s="111">
        <v>-8.5589095349982366E-2</v>
      </c>
      <c r="M10" s="111">
        <v>0.16898846698085535</v>
      </c>
    </row>
    <row r="11" spans="4:13">
      <c r="D11" s="110" t="s">
        <v>21</v>
      </c>
      <c r="E11" s="101">
        <v>1.04667140488036</v>
      </c>
      <c r="F11" s="101">
        <v>0.6884529622419121</v>
      </c>
      <c r="G11" s="101">
        <v>1.5912794190422508</v>
      </c>
      <c r="H11" s="102">
        <v>0.12490617878903544</v>
      </c>
      <c r="K11" s="110" t="s">
        <v>21</v>
      </c>
      <c r="L11" s="111">
        <v>4.561503819756367E-2</v>
      </c>
      <c r="M11" s="111">
        <v>0.21360886178986249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2023-08-23T11:15:19Z</dcterms:modified>
  <cp:category/>
  <cp:contentStatus/>
</cp:coreProperties>
</file>