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590" firstSheet="1" activeTab="5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93" i="2" l="1"/>
  <c r="A125" i="2"/>
  <c r="AM3" i="2"/>
  <c r="AG3" i="8" s="1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J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BJ127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67" i="2"/>
  <c r="AX67" i="2"/>
  <c r="AW148" i="2"/>
  <c r="AY52" i="2"/>
  <c r="AY132" i="2"/>
  <c r="A197" i="2"/>
  <c r="AX199" i="2"/>
  <c r="AW180" i="2"/>
  <c r="AX132" i="2"/>
  <c r="AY68" i="2"/>
  <c r="IV195" i="2"/>
  <c r="IW195" i="2" s="1"/>
  <c r="AX187" i="2"/>
  <c r="AX68" i="2"/>
  <c r="AY199" i="2"/>
  <c r="AX148" i="2"/>
  <c r="AX135" i="2"/>
  <c r="AX52" i="2"/>
  <c r="AY187" i="2"/>
  <c r="BJ170" i="2"/>
  <c r="BJ58" i="2"/>
  <c r="BI162" i="2"/>
  <c r="E5" i="2"/>
  <c r="D5" i="2"/>
  <c r="DA5" i="2"/>
  <c r="C5" i="2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179" i="2"/>
  <c r="IW179" i="2" s="1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DP45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BJ104" i="2"/>
  <c r="IV53" i="2"/>
  <c r="IW53" i="2" s="1"/>
  <c r="AY47" i="2"/>
  <c r="AX47" i="2"/>
  <c r="BY103" i="2"/>
  <c r="BY79" i="2"/>
  <c r="IY36" i="2"/>
  <c r="CJ58" i="2"/>
  <c r="IV45" i="2"/>
  <c r="IW45" i="2" s="1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BX193" i="2"/>
  <c r="AW58" i="2"/>
  <c r="AY58" i="2"/>
  <c r="AY154" i="2"/>
  <c r="AW154" i="2"/>
  <c r="AY195" i="2"/>
  <c r="AX195" i="2"/>
  <c r="IY63" i="2"/>
  <c r="IV63" i="2"/>
  <c r="IW63" i="2" s="1"/>
  <c r="A37" i="2"/>
  <c r="AW191" i="2"/>
  <c r="AW195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123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X91" i="2" l="1"/>
  <c r="BJ72" i="2"/>
  <c r="BX107" i="2"/>
  <c r="BX115" i="2"/>
  <c r="BY95" i="2"/>
  <c r="BY159" i="2"/>
  <c r="BJ135" i="2"/>
  <c r="AI5" i="8"/>
  <c r="IV99" i="2"/>
  <c r="IW99" i="2" s="1"/>
  <c r="AL105" i="2"/>
  <c r="A83" i="2"/>
  <c r="AL43" i="2"/>
  <c r="AW196" i="2"/>
  <c r="DP31" i="2"/>
  <c r="A4" i="1"/>
  <c r="A5" i="1" s="1"/>
  <c r="AW91" i="2"/>
  <c r="BX171" i="2"/>
  <c r="E10" i="10"/>
  <c r="FB10" i="2" s="1"/>
  <c r="BX43" i="2"/>
  <c r="BI178" i="2"/>
  <c r="BY199" i="2"/>
  <c r="BX51" i="2"/>
  <c r="BY71" i="2"/>
  <c r="BJ118" i="2"/>
  <c r="BX75" i="2"/>
  <c r="BJ175" i="2"/>
  <c r="BI39" i="2"/>
  <c r="CK172" i="2"/>
  <c r="DR143" i="2"/>
  <c r="AX64" i="2"/>
  <c r="DP71" i="2"/>
  <c r="DS83" i="2"/>
  <c r="CK116" i="2"/>
  <c r="CK167" i="2"/>
  <c r="DP143" i="2"/>
  <c r="DR192" i="2"/>
  <c r="CK131" i="2"/>
  <c r="AW64" i="2"/>
  <c r="AY32" i="2"/>
  <c r="AW72" i="2"/>
  <c r="AY115" i="2"/>
  <c r="AX107" i="2"/>
  <c r="CJ96" i="2"/>
  <c r="DP72" i="2"/>
  <c r="CK187" i="2"/>
  <c r="AX32" i="2"/>
  <c r="DP200" i="2"/>
  <c r="AX115" i="2"/>
  <c r="DS71" i="2"/>
  <c r="DS132" i="2"/>
  <c r="AX72" i="2"/>
  <c r="AX147" i="2"/>
  <c r="AX123" i="2"/>
  <c r="IV96" i="2"/>
  <c r="IW96" i="2" s="1"/>
  <c r="CJ103" i="2"/>
  <c r="AY200" i="2"/>
  <c r="IV59" i="2"/>
  <c r="IW59" i="2" s="1"/>
  <c r="AW147" i="2"/>
  <c r="DR26" i="2"/>
  <c r="AW107" i="2"/>
  <c r="AX200" i="2"/>
  <c r="DR200" i="2"/>
  <c r="DR72" i="2"/>
  <c r="AW123" i="2"/>
  <c r="DP26" i="2"/>
  <c r="CJ32" i="2"/>
  <c r="DP192" i="2"/>
  <c r="CK108" i="2"/>
  <c r="CJ72" i="2"/>
  <c r="CK91" i="2"/>
  <c r="AX96" i="2"/>
  <c r="DR120" i="2"/>
  <c r="AW96" i="2"/>
  <c r="IY192" i="2"/>
  <c r="CK95" i="2"/>
  <c r="DR51" i="2"/>
  <c r="IV40" i="2"/>
  <c r="IW40" i="2" s="1"/>
  <c r="CK92" i="2"/>
  <c r="DP51" i="2"/>
  <c r="A75" i="2"/>
  <c r="CK147" i="2"/>
  <c r="CJ132" i="2"/>
  <c r="CK143" i="2"/>
  <c r="AY196" i="2"/>
  <c r="CJ200" i="2"/>
  <c r="CK175" i="2"/>
  <c r="DP120" i="2"/>
  <c r="AL115" i="2"/>
  <c r="CJ56" i="2"/>
  <c r="A67" i="2"/>
  <c r="A140" i="2"/>
  <c r="AL99" i="2"/>
  <c r="A148" i="2"/>
  <c r="A187" i="2"/>
  <c r="AL35" i="2"/>
  <c r="AL68" i="2"/>
  <c r="AL91" i="2"/>
  <c r="AL51" i="2"/>
  <c r="AX43" i="2"/>
  <c r="IY155" i="2"/>
  <c r="AY171" i="2"/>
  <c r="IY163" i="2"/>
  <c r="AW59" i="2"/>
  <c r="CK107" i="2"/>
  <c r="DR127" i="2"/>
  <c r="AY43" i="2"/>
  <c r="IY131" i="2"/>
  <c r="AX171" i="2"/>
  <c r="AX59" i="2"/>
  <c r="CK180" i="2"/>
  <c r="IV91" i="2"/>
  <c r="IW91" i="2" s="1"/>
  <c r="IV67" i="2"/>
  <c r="IW67" i="2" s="1"/>
  <c r="AX139" i="2"/>
  <c r="AW99" i="2"/>
  <c r="IY43" i="2"/>
  <c r="IY35" i="2"/>
  <c r="CJ123" i="2"/>
  <c r="AX99" i="2"/>
  <c r="AY51" i="2"/>
  <c r="AX75" i="2"/>
  <c r="AW75" i="2"/>
  <c r="B10" i="2"/>
  <c r="AI10" i="8" s="1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 l="1"/>
  <c r="DP13" i="2" s="1"/>
  <c r="DR15" i="2"/>
  <c r="DP15" i="2" s="1"/>
  <c r="DR14" i="2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M7" i="2"/>
  <c r="AS7" i="2" s="1"/>
  <c r="FE6" i="2"/>
  <c r="Z2" i="2"/>
  <c r="Y2" i="2"/>
  <c r="DD9" i="2"/>
  <c r="AY7" i="2" l="1"/>
  <c r="BH7" i="2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GT12" i="2" l="1"/>
  <c r="GQ12" i="2"/>
  <c r="FT12" i="2"/>
  <c r="FX12" i="2"/>
  <c r="AU12" i="8" s="1"/>
  <c r="IM12" i="2" s="1"/>
  <c r="GE12" i="2"/>
  <c r="GN12" i="2"/>
  <c r="FY12" i="2"/>
  <c r="BG12" i="8" s="1"/>
  <c r="IY12" i="2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12" i="8" l="1"/>
  <c r="IL12" i="2" s="1"/>
  <c r="JH12" i="2"/>
  <c r="JI12" i="2" s="1"/>
  <c r="JJ12" i="2" s="1"/>
  <c r="DT24" i="2"/>
  <c r="GD14" i="2"/>
  <c r="BG7" i="8"/>
  <c r="IY7" i="2" s="1"/>
  <c r="AV7" i="8"/>
  <c r="IL7" i="2" s="1"/>
  <c r="JH7" i="2"/>
  <c r="JI7" i="2" s="1"/>
  <c r="JJ7" i="2" s="1"/>
  <c r="DT71" i="2"/>
  <c r="EV71" i="2" s="1"/>
  <c r="DT89" i="2"/>
  <c r="ES89" i="2" s="1"/>
  <c r="EU89" i="2" s="1"/>
  <c r="DT194" i="2"/>
  <c r="DT192" i="2"/>
  <c r="DU192" i="2" s="1"/>
  <c r="DT42" i="2"/>
  <c r="EQ42" i="2" s="1"/>
  <c r="DT164" i="2"/>
  <c r="EE164" i="2" s="1"/>
  <c r="DT135" i="2"/>
  <c r="DT183" i="2"/>
  <c r="DU183" i="2" s="1"/>
  <c r="DT88" i="2"/>
  <c r="EI88" i="2" s="1"/>
  <c r="DT63" i="2"/>
  <c r="ED63" i="2" s="1"/>
  <c r="DT148" i="2"/>
  <c r="DT12" i="2"/>
  <c r="DV12" i="2" s="1"/>
  <c r="DT199" i="2"/>
  <c r="EN199" i="2" s="1"/>
  <c r="DT93" i="2"/>
  <c r="DT184" i="2"/>
  <c r="DT149" i="2"/>
  <c r="DT187" i="2"/>
  <c r="ER187" i="2" s="1"/>
  <c r="DT101" i="2"/>
  <c r="DW101" i="2" s="1"/>
  <c r="DT97" i="2"/>
  <c r="DT158" i="2"/>
  <c r="EM158" i="2" s="1"/>
  <c r="DT162" i="2"/>
  <c r="DZ162" i="2" s="1"/>
  <c r="DT94" i="2"/>
  <c r="ED94" i="2" s="1"/>
  <c r="DT62" i="2"/>
  <c r="DT189" i="2"/>
  <c r="DT47" i="2"/>
  <c r="EB47" i="2" s="1"/>
  <c r="DT115" i="2"/>
  <c r="EF115" i="2" s="1"/>
  <c r="DT130" i="2"/>
  <c r="DT120" i="2"/>
  <c r="EM120" i="2" s="1"/>
  <c r="DT185" i="2"/>
  <c r="ES185" i="2" s="1"/>
  <c r="EU185" i="2" s="1"/>
  <c r="DT193" i="2"/>
  <c r="DT150" i="2"/>
  <c r="DT87" i="2"/>
  <c r="EG87" i="2" s="1"/>
  <c r="DT13" i="2"/>
  <c r="DT86" i="2"/>
  <c r="EE86" i="2" s="1"/>
  <c r="DT119" i="2"/>
  <c r="DT198" i="2"/>
  <c r="ER198" i="2" s="1"/>
  <c r="DT197" i="2"/>
  <c r="DT161" i="2"/>
  <c r="DT67" i="2"/>
  <c r="DT76" i="2"/>
  <c r="EJ76" i="2" s="1"/>
  <c r="DT59" i="2"/>
  <c r="EH59" i="2" s="1"/>
  <c r="DT188" i="2"/>
  <c r="DZ188" i="2" s="1"/>
  <c r="DT52" i="2"/>
  <c r="DT35" i="2"/>
  <c r="ES35" i="2" s="1"/>
  <c r="EU35" i="2" s="1"/>
  <c r="DT25" i="2"/>
  <c r="EQ25" i="2" s="1"/>
  <c r="DT111" i="2"/>
  <c r="EP111" i="2" s="1"/>
  <c r="DT171" i="2"/>
  <c r="DT15" i="2"/>
  <c r="EG15" i="2" s="1"/>
  <c r="DT131" i="2"/>
  <c r="EC131" i="2" s="1"/>
  <c r="DT126" i="2"/>
  <c r="ED126" i="2" s="1"/>
  <c r="DT140" i="2"/>
  <c r="DT70" i="2"/>
  <c r="EB70" i="2" s="1"/>
  <c r="DT154" i="2"/>
  <c r="DZ154" i="2" s="1"/>
  <c r="DT75" i="2"/>
  <c r="ES75" i="2" s="1"/>
  <c r="EU75" i="2" s="1"/>
  <c r="DT155" i="2"/>
  <c r="DT77" i="2"/>
  <c r="EV77" i="2" s="1"/>
  <c r="DT107" i="2"/>
  <c r="EO107" i="2" s="1"/>
  <c r="DT186" i="2"/>
  <c r="DV186" i="2" s="1"/>
  <c r="DT43" i="2"/>
  <c r="DT159" i="2"/>
  <c r="EE159" i="2" s="1"/>
  <c r="DT132" i="2"/>
  <c r="EG132" i="2" s="1"/>
  <c r="DT23" i="2"/>
  <c r="DU23" i="2" s="1"/>
  <c r="DT22" i="2"/>
  <c r="DT112" i="2"/>
  <c r="EM112" i="2" s="1"/>
  <c r="DT137" i="2"/>
  <c r="ED137" i="2" s="1"/>
  <c r="DT79" i="2"/>
  <c r="DT85" i="2"/>
  <c r="DT142" i="2"/>
  <c r="EL142" i="2" s="1"/>
  <c r="DT157" i="2"/>
  <c r="EP157" i="2" s="1"/>
  <c r="DT200" i="2"/>
  <c r="ES200" i="2" s="1"/>
  <c r="EU200" i="2" s="1"/>
  <c r="DT127" i="2"/>
  <c r="DT180" i="2"/>
  <c r="EF180" i="2" s="1"/>
  <c r="DT14" i="2"/>
  <c r="EN14" i="2" s="1"/>
  <c r="DT125" i="2"/>
  <c r="DT116" i="2"/>
  <c r="DT40" i="2"/>
  <c r="EA40" i="2" s="1"/>
  <c r="ET40" i="2" s="1"/>
  <c r="DT58" i="2"/>
  <c r="EF58" i="2" s="1"/>
  <c r="DT36" i="2"/>
  <c r="DT73" i="2"/>
  <c r="DT34" i="2"/>
  <c r="EF34" i="2" s="1"/>
  <c r="DT46" i="2"/>
  <c r="EN46" i="2" s="1"/>
  <c r="DT121" i="2"/>
  <c r="ES121" i="2" s="1"/>
  <c r="EU121" i="2" s="1"/>
  <c r="DT145" i="2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E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L129" i="2" s="1"/>
  <c r="DT32" i="2"/>
  <c r="EA32" i="2" s="1"/>
  <c r="ET32" i="2" s="1"/>
  <c r="DT110" i="2"/>
  <c r="EP110" i="2" s="1"/>
  <c r="DT96" i="2"/>
  <c r="DV96" i="2" s="1"/>
  <c r="DT122" i="2"/>
  <c r="DT118" i="2"/>
  <c r="EM118" i="2" s="1"/>
  <c r="DT177" i="2"/>
  <c r="DU177" i="2" s="1"/>
  <c r="DT167" i="2"/>
  <c r="DT84" i="2"/>
  <c r="EI84" i="2" s="1"/>
  <c r="DT21" i="2"/>
  <c r="EQ21" i="2" s="1"/>
  <c r="DT9" i="2"/>
  <c r="EC9" i="2" s="1"/>
  <c r="DT48" i="2"/>
  <c r="DT26" i="2"/>
  <c r="EF26" i="2" s="1"/>
  <c r="DT108" i="2"/>
  <c r="EA108" i="2" s="1"/>
  <c r="ET108" i="2" s="1"/>
  <c r="DT80" i="2"/>
  <c r="DT124" i="2"/>
  <c r="EI124" i="2" s="1"/>
  <c r="DT163" i="2"/>
  <c r="DU163" i="2" s="1"/>
  <c r="DT173" i="2"/>
  <c r="EK173" i="2" s="1"/>
  <c r="DT60" i="2"/>
  <c r="DX60" i="2" s="1"/>
  <c r="DY60" i="2" s="1"/>
  <c r="DT72" i="2"/>
  <c r="DT165" i="2"/>
  <c r="DT168" i="2"/>
  <c r="DW168" i="2" s="1"/>
  <c r="DT50" i="2"/>
  <c r="EI50" i="2" s="1"/>
  <c r="DT174" i="2"/>
  <c r="DT38" i="2"/>
  <c r="EO38" i="2" s="1"/>
  <c r="DT104" i="2"/>
  <c r="EN104" i="2" s="1"/>
  <c r="DT44" i="2"/>
  <c r="EO44" i="2" s="1"/>
  <c r="DT152" i="2"/>
  <c r="DT30" i="2"/>
  <c r="EG30" i="2" s="1"/>
  <c r="DT74" i="2"/>
  <c r="DX74" i="2" s="1"/>
  <c r="DY74" i="2" s="1"/>
  <c r="DT16" i="2"/>
  <c r="ES16" i="2" s="1"/>
  <c r="EU16" i="2" s="1"/>
  <c r="DT49" i="2"/>
  <c r="DT39" i="2"/>
  <c r="EF39" i="2" s="1"/>
  <c r="DT27" i="2"/>
  <c r="ER27" i="2" s="1"/>
  <c r="DT28" i="2"/>
  <c r="EE28" i="2" s="1"/>
  <c r="DT98" i="2"/>
  <c r="DT182" i="2"/>
  <c r="EO182" i="2" s="1"/>
  <c r="DT201" i="2"/>
  <c r="EG201" i="2" s="1"/>
  <c r="DT195" i="2"/>
  <c r="DT106" i="2"/>
  <c r="EI106" i="2" s="1"/>
  <c r="DT90" i="2"/>
  <c r="DX90" i="2" s="1"/>
  <c r="DY90" i="2" s="1"/>
  <c r="DT57" i="2"/>
  <c r="ER57" i="2" s="1"/>
  <c r="DT64" i="2"/>
  <c r="EF64" i="2" s="1"/>
  <c r="DT66" i="2"/>
  <c r="DT78" i="2"/>
  <c r="DX78" i="2" s="1"/>
  <c r="DY78" i="2" s="1"/>
  <c r="DT53" i="2"/>
  <c r="EV53" i="2" s="1"/>
  <c r="DT153" i="2"/>
  <c r="EQ153" i="2" s="1"/>
  <c r="DT82" i="2"/>
  <c r="DT95" i="2"/>
  <c r="DT19" i="2"/>
  <c r="EN19" i="2" s="1"/>
  <c r="DT31" i="2"/>
  <c r="EN31" i="2" s="1"/>
  <c r="DT92" i="2"/>
  <c r="DT55" i="2"/>
  <c r="ED55" i="2" s="1"/>
  <c r="DT156" i="2"/>
  <c r="DV156" i="2" s="1"/>
  <c r="DT133" i="2"/>
  <c r="EB133" i="2" s="1"/>
  <c r="DT178" i="2"/>
  <c r="DT147" i="2"/>
  <c r="DT102" i="2"/>
  <c r="DW102" i="2" s="1"/>
  <c r="DT176" i="2"/>
  <c r="ED176" i="2" s="1"/>
  <c r="DT69" i="2"/>
  <c r="DZ69" i="2" s="1"/>
  <c r="DT144" i="2"/>
  <c r="EI144" i="2" s="1"/>
  <c r="DT33" i="2"/>
  <c r="DV33" i="2" s="1"/>
  <c r="DT100" i="2"/>
  <c r="DT114" i="2"/>
  <c r="DT18" i="2"/>
  <c r="ED18" i="2" s="1"/>
  <c r="DT170" i="2"/>
  <c r="ER170" i="2" s="1"/>
  <c r="DT166" i="2"/>
  <c r="ER166" i="2" s="1"/>
  <c r="DT56" i="2"/>
  <c r="DT68" i="2"/>
  <c r="EP68" i="2" s="1"/>
  <c r="DT169" i="2"/>
  <c r="DZ169" i="2" s="1"/>
  <c r="DT123" i="2"/>
  <c r="EH123" i="2" s="1"/>
  <c r="DT51" i="2"/>
  <c r="DT190" i="2"/>
  <c r="ED190" i="2" s="1"/>
  <c r="DT138" i="2"/>
  <c r="DV138" i="2" s="1"/>
  <c r="DT117" i="2"/>
  <c r="DU117" i="2" s="1"/>
  <c r="DT61" i="2"/>
  <c r="DT54" i="2"/>
  <c r="ED54" i="2" s="1"/>
  <c r="DT103" i="2"/>
  <c r="EB103" i="2" s="1"/>
  <c r="DT91" i="2"/>
  <c r="EK91" i="2" s="1"/>
  <c r="DT99" i="2"/>
  <c r="DT181" i="2"/>
  <c r="EV181" i="2" s="1"/>
  <c r="DT143" i="2"/>
  <c r="DV143" i="2" s="1"/>
  <c r="DT29" i="2"/>
  <c r="DX29" i="2" s="1"/>
  <c r="DY29" i="2" s="1"/>
  <c r="DT139" i="2"/>
  <c r="DT191" i="2"/>
  <c r="EG191" i="2" s="1"/>
  <c r="DT109" i="2"/>
  <c r="EK109" i="2" s="1"/>
  <c r="DT20" i="2"/>
  <c r="EB20" i="2" s="1"/>
  <c r="DT41" i="2"/>
  <c r="DT65" i="2"/>
  <c r="EL65" i="2" s="1"/>
  <c r="DT196" i="2"/>
  <c r="EI196" i="2" s="1"/>
  <c r="DT17" i="2"/>
  <c r="EF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G183" i="2"/>
  <c r="EL40" i="2"/>
  <c r="DV40" i="2"/>
  <c r="EK40" i="2"/>
  <c r="EH35" i="2"/>
  <c r="DV35" i="2"/>
  <c r="DW136" i="2"/>
  <c r="EO136" i="2"/>
  <c r="DZ136" i="2"/>
  <c r="DX95" i="2"/>
  <c r="DY95" i="2" s="1"/>
  <c r="EV42" i="2"/>
  <c r="EK42" i="2"/>
  <c r="EM42" i="2"/>
  <c r="EO129" i="2"/>
  <c r="EP169" i="2"/>
  <c r="EG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EC86" i="2"/>
  <c r="DX147" i="2"/>
  <c r="DY147" i="2" s="1"/>
  <c r="ER147" i="2"/>
  <c r="DV70" i="2"/>
  <c r="EP70" i="2"/>
  <c r="EK70" i="2"/>
  <c r="EJ164" i="2"/>
  <c r="EA9" i="2"/>
  <c r="ET9" i="2" s="1"/>
  <c r="EM9" i="2"/>
  <c r="EC189" i="2"/>
  <c r="DX28" i="2"/>
  <c r="DY28" i="2" s="1"/>
  <c r="EL28" i="2"/>
  <c r="EQ121" i="2"/>
  <c r="EA111" i="2"/>
  <c r="ET111" i="2" s="1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B18" i="2"/>
  <c r="EE148" i="2"/>
  <c r="DX148" i="2"/>
  <c r="DY148" i="2" s="1"/>
  <c r="EG148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M108" i="2"/>
  <c r="EN108" i="2"/>
  <c r="EJ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P168" i="2"/>
  <c r="EJ157" i="2"/>
  <c r="DW157" i="2"/>
  <c r="EM157" i="2"/>
  <c r="EA157" i="2"/>
  <c r="ET157" i="2" s="1"/>
  <c r="EN157" i="2"/>
  <c r="DZ157" i="2"/>
  <c r="EG47" i="2"/>
  <c r="EM47" i="2"/>
  <c r="EH74" i="2"/>
  <c r="DZ74" i="2"/>
  <c r="EA74" i="2"/>
  <c r="ET74" i="2" s="1"/>
  <c r="EG74" i="2"/>
  <c r="EF74" i="2"/>
  <c r="EC74" i="2"/>
  <c r="EH58" i="2"/>
  <c r="EC58" i="2"/>
  <c r="EK58" i="2"/>
  <c r="EV58" i="2"/>
  <c r="ER58" i="2"/>
  <c r="EM58" i="2"/>
  <c r="EN58" i="2"/>
  <c r="DZ58" i="2"/>
  <c r="EB58" i="2"/>
  <c r="EM88" i="2"/>
  <c r="EB88" i="2"/>
  <c r="DU201" i="2"/>
  <c r="EV201" i="2"/>
  <c r="EN201" i="2"/>
  <c r="EB201" i="2"/>
  <c r="EA201" i="2"/>
  <c r="ET201" i="2" s="1"/>
  <c r="EP201" i="2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R53" i="2"/>
  <c r="EI53" i="2"/>
  <c r="EJ53" i="2"/>
  <c r="ED53" i="2"/>
  <c r="DV53" i="2"/>
  <c r="EK53" i="2"/>
  <c r="EA53" i="2"/>
  <c r="ET53" i="2" s="1"/>
  <c r="EM53" i="2"/>
  <c r="EQ53" i="2"/>
  <c r="EA103" i="2"/>
  <c r="ET103" i="2" s="1"/>
  <c r="EH103" i="2"/>
  <c r="DU103" i="2"/>
  <c r="EG103" i="2"/>
  <c r="EO103" i="2"/>
  <c r="EQ103" i="2"/>
  <c r="EL103" i="2"/>
  <c r="EC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DX181" i="2"/>
  <c r="DY181" i="2" s="1"/>
  <c r="EM181" i="2"/>
  <c r="DV181" i="2"/>
  <c r="ED181" i="2"/>
  <c r="EB68" i="2"/>
  <c r="EL68" i="2"/>
  <c r="EE123" i="2"/>
  <c r="EH190" i="2"/>
  <c r="EB190" i="2"/>
  <c r="DU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84" i="2"/>
  <c r="DV84" i="2"/>
  <c r="EA84" i="2"/>
  <c r="ET84" i="2" s="1"/>
  <c r="DW77" i="2"/>
  <c r="DX77" i="2"/>
  <c r="DY77" i="2" s="1"/>
  <c r="DU77" i="2"/>
  <c r="EP77" i="2"/>
  <c r="EJ163" i="2"/>
  <c r="EE163" i="2"/>
  <c r="EQ163" i="2"/>
  <c r="EC112" i="2"/>
  <c r="DX112" i="2"/>
  <c r="DY112" i="2" s="1"/>
  <c r="EV112" i="2"/>
  <c r="ED112" i="2"/>
  <c r="DZ112" i="2"/>
  <c r="EC76" i="2"/>
  <c r="EL76" i="2"/>
  <c r="EB76" i="2"/>
  <c r="EM38" i="2"/>
  <c r="ER38" i="2"/>
  <c r="EF38" i="2"/>
  <c r="EV38" i="2"/>
  <c r="ES38" i="2"/>
  <c r="EU38" i="2" s="1"/>
  <c r="EP38" i="2"/>
  <c r="EH180" i="2"/>
  <c r="EG180" i="2"/>
  <c r="ES180" i="2"/>
  <c r="EU180" i="2" s="1"/>
  <c r="DX39" i="2"/>
  <c r="DY39" i="2" s="1"/>
  <c r="EA39" i="2"/>
  <c r="ET39" i="2" s="1"/>
  <c r="EH39" i="2"/>
  <c r="EB39" i="2"/>
  <c r="EO39" i="2"/>
  <c r="EQ39" i="2"/>
  <c r="EM34" i="2"/>
  <c r="ES34" i="2"/>
  <c r="EU34" i="2" s="1"/>
  <c r="EA34" i="2"/>
  <c r="ET34" i="2" s="1"/>
  <c r="ED34" i="2"/>
  <c r="EP149" i="2"/>
  <c r="DZ149" i="2"/>
  <c r="EH149" i="2"/>
  <c r="EB149" i="2"/>
  <c r="EF149" i="2"/>
  <c r="EI149" i="2"/>
  <c r="DV149" i="2"/>
  <c r="ES149" i="2"/>
  <c r="EU149" i="2" s="1"/>
  <c r="EC149" i="2"/>
  <c r="EE149" i="2"/>
  <c r="EM149" i="2"/>
  <c r="EG149" i="2"/>
  <c r="EL149" i="2"/>
  <c r="ES90" i="2"/>
  <c r="EU90" i="2" s="1"/>
  <c r="ER90" i="2"/>
  <c r="EN90" i="2"/>
  <c r="EL90" i="2"/>
  <c r="EJ83" i="2"/>
  <c r="EV83" i="2"/>
  <c r="DU83" i="2"/>
  <c r="EP83" i="2"/>
  <c r="EI83" i="2"/>
  <c r="EC15" i="2"/>
  <c r="DX15" i="2"/>
  <c r="DY15" i="2" s="1"/>
  <c r="ER15" i="2"/>
  <c r="EI15" i="2"/>
  <c r="EH15" i="2"/>
  <c r="DW15" i="2"/>
  <c r="EJ81" i="2"/>
  <c r="DX81" i="2"/>
  <c r="DY81" i="2" s="1"/>
  <c r="ER126" i="2"/>
  <c r="EM139" i="2"/>
  <c r="DZ139" i="2"/>
  <c r="EN191" i="2"/>
  <c r="EB109" i="2"/>
  <c r="EL109" i="2"/>
  <c r="ER109" i="2"/>
  <c r="EG109" i="2"/>
  <c r="EA109" i="2"/>
  <c r="ET109" i="2" s="1"/>
  <c r="ES109" i="2"/>
  <c r="EU109" i="2" s="1"/>
  <c r="EF109" i="2"/>
  <c r="DU109" i="2"/>
  <c r="DV109" i="2"/>
  <c r="DZ109" i="2"/>
  <c r="EO97" i="2"/>
  <c r="EE97" i="2"/>
  <c r="EP97" i="2"/>
  <c r="EK97" i="2"/>
  <c r="EC97" i="2"/>
  <c r="EH97" i="2"/>
  <c r="ES43" i="2"/>
  <c r="EU43" i="2" s="1"/>
  <c r="DU43" i="2"/>
  <c r="DW43" i="2"/>
  <c r="EG43" i="2"/>
  <c r="EO43" i="2"/>
  <c r="EP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P72" i="2"/>
  <c r="EV72" i="2"/>
  <c r="EG72" i="2"/>
  <c r="DX85" i="2"/>
  <c r="DY85" i="2" s="1"/>
  <c r="EN85" i="2"/>
  <c r="DZ85" i="2"/>
  <c r="EA59" i="2"/>
  <c r="ET59" i="2" s="1"/>
  <c r="EF116" i="2"/>
  <c r="EI116" i="2"/>
  <c r="EG116" i="2"/>
  <c r="EC98" i="2"/>
  <c r="EQ98" i="2"/>
  <c r="EK145" i="2"/>
  <c r="EP194" i="2"/>
  <c r="DZ194" i="2"/>
  <c r="EK194" i="2"/>
  <c r="EL194" i="2"/>
  <c r="EM194" i="2"/>
  <c r="EE194" i="2"/>
  <c r="DW194" i="2"/>
  <c r="ER194" i="2"/>
  <c r="EC66" i="2"/>
  <c r="DU66" i="2"/>
  <c r="EP66" i="2"/>
  <c r="EC105" i="2"/>
  <c r="EP105" i="2"/>
  <c r="EA87" i="2"/>
  <c r="ET87" i="2" s="1"/>
  <c r="EV87" i="2"/>
  <c r="DV87" i="2"/>
  <c r="EN87" i="2"/>
  <c r="EQ87" i="2"/>
  <c r="ES87" i="2"/>
  <c r="EU87" i="2" s="1"/>
  <c r="EK41" i="2"/>
  <c r="EM41" i="2"/>
  <c r="EL41" i="2"/>
  <c r="ES41" i="2"/>
  <c r="EU41" i="2" s="1"/>
  <c r="DW41" i="2"/>
  <c r="EA41" i="2"/>
  <c r="ET41" i="2" s="1"/>
  <c r="EF65" i="2"/>
  <c r="EG65" i="2"/>
  <c r="EN65" i="2"/>
  <c r="ED65" i="2"/>
  <c r="EP65" i="2"/>
  <c r="DX110" i="2"/>
  <c r="DY110" i="2" s="1"/>
  <c r="EB110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F188" i="2"/>
  <c r="ES188" i="2"/>
  <c r="EU188" i="2" s="1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EO63" i="2"/>
  <c r="DW63" i="2"/>
  <c r="DX63" i="2"/>
  <c r="DY63" i="2" s="1"/>
  <c r="EG63" i="2"/>
  <c r="DU153" i="2"/>
  <c r="EB146" i="2"/>
  <c r="DW146" i="2"/>
  <c r="ED146" i="2"/>
  <c r="EV146" i="2"/>
  <c r="EP146" i="2"/>
  <c r="DV146" i="2"/>
  <c r="EN146" i="2"/>
  <c r="EI146" i="2"/>
  <c r="EJ146" i="2"/>
  <c r="ER17" i="2"/>
  <c r="DV128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DV162" i="2"/>
  <c r="EF162" i="2"/>
  <c r="EV162" i="2"/>
  <c r="EJ162" i="2"/>
  <c r="EP162" i="2"/>
  <c r="EH162" i="2"/>
  <c r="EG162" i="2"/>
  <c r="ED162" i="2"/>
  <c r="EO162" i="2"/>
  <c r="EI173" i="2"/>
  <c r="ED173" i="2"/>
  <c r="DW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A14" i="2"/>
  <c r="ET14" i="2" s="1"/>
  <c r="DW52" i="2"/>
  <c r="EH52" i="2"/>
  <c r="EC52" i="2"/>
  <c r="EN52" i="2"/>
  <c r="ED52" i="2"/>
  <c r="EO52" i="2"/>
  <c r="EF46" i="2"/>
  <c r="EK185" i="2"/>
  <c r="EA185" i="2"/>
  <c r="ET185" i="2" s="1"/>
  <c r="EP185" i="2"/>
  <c r="EE185" i="2"/>
  <c r="EO185" i="2"/>
  <c r="EH185" i="2"/>
  <c r="EN185" i="2"/>
  <c r="EQ185" i="2"/>
  <c r="DV185" i="2"/>
  <c r="EI185" i="2"/>
  <c r="EA57" i="2"/>
  <c r="ET57" i="2" s="1"/>
  <c r="EM113" i="2"/>
  <c r="EI187" i="2"/>
  <c r="EB187" i="2"/>
  <c r="EN187" i="2"/>
  <c r="EK187" i="2"/>
  <c r="ES187" i="2"/>
  <c r="EU187" i="2" s="1"/>
  <c r="EP187" i="2"/>
  <c r="DZ187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DZ170" i="2"/>
  <c r="DZ56" i="2"/>
  <c r="ER156" i="2"/>
  <c r="EV156" i="2"/>
  <c r="EN156" i="2"/>
  <c r="DW156" i="2"/>
  <c r="EQ156" i="2"/>
  <c r="EL156" i="2"/>
  <c r="EM156" i="2"/>
  <c r="EE156" i="2"/>
  <c r="DU156" i="2"/>
  <c r="EI140" i="2"/>
  <c r="ES140" i="2"/>
  <c r="EU140" i="2" s="1"/>
  <c r="EO140" i="2"/>
  <c r="ED140" i="2"/>
  <c r="DZ140" i="2"/>
  <c r="EP140" i="2"/>
  <c r="EG118" i="2"/>
  <c r="EI118" i="2"/>
  <c r="ED118" i="2"/>
  <c r="DW118" i="2"/>
  <c r="EB118" i="2"/>
  <c r="EN118" i="2"/>
  <c r="EO118" i="2"/>
  <c r="DV118" i="2"/>
  <c r="EL118" i="2"/>
  <c r="DW176" i="2"/>
  <c r="DZ176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W187" i="2" l="1"/>
  <c r="DV187" i="2"/>
  <c r="DW46" i="2"/>
  <c r="EB14" i="2"/>
  <c r="ER173" i="2"/>
  <c r="EI47" i="2"/>
  <c r="EB71" i="2"/>
  <c r="EL187" i="2"/>
  <c r="EJ187" i="2"/>
  <c r="DX46" i="2"/>
  <c r="DY46" i="2" s="1"/>
  <c r="DZ14" i="2"/>
  <c r="EF71" i="2"/>
  <c r="EV187" i="2"/>
  <c r="EK113" i="2"/>
  <c r="EK59" i="2"/>
  <c r="DU187" i="2"/>
  <c r="EC187" i="2"/>
  <c r="DV57" i="2"/>
  <c r="DX107" i="2"/>
  <c r="DY107" i="2" s="1"/>
  <c r="EF59" i="2"/>
  <c r="EL71" i="2"/>
  <c r="EB102" i="2"/>
  <c r="EA187" i="2"/>
  <c r="ET187" i="2" s="1"/>
  <c r="EG187" i="2"/>
  <c r="DZ107" i="2"/>
  <c r="ES19" i="2"/>
  <c r="EU19" i="2" s="1"/>
  <c r="EL88" i="2"/>
  <c r="ED102" i="2"/>
  <c r="EF187" i="2"/>
  <c r="EL137" i="2"/>
  <c r="EN107" i="2"/>
  <c r="EC19" i="2"/>
  <c r="EB65" i="2"/>
  <c r="DV15" i="2"/>
  <c r="DZ90" i="2"/>
  <c r="ES39" i="2"/>
  <c r="EU39" i="2" s="1"/>
  <c r="EB38" i="2"/>
  <c r="EV163" i="2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V65" i="2"/>
  <c r="DX65" i="2"/>
  <c r="DY65" i="2" s="1"/>
  <c r="EQ65" i="2"/>
  <c r="EL147" i="2"/>
  <c r="DV147" i="2"/>
  <c r="EB147" i="2"/>
  <c r="ES147" i="2"/>
  <c r="EU147" i="2" s="1"/>
  <c r="DW147" i="2"/>
  <c r="EG147" i="2"/>
  <c r="EV39" i="2"/>
  <c r="ER39" i="2"/>
  <c r="EN39" i="2"/>
  <c r="EE39" i="2"/>
  <c r="DU39" i="2"/>
  <c r="DZ39" i="2"/>
  <c r="EM39" i="2"/>
  <c r="EL39" i="2"/>
  <c r="EG39" i="2"/>
  <c r="EC39" i="2"/>
  <c r="DV39" i="2"/>
  <c r="EI39" i="2"/>
  <c r="EO84" i="2"/>
  <c r="EQ84" i="2"/>
  <c r="EK84" i="2"/>
  <c r="EV84" i="2"/>
  <c r="ER84" i="2"/>
  <c r="DX84" i="2"/>
  <c r="DY84" i="2" s="1"/>
  <c r="DW84" i="2"/>
  <c r="EE84" i="2"/>
  <c r="EC84" i="2"/>
  <c r="EP84" i="2"/>
  <c r="EM84" i="2"/>
  <c r="ES84" i="2"/>
  <c r="EU84" i="2" s="1"/>
  <c r="EN84" i="2"/>
  <c r="EL84" i="2"/>
  <c r="EJ84" i="2"/>
  <c r="DU84" i="2"/>
  <c r="DZ34" i="2"/>
  <c r="EE34" i="2"/>
  <c r="EB34" i="2"/>
  <c r="EN34" i="2"/>
  <c r="DX34" i="2"/>
  <c r="DY34" i="2" s="1"/>
  <c r="EI34" i="2"/>
  <c r="EJ34" i="2"/>
  <c r="EL34" i="2"/>
  <c r="DW34" i="2"/>
  <c r="EK34" i="2"/>
  <c r="DU34" i="2"/>
  <c r="EC34" i="2"/>
  <c r="DV34" i="2"/>
  <c r="EE112" i="2"/>
  <c r="EA112" i="2"/>
  <c r="ET112" i="2" s="1"/>
  <c r="EL112" i="2"/>
  <c r="ES112" i="2"/>
  <c r="EU112" i="2" s="1"/>
  <c r="DU112" i="2"/>
  <c r="EN112" i="2"/>
  <c r="DV112" i="2"/>
  <c r="EI112" i="2"/>
  <c r="EG112" i="2"/>
  <c r="EF112" i="2"/>
  <c r="EQ112" i="2"/>
  <c r="EK112" i="2"/>
  <c r="EH112" i="2"/>
  <c r="DW112" i="2"/>
  <c r="EP112" i="2"/>
  <c r="EI77" i="2"/>
  <c r="EJ77" i="2"/>
  <c r="EM77" i="2"/>
  <c r="EE77" i="2"/>
  <c r="EG77" i="2"/>
  <c r="EK77" i="2"/>
  <c r="DZ77" i="2"/>
  <c r="ED77" i="2"/>
  <c r="EO77" i="2"/>
  <c r="ER77" i="2"/>
  <c r="EH77" i="2"/>
  <c r="EL77" i="2"/>
  <c r="EN77" i="2"/>
  <c r="EF77" i="2"/>
  <c r="EQ77" i="2"/>
  <c r="EF76" i="2"/>
  <c r="EG76" i="2"/>
  <c r="EV76" i="2"/>
  <c r="EO76" i="2"/>
  <c r="EP76" i="2"/>
  <c r="EN76" i="2"/>
  <c r="ER76" i="2"/>
  <c r="EM76" i="2"/>
  <c r="DW76" i="2"/>
  <c r="EH76" i="2"/>
  <c r="ES76" i="2"/>
  <c r="EU76" i="2" s="1"/>
  <c r="EA76" i="2"/>
  <c r="ET76" i="2" s="1"/>
  <c r="ED76" i="2"/>
  <c r="DU87" i="2"/>
  <c r="EE87" i="2"/>
  <c r="DZ87" i="2"/>
  <c r="EK87" i="2"/>
  <c r="DW87" i="2"/>
  <c r="ED87" i="2"/>
  <c r="EP87" i="2"/>
  <c r="EH87" i="2"/>
  <c r="EM87" i="2"/>
  <c r="EB87" i="2"/>
  <c r="EI87" i="2"/>
  <c r="EC87" i="2"/>
  <c r="ER87" i="2"/>
  <c r="EP189" i="2"/>
  <c r="ER189" i="2"/>
  <c r="EH189" i="2"/>
  <c r="EL189" i="2"/>
  <c r="EO189" i="2"/>
  <c r="EB189" i="2"/>
  <c r="EJ189" i="2"/>
  <c r="ES189" i="2"/>
  <c r="EU189" i="2" s="1"/>
  <c r="DZ189" i="2"/>
  <c r="EF189" i="2"/>
  <c r="EJ149" i="2"/>
  <c r="ER149" i="2"/>
  <c r="EQ149" i="2"/>
  <c r="EA149" i="2"/>
  <c r="ET149" i="2" s="1"/>
  <c r="EV149" i="2"/>
  <c r="DW149" i="2"/>
  <c r="DU149" i="2"/>
  <c r="EK149" i="2"/>
  <c r="EO149" i="2"/>
  <c r="EN149" i="2"/>
  <c r="DX149" i="2"/>
  <c r="DY149" i="2" s="1"/>
  <c r="ED149" i="2"/>
  <c r="EI183" i="2"/>
  <c r="EO183" i="2"/>
  <c r="EB183" i="2"/>
  <c r="EP183" i="2"/>
  <c r="DW183" i="2"/>
  <c r="EA181" i="2"/>
  <c r="ET181" i="2" s="1"/>
  <c r="EK181" i="2"/>
  <c r="EC181" i="2"/>
  <c r="EQ181" i="2"/>
  <c r="DW181" i="2"/>
  <c r="EB181" i="2"/>
  <c r="EN181" i="2"/>
  <c r="EH181" i="2"/>
  <c r="EE181" i="2"/>
  <c r="EJ181" i="2"/>
  <c r="EO181" i="2"/>
  <c r="ER181" i="2"/>
  <c r="EP181" i="2"/>
  <c r="EF181" i="2"/>
  <c r="DU181" i="2"/>
  <c r="DZ181" i="2"/>
  <c r="DX190" i="2"/>
  <c r="DY190" i="2" s="1"/>
  <c r="DW190" i="2"/>
  <c r="EL190" i="2"/>
  <c r="EP190" i="2"/>
  <c r="EV190" i="2"/>
  <c r="EC190" i="2"/>
  <c r="EI190" i="2"/>
  <c r="EA190" i="2"/>
  <c r="ET190" i="2" s="1"/>
  <c r="DZ190" i="2"/>
  <c r="EQ190" i="2"/>
  <c r="ES190" i="2"/>
  <c r="EU190" i="2" s="1"/>
  <c r="EJ190" i="2"/>
  <c r="EG190" i="2"/>
  <c r="EK190" i="2"/>
  <c r="EF190" i="2"/>
  <c r="ER190" i="2"/>
  <c r="EJ18" i="2"/>
  <c r="EE18" i="2"/>
  <c r="EN18" i="2"/>
  <c r="EF18" i="2"/>
  <c r="EC18" i="2"/>
  <c r="EL18" i="2"/>
  <c r="EI18" i="2"/>
  <c r="EK18" i="2"/>
  <c r="EP18" i="2"/>
  <c r="EG18" i="2"/>
  <c r="EK95" i="2"/>
  <c r="EM95" i="2"/>
  <c r="EN95" i="2"/>
  <c r="DZ95" i="2"/>
  <c r="EC95" i="2"/>
  <c r="DU90" i="2"/>
  <c r="EV90" i="2"/>
  <c r="EK90" i="2"/>
  <c r="EO90" i="2"/>
  <c r="EQ90" i="2"/>
  <c r="EB90" i="2"/>
  <c r="EH90" i="2"/>
  <c r="EI90" i="2"/>
  <c r="DV90" i="2"/>
  <c r="EA90" i="2"/>
  <c r="ET90" i="2" s="1"/>
  <c r="EF90" i="2"/>
  <c r="ED90" i="2"/>
  <c r="EP90" i="2"/>
  <c r="EC38" i="2"/>
  <c r="ED38" i="2"/>
  <c r="EJ38" i="2"/>
  <c r="DZ38" i="2"/>
  <c r="DX38" i="2"/>
  <c r="DY38" i="2" s="1"/>
  <c r="EL38" i="2"/>
  <c r="EG38" i="2"/>
  <c r="EA38" i="2"/>
  <c r="ET38" i="2" s="1"/>
  <c r="EN38" i="2"/>
  <c r="DW38" i="2"/>
  <c r="EQ38" i="2"/>
  <c r="EH38" i="2"/>
  <c r="DV38" i="2"/>
  <c r="EN163" i="2"/>
  <c r="EM163" i="2"/>
  <c r="DV163" i="2"/>
  <c r="EK163" i="2"/>
  <c r="ED163" i="2"/>
  <c r="DZ163" i="2"/>
  <c r="EG163" i="2"/>
  <c r="EH163" i="2"/>
  <c r="DW163" i="2"/>
  <c r="EI163" i="2"/>
  <c r="ER163" i="2"/>
  <c r="EL163" i="2"/>
  <c r="EC163" i="2"/>
  <c r="ES163" i="2"/>
  <c r="EU163" i="2" s="1"/>
  <c r="EO163" i="2"/>
  <c r="EP163" i="2"/>
  <c r="EM129" i="2"/>
  <c r="EA129" i="2"/>
  <c r="ET129" i="2" s="1"/>
  <c r="EJ129" i="2"/>
  <c r="EI129" i="2"/>
  <c r="EN129" i="2"/>
  <c r="EN83" i="2"/>
  <c r="EG83" i="2"/>
  <c r="EK83" i="2"/>
  <c r="ER83" i="2"/>
  <c r="EA83" i="2"/>
  <c r="ET83" i="2" s="1"/>
  <c r="DW83" i="2"/>
  <c r="EQ83" i="2"/>
  <c r="EB83" i="2"/>
  <c r="EH83" i="2"/>
  <c r="EM83" i="2"/>
  <c r="DX83" i="2"/>
  <c r="DY83" i="2" s="1"/>
  <c r="EF83" i="2"/>
  <c r="EQ180" i="2"/>
  <c r="EE180" i="2"/>
  <c r="DZ180" i="2"/>
  <c r="EK180" i="2"/>
  <c r="EA180" i="2"/>
  <c r="ET180" i="2" s="1"/>
  <c r="EV180" i="2"/>
  <c r="EP180" i="2"/>
  <c r="EI180" i="2"/>
  <c r="ED180" i="2"/>
  <c r="DX180" i="2"/>
  <c r="DY180" i="2" s="1"/>
  <c r="EO180" i="2"/>
  <c r="EB180" i="2"/>
  <c r="DW180" i="2"/>
  <c r="DU15" i="2"/>
  <c r="EL15" i="2"/>
  <c r="EO15" i="2"/>
  <c r="EN15" i="2"/>
  <c r="ES15" i="2"/>
  <c r="EU15" i="2" s="1"/>
  <c r="DZ15" i="2"/>
  <c r="EB15" i="2"/>
  <c r="EJ15" i="2"/>
  <c r="EK15" i="2"/>
  <c r="EP15" i="2"/>
  <c r="ED15" i="2"/>
  <c r="EE15" i="2"/>
  <c r="EK65" i="2"/>
  <c r="EC65" i="2"/>
  <c r="EO87" i="2"/>
  <c r="EF87" i="2"/>
  <c r="EV15" i="2"/>
  <c r="EA15" i="2"/>
  <c r="ET15" i="2" s="1"/>
  <c r="EL83" i="2"/>
  <c r="EM90" i="2"/>
  <c r="EC90" i="2"/>
  <c r="ER34" i="2"/>
  <c r="EP34" i="2"/>
  <c r="DW39" i="2"/>
  <c r="EN180" i="2"/>
  <c r="EC180" i="2"/>
  <c r="EI38" i="2"/>
  <c r="DV76" i="2"/>
  <c r="DX76" i="2"/>
  <c r="DY76" i="2" s="1"/>
  <c r="ER112" i="2"/>
  <c r="EA163" i="2"/>
  <c r="ET163" i="2" s="1"/>
  <c r="ES77" i="2"/>
  <c r="EU77" i="2" s="1"/>
  <c r="EC77" i="2"/>
  <c r="EG84" i="2"/>
  <c r="EO190" i="2"/>
  <c r="EG181" i="2"/>
  <c r="ER18" i="2"/>
  <c r="EM189" i="2"/>
  <c r="DW65" i="2"/>
  <c r="EQ15" i="2"/>
  <c r="EE83" i="2"/>
  <c r="DZ83" i="2"/>
  <c r="EE90" i="2"/>
  <c r="DW90" i="2"/>
  <c r="EH34" i="2"/>
  <c r="EG34" i="2"/>
  <c r="EJ39" i="2"/>
  <c r="EJ180" i="2"/>
  <c r="EL180" i="2"/>
  <c r="EK38" i="2"/>
  <c r="DZ76" i="2"/>
  <c r="EE76" i="2"/>
  <c r="EO112" i="2"/>
  <c r="EF163" i="2"/>
  <c r="EA77" i="2"/>
  <c r="ET77" i="2" s="1"/>
  <c r="EH84" i="2"/>
  <c r="ED84" i="2"/>
  <c r="EM190" i="2"/>
  <c r="EI181" i="2"/>
  <c r="ES18" i="2"/>
  <c r="EU18" i="2" s="1"/>
  <c r="EV189" i="2"/>
  <c r="EO65" i="2"/>
  <c r="EL87" i="2"/>
  <c r="DX87" i="2"/>
  <c r="DY87" i="2" s="1"/>
  <c r="EM15" i="2"/>
  <c r="EC83" i="2"/>
  <c r="ES83" i="2"/>
  <c r="EU83" i="2" s="1"/>
  <c r="EG90" i="2"/>
  <c r="EQ34" i="2"/>
  <c r="EV34" i="2"/>
  <c r="EK39" i="2"/>
  <c r="EM180" i="2"/>
  <c r="ER180" i="2"/>
  <c r="DU38" i="2"/>
  <c r="EI76" i="2"/>
  <c r="EQ76" i="2"/>
  <c r="EJ112" i="2"/>
  <c r="EB163" i="2"/>
  <c r="EB77" i="2"/>
  <c r="DZ84" i="2"/>
  <c r="EN190" i="2"/>
  <c r="ES181" i="2"/>
  <c r="EU181" i="2" s="1"/>
  <c r="EA18" i="2"/>
  <c r="ET18" i="2" s="1"/>
  <c r="DW189" i="2"/>
  <c r="EF147" i="2"/>
  <c r="ES95" i="2"/>
  <c r="EU95" i="2" s="1"/>
  <c r="EE65" i="2"/>
  <c r="EJ87" i="2"/>
  <c r="EF15" i="2"/>
  <c r="ED83" i="2"/>
  <c r="EO83" i="2"/>
  <c r="EJ90" i="2"/>
  <c r="EO34" i="2"/>
  <c r="EP39" i="2"/>
  <c r="ED39" i="2"/>
  <c r="DU180" i="2"/>
  <c r="DV180" i="2"/>
  <c r="EE38" i="2"/>
  <c r="DU76" i="2"/>
  <c r="EK76" i="2"/>
  <c r="EB112" i="2"/>
  <c r="DX163" i="2"/>
  <c r="DY163" i="2" s="1"/>
  <c r="DV77" i="2"/>
  <c r="EF84" i="2"/>
  <c r="DV190" i="2"/>
  <c r="EE190" i="2"/>
  <c r="EL181" i="2"/>
  <c r="EH18" i="2"/>
  <c r="EE189" i="2"/>
  <c r="EJ147" i="2"/>
  <c r="ER95" i="2"/>
  <c r="DU113" i="2"/>
  <c r="EP27" i="2"/>
  <c r="DZ104" i="2"/>
  <c r="EH137" i="2"/>
  <c r="EJ173" i="2"/>
  <c r="DZ21" i="2"/>
  <c r="EA131" i="2"/>
  <c r="ET131" i="2" s="1"/>
  <c r="ES113" i="2"/>
  <c r="EU113" i="2" s="1"/>
  <c r="EE27" i="2"/>
  <c r="EM14" i="2"/>
  <c r="DW104" i="2"/>
  <c r="DZ137" i="2"/>
  <c r="DW21" i="2"/>
  <c r="EK32" i="2"/>
  <c r="DV13" i="2"/>
  <c r="EQ170" i="2"/>
  <c r="EF113" i="2"/>
  <c r="EP46" i="2"/>
  <c r="EG14" i="2"/>
  <c r="EM104" i="2"/>
  <c r="ES137" i="2"/>
  <c r="EU137" i="2" s="1"/>
  <c r="EB107" i="2"/>
  <c r="EG32" i="2"/>
  <c r="EG170" i="2"/>
  <c r="DV113" i="2"/>
  <c r="DV46" i="2"/>
  <c r="ED14" i="2"/>
  <c r="ED107" i="2"/>
  <c r="EV176" i="2"/>
  <c r="EM63" i="2"/>
  <c r="EE63" i="2"/>
  <c r="ES29" i="2"/>
  <c r="EU29" i="2" s="1"/>
  <c r="EA121" i="2"/>
  <c r="ET121" i="2" s="1"/>
  <c r="EL176" i="2"/>
  <c r="EV63" i="2"/>
  <c r="EK63" i="2"/>
  <c r="EB29" i="2"/>
  <c r="EK121" i="2"/>
  <c r="EG176" i="2"/>
  <c r="EB63" i="2"/>
  <c r="EH63" i="2"/>
  <c r="EL29" i="2"/>
  <c r="EJ115" i="2"/>
  <c r="EO121" i="2"/>
  <c r="DV63" i="2"/>
  <c r="EC29" i="2"/>
  <c r="EB176" i="2"/>
  <c r="ES63" i="2"/>
  <c r="EU63" i="2" s="1"/>
  <c r="ER63" i="2"/>
  <c r="EE101" i="2"/>
  <c r="EH29" i="2"/>
  <c r="EK179" i="2"/>
  <c r="EM121" i="2"/>
  <c r="ER186" i="2"/>
  <c r="EN63" i="2"/>
  <c r="EN186" i="2"/>
  <c r="EQ63" i="2"/>
  <c r="ER128" i="2"/>
  <c r="EO128" i="2"/>
  <c r="ED128" i="2"/>
  <c r="ES139" i="2"/>
  <c r="EU139" i="2" s="1"/>
  <c r="EN139" i="2"/>
  <c r="EO139" i="2"/>
  <c r="EC139" i="2"/>
  <c r="ER56" i="2"/>
  <c r="EB56" i="2"/>
  <c r="EK56" i="2"/>
  <c r="EQ66" i="2"/>
  <c r="EK66" i="2"/>
  <c r="ED66" i="2"/>
  <c r="ER66" i="2"/>
  <c r="EP98" i="2"/>
  <c r="DV98" i="2"/>
  <c r="EA98" i="2"/>
  <c r="ET98" i="2" s="1"/>
  <c r="DV152" i="2"/>
  <c r="EV152" i="2"/>
  <c r="EC72" i="2"/>
  <c r="EH72" i="2"/>
  <c r="DV48" i="2"/>
  <c r="ED48" i="2"/>
  <c r="EB48" i="2"/>
  <c r="EA105" i="2"/>
  <c r="ET105" i="2" s="1"/>
  <c r="DZ105" i="2"/>
  <c r="EB105" i="2"/>
  <c r="DW105" i="2"/>
  <c r="DZ145" i="2"/>
  <c r="ER145" i="2"/>
  <c r="EN145" i="2"/>
  <c r="DW145" i="2"/>
  <c r="DU85" i="2"/>
  <c r="EQ85" i="2"/>
  <c r="EC85" i="2"/>
  <c r="EF85" i="2"/>
  <c r="EB85" i="2"/>
  <c r="EM85" i="2"/>
  <c r="EB43" i="2"/>
  <c r="EV43" i="2"/>
  <c r="EI43" i="2"/>
  <c r="DV43" i="2"/>
  <c r="EQ43" i="2"/>
  <c r="DX140" i="2"/>
  <c r="DY140" i="2" s="1"/>
  <c r="EN140" i="2"/>
  <c r="EK140" i="2"/>
  <c r="EC140" i="2"/>
  <c r="EE140" i="2"/>
  <c r="EB140" i="2"/>
  <c r="EV52" i="2"/>
  <c r="EG52" i="2"/>
  <c r="EI52" i="2"/>
  <c r="ES52" i="2"/>
  <c r="EU52" i="2" s="1"/>
  <c r="EE52" i="2"/>
  <c r="EA52" i="2"/>
  <c r="ET52" i="2" s="1"/>
  <c r="EL52" i="2"/>
  <c r="DX52" i="2"/>
  <c r="DY52" i="2" s="1"/>
  <c r="ER52" i="2"/>
  <c r="EJ119" i="2"/>
  <c r="DZ119" i="2"/>
  <c r="ES119" i="2"/>
  <c r="EU119" i="2" s="1"/>
  <c r="DV119" i="2"/>
  <c r="DX130" i="2"/>
  <c r="DY130" i="2" s="1"/>
  <c r="EN130" i="2"/>
  <c r="DV130" i="2"/>
  <c r="ED97" i="2"/>
  <c r="EL97" i="2"/>
  <c r="EA97" i="2"/>
  <c r="ET97" i="2" s="1"/>
  <c r="ER97" i="2"/>
  <c r="EV97" i="2"/>
  <c r="EM97" i="2"/>
  <c r="DW97" i="2"/>
  <c r="EI97" i="2"/>
  <c r="EJ148" i="2"/>
  <c r="EF148" i="2"/>
  <c r="EI194" i="2"/>
  <c r="EJ194" i="2"/>
  <c r="DU194" i="2"/>
  <c r="EB194" i="2"/>
  <c r="EC194" i="2"/>
  <c r="EF194" i="2"/>
  <c r="EV194" i="2"/>
  <c r="EV17" i="2"/>
  <c r="ES17" i="2"/>
  <c r="EU17" i="2" s="1"/>
  <c r="EG17" i="2"/>
  <c r="EB17" i="2"/>
  <c r="EJ29" i="2"/>
  <c r="DW29" i="2"/>
  <c r="EN29" i="2"/>
  <c r="EA29" i="2"/>
  <c r="ET29" i="2" s="1"/>
  <c r="EF29" i="2"/>
  <c r="DU29" i="2"/>
  <c r="EK29" i="2"/>
  <c r="EE29" i="2"/>
  <c r="EO117" i="2"/>
  <c r="EN117" i="2"/>
  <c r="EK117" i="2"/>
  <c r="EC176" i="2"/>
  <c r="EO176" i="2"/>
  <c r="EI176" i="2"/>
  <c r="EN176" i="2"/>
  <c r="EJ176" i="2"/>
  <c r="EB31" i="2"/>
  <c r="DV31" i="2"/>
  <c r="DU31" i="2"/>
  <c r="DU28" i="2"/>
  <c r="EP28" i="2"/>
  <c r="EH28" i="2"/>
  <c r="EI28" i="2"/>
  <c r="ED28" i="2"/>
  <c r="ES28" i="2"/>
  <c r="EU28" i="2" s="1"/>
  <c r="EF9" i="2"/>
  <c r="EK9" i="2"/>
  <c r="EO9" i="2"/>
  <c r="DZ110" i="2"/>
  <c r="EQ110" i="2"/>
  <c r="DX179" i="2"/>
  <c r="DY179" i="2" s="1"/>
  <c r="EI179" i="2"/>
  <c r="EP121" i="2"/>
  <c r="EN121" i="2"/>
  <c r="EH121" i="2"/>
  <c r="DZ121" i="2"/>
  <c r="EF121" i="2"/>
  <c r="EQ125" i="2"/>
  <c r="EN125" i="2"/>
  <c r="ES79" i="2"/>
  <c r="EU79" i="2" s="1"/>
  <c r="EI79" i="2"/>
  <c r="EK186" i="2"/>
  <c r="DX186" i="2"/>
  <c r="DY186" i="2" s="1"/>
  <c r="EJ186" i="2"/>
  <c r="EH126" i="2"/>
  <c r="DX126" i="2"/>
  <c r="DY126" i="2" s="1"/>
  <c r="EB126" i="2"/>
  <c r="ER188" i="2"/>
  <c r="EA188" i="2"/>
  <c r="ET188" i="2" s="1"/>
  <c r="ED188" i="2"/>
  <c r="EJ188" i="2"/>
  <c r="EB86" i="2"/>
  <c r="ER86" i="2"/>
  <c r="EH86" i="2"/>
  <c r="EC115" i="2"/>
  <c r="EG115" i="2"/>
  <c r="EH115" i="2"/>
  <c r="DX101" i="2"/>
  <c r="DY101" i="2" s="1"/>
  <c r="EH101" i="2"/>
  <c r="EL101" i="2"/>
  <c r="EC101" i="2"/>
  <c r="EL63" i="2"/>
  <c r="DZ63" i="2"/>
  <c r="DU63" i="2"/>
  <c r="EF63" i="2"/>
  <c r="EC63" i="2"/>
  <c r="EA63" i="2"/>
  <c r="ET63" i="2" s="1"/>
  <c r="EI63" i="2"/>
  <c r="EJ63" i="2"/>
  <c r="EP63" i="2"/>
  <c r="EI89" i="2"/>
  <c r="EJ89" i="2"/>
  <c r="ED196" i="2"/>
  <c r="DU196" i="2"/>
  <c r="EJ196" i="2"/>
  <c r="EQ143" i="2"/>
  <c r="EO143" i="2"/>
  <c r="EP143" i="2"/>
  <c r="DX170" i="2"/>
  <c r="DY170" i="2" s="1"/>
  <c r="DU170" i="2"/>
  <c r="EC170" i="2"/>
  <c r="EK102" i="2"/>
  <c r="EP102" i="2"/>
  <c r="ER102" i="2"/>
  <c r="EG102" i="2"/>
  <c r="EK19" i="2"/>
  <c r="ER19" i="2"/>
  <c r="EA19" i="2"/>
  <c r="ET19" i="2" s="1"/>
  <c r="ED19" i="2"/>
  <c r="EF57" i="2"/>
  <c r="EL57" i="2"/>
  <c r="DZ57" i="2"/>
  <c r="EG57" i="2"/>
  <c r="ES27" i="2"/>
  <c r="EU27" i="2" s="1"/>
  <c r="EH27" i="2"/>
  <c r="EK27" i="2"/>
  <c r="EL27" i="2"/>
  <c r="DX104" i="2"/>
  <c r="DY104" i="2" s="1"/>
  <c r="DU104" i="2"/>
  <c r="EO104" i="2"/>
  <c r="EG104" i="2"/>
  <c r="EC173" i="2"/>
  <c r="EL173" i="2"/>
  <c r="EG173" i="2"/>
  <c r="EE173" i="2"/>
  <c r="DV21" i="2"/>
  <c r="EG21" i="2"/>
  <c r="EA21" i="2"/>
  <c r="ET21" i="2" s="1"/>
  <c r="EE21" i="2"/>
  <c r="EL32" i="2"/>
  <c r="EH32" i="2"/>
  <c r="EO32" i="2"/>
  <c r="EP32" i="2"/>
  <c r="DZ32" i="2"/>
  <c r="EC113" i="2"/>
  <c r="EA113" i="2"/>
  <c r="ET113" i="2" s="1"/>
  <c r="DW113" i="2"/>
  <c r="ER113" i="2"/>
  <c r="EB113" i="2"/>
  <c r="EJ113" i="2"/>
  <c r="DZ113" i="2"/>
  <c r="EC46" i="2"/>
  <c r="EI46" i="2"/>
  <c r="DZ46" i="2"/>
  <c r="EB46" i="2"/>
  <c r="ER46" i="2"/>
  <c r="EL46" i="2"/>
  <c r="EC14" i="2"/>
  <c r="EK14" i="2"/>
  <c r="EP14" i="2"/>
  <c r="DX14" i="2"/>
  <c r="DY14" i="2" s="1"/>
  <c r="EE14" i="2"/>
  <c r="EI14" i="2"/>
  <c r="EL14" i="2"/>
  <c r="EJ137" i="2"/>
  <c r="EK137" i="2"/>
  <c r="EC137" i="2"/>
  <c r="DU137" i="2"/>
  <c r="EB137" i="2"/>
  <c r="DV137" i="2"/>
  <c r="EV137" i="2"/>
  <c r="EI137" i="2"/>
  <c r="EQ107" i="2"/>
  <c r="DV107" i="2"/>
  <c r="EA107" i="2"/>
  <c r="ET107" i="2" s="1"/>
  <c r="EE107" i="2"/>
  <c r="EC107" i="2"/>
  <c r="EL107" i="2"/>
  <c r="DW107" i="2"/>
  <c r="EM107" i="2"/>
  <c r="EJ107" i="2"/>
  <c r="EI107" i="2"/>
  <c r="DU59" i="2"/>
  <c r="DZ59" i="2"/>
  <c r="DW59" i="2"/>
  <c r="EC59" i="2"/>
  <c r="EG59" i="2"/>
  <c r="ER59" i="2"/>
  <c r="EL59" i="2"/>
  <c r="EB13" i="2"/>
  <c r="DW13" i="2"/>
  <c r="DX13" i="2" s="1"/>
  <c r="DY13" i="2" s="1"/>
  <c r="EC47" i="2"/>
  <c r="DV47" i="2"/>
  <c r="ED47" i="2"/>
  <c r="DU47" i="2"/>
  <c r="DX47" i="2"/>
  <c r="DY47" i="2" s="1"/>
  <c r="ER47" i="2"/>
  <c r="EJ47" i="2"/>
  <c r="ED187" i="2"/>
  <c r="EH187" i="2"/>
  <c r="EM187" i="2"/>
  <c r="EQ187" i="2"/>
  <c r="EO187" i="2"/>
  <c r="DX187" i="2"/>
  <c r="DY187" i="2" s="1"/>
  <c r="EE187" i="2"/>
  <c r="EK88" i="2"/>
  <c r="DU88" i="2"/>
  <c r="ED88" i="2"/>
  <c r="ES88" i="2"/>
  <c r="EU88" i="2" s="1"/>
  <c r="DV88" i="2"/>
  <c r="EO88" i="2"/>
  <c r="EM71" i="2"/>
  <c r="DV71" i="2"/>
  <c r="ED71" i="2"/>
  <c r="EJ71" i="2"/>
  <c r="EP176" i="2"/>
  <c r="ES176" i="2"/>
  <c r="EU176" i="2" s="1"/>
  <c r="EH176" i="2"/>
  <c r="EN102" i="2"/>
  <c r="DW140" i="2"/>
  <c r="EV140" i="2"/>
  <c r="EG56" i="2"/>
  <c r="EE170" i="2"/>
  <c r="EP113" i="2"/>
  <c r="EQ113" i="2"/>
  <c r="EO57" i="2"/>
  <c r="DU46" i="2"/>
  <c r="ED46" i="2"/>
  <c r="EF27" i="2"/>
  <c r="EK52" i="2"/>
  <c r="DU52" i="2"/>
  <c r="EF14" i="2"/>
  <c r="EA104" i="2"/>
  <c r="ET104" i="2" s="1"/>
  <c r="EE137" i="2"/>
  <c r="EH173" i="2"/>
  <c r="EH107" i="2"/>
  <c r="DX21" i="2"/>
  <c r="DY21" i="2" s="1"/>
  <c r="EM17" i="2"/>
  <c r="EB32" i="2"/>
  <c r="DV110" i="2"/>
  <c r="EG105" i="2"/>
  <c r="EO194" i="2"/>
  <c r="ED194" i="2"/>
  <c r="EM145" i="2"/>
  <c r="EN98" i="2"/>
  <c r="DU152" i="2"/>
  <c r="EQ59" i="2"/>
  <c r="ER85" i="2"/>
  <c r="EM72" i="2"/>
  <c r="DX43" i="2"/>
  <c r="DY43" i="2" s="1"/>
  <c r="EA48" i="2"/>
  <c r="ET48" i="2" s="1"/>
  <c r="EN97" i="2"/>
  <c r="DX97" i="2"/>
  <c r="DY97" i="2" s="1"/>
  <c r="EG139" i="2"/>
  <c r="EV29" i="2"/>
  <c r="EG29" i="2"/>
  <c r="EL126" i="2"/>
  <c r="DV115" i="2"/>
  <c r="EA89" i="2"/>
  <c r="ET89" i="2" s="1"/>
  <c r="EA117" i="2"/>
  <c r="ET117" i="2" s="1"/>
  <c r="EE88" i="2"/>
  <c r="EN47" i="2"/>
  <c r="ER119" i="2"/>
  <c r="DX166" i="2"/>
  <c r="DY166" i="2" s="1"/>
  <c r="EQ64" i="2"/>
  <c r="DU121" i="2"/>
  <c r="DZ28" i="2"/>
  <c r="ER28" i="2"/>
  <c r="EB125" i="2"/>
  <c r="EF186" i="2"/>
  <c r="EJ9" i="2"/>
  <c r="ER131" i="2"/>
  <c r="DU176" i="2"/>
  <c r="ER176" i="2"/>
  <c r="EM176" i="2"/>
  <c r="EH102" i="2"/>
  <c r="DU140" i="2"/>
  <c r="EF140" i="2"/>
  <c r="DX56" i="2"/>
  <c r="DY56" i="2" s="1"/>
  <c r="EV170" i="2"/>
  <c r="EG113" i="2"/>
  <c r="EN113" i="2"/>
  <c r="EE57" i="2"/>
  <c r="EA46" i="2"/>
  <c r="ET46" i="2" s="1"/>
  <c r="EH46" i="2"/>
  <c r="EO27" i="2"/>
  <c r="EJ52" i="2"/>
  <c r="DV52" i="2"/>
  <c r="EQ14" i="2"/>
  <c r="EV104" i="2"/>
  <c r="EA137" i="2"/>
  <c r="ET137" i="2" s="1"/>
  <c r="EV173" i="2"/>
  <c r="EG107" i="2"/>
  <c r="EK107" i="2"/>
  <c r="ER21" i="2"/>
  <c r="EQ32" i="2"/>
  <c r="ED32" i="2"/>
  <c r="EE110" i="2"/>
  <c r="EV105" i="2"/>
  <c r="EN194" i="2"/>
  <c r="ES194" i="2"/>
  <c r="EU194" i="2" s="1"/>
  <c r="EE145" i="2"/>
  <c r="EG98" i="2"/>
  <c r="EI59" i="2"/>
  <c r="EV59" i="2"/>
  <c r="DW85" i="2"/>
  <c r="EQ72" i="2"/>
  <c r="ER43" i="2"/>
  <c r="EI48" i="2"/>
  <c r="DU97" i="2"/>
  <c r="EB97" i="2"/>
  <c r="EP29" i="2"/>
  <c r="DV29" i="2"/>
  <c r="ER29" i="2"/>
  <c r="DV126" i="2"/>
  <c r="EM115" i="2"/>
  <c r="EV89" i="2"/>
  <c r="ED117" i="2"/>
  <c r="DZ88" i="2"/>
  <c r="EV88" i="2"/>
  <c r="EQ47" i="2"/>
  <c r="EB119" i="2"/>
  <c r="EP166" i="2"/>
  <c r="EG64" i="2"/>
  <c r="EI121" i="2"/>
  <c r="DV28" i="2"/>
  <c r="EQ28" i="2"/>
  <c r="EL125" i="2"/>
  <c r="EA186" i="2"/>
  <c r="ET186" i="2" s="1"/>
  <c r="DU9" i="2"/>
  <c r="DV176" i="2"/>
  <c r="EK176" i="2"/>
  <c r="EA176" i="2"/>
  <c r="ET176" i="2" s="1"/>
  <c r="ES102" i="2"/>
  <c r="EU102" i="2" s="1"/>
  <c r="EG140" i="2"/>
  <c r="EH140" i="2"/>
  <c r="EC56" i="2"/>
  <c r="EF170" i="2"/>
  <c r="EO113" i="2"/>
  <c r="EV113" i="2"/>
  <c r="EN57" i="2"/>
  <c r="EG46" i="2"/>
  <c r="EV46" i="2"/>
  <c r="EB52" i="2"/>
  <c r="EP52" i="2"/>
  <c r="ES14" i="2"/>
  <c r="EU14" i="2" s="1"/>
  <c r="EO14" i="2"/>
  <c r="EK104" i="2"/>
  <c r="ER137" i="2"/>
  <c r="EN137" i="2"/>
  <c r="EM173" i="2"/>
  <c r="EF107" i="2"/>
  <c r="EV107" i="2"/>
  <c r="ES21" i="2"/>
  <c r="EU21" i="2" s="1"/>
  <c r="EP128" i="2"/>
  <c r="EE32" i="2"/>
  <c r="EF32" i="2"/>
  <c r="EO101" i="2"/>
  <c r="ES196" i="2"/>
  <c r="EU196" i="2" s="1"/>
  <c r="ES105" i="2"/>
  <c r="EU105" i="2" s="1"/>
  <c r="EH194" i="2"/>
  <c r="EG194" i="2"/>
  <c r="EQ145" i="2"/>
  <c r="DZ98" i="2"/>
  <c r="ES59" i="2"/>
  <c r="EU59" i="2" s="1"/>
  <c r="EP59" i="2"/>
  <c r="EH85" i="2"/>
  <c r="EO72" i="2"/>
  <c r="EK43" i="2"/>
  <c r="EQ48" i="2"/>
  <c r="EJ97" i="2"/>
  <c r="DZ97" i="2"/>
  <c r="DZ29" i="2"/>
  <c r="ED29" i="2"/>
  <c r="EI143" i="2"/>
  <c r="ED31" i="2"/>
  <c r="EK89" i="2"/>
  <c r="DX117" i="2"/>
  <c r="DY117" i="2" s="1"/>
  <c r="DW88" i="2"/>
  <c r="DX88" i="2"/>
  <c r="DY88" i="2" s="1"/>
  <c r="DZ47" i="2"/>
  <c r="EO47" i="2"/>
  <c r="DX119" i="2"/>
  <c r="DY119" i="2" s="1"/>
  <c r="DV166" i="2"/>
  <c r="EK64" i="2"/>
  <c r="DX121" i="2"/>
  <c r="DY121" i="2" s="1"/>
  <c r="EA28" i="2"/>
  <c r="ET28" i="2" s="1"/>
  <c r="EJ28" i="2"/>
  <c r="EJ44" i="2"/>
  <c r="EB79" i="2"/>
  <c r="EE186" i="2"/>
  <c r="EN9" i="2"/>
  <c r="EP86" i="2"/>
  <c r="EE176" i="2"/>
  <c r="EQ176" i="2"/>
  <c r="EQ102" i="2"/>
  <c r="EI102" i="2"/>
  <c r="EJ140" i="2"/>
  <c r="EL140" i="2"/>
  <c r="EV56" i="2"/>
  <c r="EM170" i="2"/>
  <c r="DX113" i="2"/>
  <c r="DY113" i="2" s="1"/>
  <c r="ED113" i="2"/>
  <c r="ED57" i="2"/>
  <c r="EJ46" i="2"/>
  <c r="EA27" i="2"/>
  <c r="ET27" i="2" s="1"/>
  <c r="EM52" i="2"/>
  <c r="EQ52" i="2"/>
  <c r="DV14" i="2"/>
  <c r="ER14" i="2"/>
  <c r="ED104" i="2"/>
  <c r="DX137" i="2"/>
  <c r="DY137" i="2" s="1"/>
  <c r="EO137" i="2"/>
  <c r="EA173" i="2"/>
  <c r="ET173" i="2" s="1"/>
  <c r="ER107" i="2"/>
  <c r="ES107" i="2"/>
  <c r="EU107" i="2" s="1"/>
  <c r="EF21" i="2"/>
  <c r="EB128" i="2"/>
  <c r="EJ32" i="2"/>
  <c r="EC32" i="2"/>
  <c r="DU13" i="2"/>
  <c r="EV19" i="2"/>
  <c r="EO196" i="2"/>
  <c r="ED105" i="2"/>
  <c r="EA194" i="2"/>
  <c r="ET194" i="2" s="1"/>
  <c r="DX194" i="2"/>
  <c r="DY194" i="2" s="1"/>
  <c r="EP145" i="2"/>
  <c r="EJ130" i="2"/>
  <c r="EJ59" i="2"/>
  <c r="ES85" i="2"/>
  <c r="EU85" i="2" s="1"/>
  <c r="EK85" i="2"/>
  <c r="EE43" i="2"/>
  <c r="EG48" i="2"/>
  <c r="ES97" i="2"/>
  <c r="EU97" i="2" s="1"/>
  <c r="EM29" i="2"/>
  <c r="EQ29" i="2"/>
  <c r="ER143" i="2"/>
  <c r="EH31" i="2"/>
  <c r="EO89" i="2"/>
  <c r="EJ88" i="2"/>
  <c r="DW47" i="2"/>
  <c r="EH47" i="2"/>
  <c r="EK119" i="2"/>
  <c r="DV121" i="2"/>
  <c r="EK28" i="2"/>
  <c r="ER71" i="2"/>
  <c r="EJ60" i="2"/>
  <c r="DZ9" i="2"/>
  <c r="ER9" i="2"/>
  <c r="ES86" i="2"/>
  <c r="EU86" i="2" s="1"/>
  <c r="EF176" i="2"/>
  <c r="DX176" i="2"/>
  <c r="DY176" i="2" s="1"/>
  <c r="EV102" i="2"/>
  <c r="EL102" i="2"/>
  <c r="EQ140" i="2"/>
  <c r="DV140" i="2"/>
  <c r="ED56" i="2"/>
  <c r="EP170" i="2"/>
  <c r="DX27" i="2"/>
  <c r="DY27" i="2" s="1"/>
  <c r="DZ52" i="2"/>
  <c r="EF52" i="2"/>
  <c r="DV104" i="2"/>
  <c r="EB173" i="2"/>
  <c r="EK21" i="2"/>
  <c r="EV128" i="2"/>
  <c r="ER32" i="2"/>
  <c r="EI19" i="2"/>
  <c r="EG196" i="2"/>
  <c r="ER105" i="2"/>
  <c r="EB145" i="2"/>
  <c r="EL130" i="2"/>
  <c r="DV85" i="2"/>
  <c r="EO85" i="2"/>
  <c r="DZ43" i="2"/>
  <c r="EJ43" i="2"/>
  <c r="ER48" i="2"/>
  <c r="EF97" i="2"/>
  <c r="EO29" i="2"/>
  <c r="EI29" i="2"/>
  <c r="EL143" i="2"/>
  <c r="EE31" i="2"/>
  <c r="EQ119" i="2"/>
  <c r="EO148" i="2"/>
  <c r="EJ121" i="2"/>
  <c r="EM28" i="2"/>
  <c r="ED186" i="2"/>
  <c r="EP9" i="2"/>
  <c r="EN86" i="2"/>
  <c r="L2" i="9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2" i="9" l="1"/>
  <c r="M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A13" i="2" l="1"/>
  <c r="EP13" i="2"/>
  <c r="DZ13" i="2"/>
  <c r="P2" i="9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D13" i="2" l="1"/>
  <c r="EG13" i="2" s="1"/>
  <c r="EI13" i="2" s="1"/>
  <c r="EJ13" i="2"/>
  <c r="EL13" i="2" s="1"/>
  <c r="EK13" i="2"/>
  <c r="EM13" i="2" s="1"/>
  <c r="EO13" i="2" s="1"/>
  <c r="EE13" i="2"/>
  <c r="EC13" i="2"/>
  <c r="EF13" i="2" s="1"/>
  <c r="ET13" i="2"/>
  <c r="ES13" i="2"/>
  <c r="EU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N13" i="2" l="1"/>
  <c r="EH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5" i="2" s="1"/>
  <c r="EY12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7" i="2"/>
  <c r="EY14" i="2" s="1"/>
  <c r="EY4" i="2"/>
  <c r="EY11" i="2" s="1"/>
  <c r="B12" i="9" s="1"/>
  <c r="R16" i="9"/>
  <c r="R3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EY28" i="2"/>
  <c r="Q7" i="9"/>
  <c r="Q6" i="9"/>
  <c r="R6" i="9"/>
  <c r="A27" i="1"/>
  <c r="A23" i="2"/>
  <c r="AL23" i="2"/>
  <c r="GW21" i="2"/>
  <c r="R2" i="9" l="1"/>
  <c r="R5" i="9"/>
  <c r="B14" i="9"/>
  <c r="Q5" i="9"/>
  <c r="EY27" i="2"/>
  <c r="B15" i="9"/>
  <c r="EY30" i="2"/>
  <c r="Q3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I2" i="5" s="1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F2" i="5"/>
  <c r="G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<sst xmlns="http://schemas.openxmlformats.org/spreadsheetml/2006/main" count="851" uniqueCount="339">
  <si>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</si>
  <si>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</si>
  <si>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</si>
  <si>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</si>
  <si>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</si>
  <si>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</si>
  <si>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</si>
  <si>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</si>
  <si>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</si>
  <si>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</si>
  <si>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</si>
  <si>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</si>
  <si>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</si>
  <si>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</si>
  <si>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</si>
  <si>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</si>
  <si>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</si>
  <si>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</si>
  <si>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</si>
  <si>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</si>
  <si>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</si>
  <si>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</si>
  <si>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</si>
  <si>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</si>
  <si>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</si>
  <si>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</si>
  <si>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</si>
  <si>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</si>
  <si>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</si>
  <si>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</si>
  <si>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</si>
  <si>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</si>
  <si>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</si>
  <si>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</si>
  <si>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</si>
  <si>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</si>
  <si>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</si>
  <si>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</si>
  <si>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</si>
  <si>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</si>
  <si>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</si>
  <si>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</si>
  <si>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</si>
  <si>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</si>
  <si>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</si>
  <si>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</si>
  <si>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</si>
  <si>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</si>
  <si>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</si>
  <si>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</si>
  <si>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</si>
  <si>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</si>
  <si>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</si>
  <si>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</si>
  <si>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</si>
  <si>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</si>
  <si>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</si>
  <si>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</si>
  <si>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</si>
  <si>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</si>
  <si>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</si>
  <si>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</si>
  <si>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</si>
  <si>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</si>
  <si>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</si>
  <si>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</si>
  <si>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</si>
  <si>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</si>
  <si>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</si>
  <si>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</si>
  <si>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</si>
  <si>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</si>
  <si>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</si>
  <si>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</si>
  <si>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</si>
  <si>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</si>
  <si>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</si>
  <si>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</si>
  <si>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</si>
  <si>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</si>
  <si>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</si>
  <si>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</si>
  <si>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</si>
  <si>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</si>
  <si>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</si>
  <si>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</si>
  <si>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</si>
  <si>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</si>
  <si>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</si>
  <si>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</si>
  <si>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</si>
  <si>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</si>
  <si>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</si>
  <si>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</si>
  <si>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</si>
  <si>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</si>
  <si>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</si>
  <si>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</si>
  <si>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</si>
  <si>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</si>
  <si>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</si>
  <si>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</si>
  <si>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</si>
  <si>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</si>
  <si>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</si>
  <si>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</si>
  <si>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</si>
  <si>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</si>
  <si>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</si>
  <si>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</si>
  <si>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</si>
  <si>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</si>
  <si>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</si>
  <si>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</si>
  <si>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</si>
  <si>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</si>
  <si>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</si>
  <si>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</si>
  <si>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</si>
  <si>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</si>
  <si>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</si>
  <si>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</si>
  <si>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</si>
  <si>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</si>
  <si>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</si>
  <si>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</si>
  <si>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</si>
  <si>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</si>
  <si>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</si>
  <si>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</si>
  <si>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</si>
  <si>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</si>
  <si>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</si>
  <si>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</si>
  <si>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</si>
  <si>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</si>
  <si>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</si>
  <si>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</si>
  <si>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</si>
  <si>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</si>
  <si>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</si>
  <si>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</si>
  <si>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</si>
  <si>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</si>
  <si>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</si>
  <si>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</si>
  <si>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</si>
  <si>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</si>
  <si>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</si>
  <si>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</si>
  <si>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</si>
  <si>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</si>
  <si>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</si>
  <si>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</si>
  <si>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</si>
  <si>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</si>
  <si>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</si>
  <si>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</si>
  <si>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</si>
  <si>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</si>
  <si>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</si>
  <si>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</si>
  <si>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</si>
  <si>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</si>
  <si>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</si>
  <si>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</si>
  <si>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</si>
  <si>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</si>
  <si>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</si>
  <si>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</si>
  <si>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</si>
  <si>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</si>
  <si>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</si>
  <si>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</si>
  <si>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</si>
  <si>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</si>
  <si>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</si>
  <si>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</si>
  <si>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</si>
  <si>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</si>
  <si>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</si>
  <si>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</si>
  <si>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</si>
  <si>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</si>
  <si>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</si>
  <si>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</si>
  <si>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</si>
  <si>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</si>
  <si>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</si>
  <si>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</si>
  <si>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</si>
  <si>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</si>
  <si>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</si>
  <si>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</si>
  <si>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</si>
  <si>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</si>
  <si>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</si>
  <si>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</si>
  <si>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</si>
  <si>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</si>
  <si>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</si>
  <si>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</si>
  <si>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</si>
  <si>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</si>
  <si>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</si>
  <si>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</si>
  <si>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</si>
  <si>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</si>
  <si>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</si>
  <si>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</si>
  <si>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</si>
  <si>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</si>
  <si>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</si>
  <si>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</si>
  <si>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</si>
  <si>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</si>
  <si>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</si>
  <si>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</si>
  <si>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</si>
  <si>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</si>
  <si>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</si>
  <si>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</si>
  <si>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</si>
  <si>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</si>
  <si>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</si>
  <si>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</si>
  <si>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</si>
  <si>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</si>
  <si>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</si>
  <si>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</si>
  <si>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</si>
  <si>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</si>
  <si>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</si>
  <si>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</si>
  <si>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</si>
  <si>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</si>
  <si>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</si>
  <si>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</si>
  <si>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</si>
  <si>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</si>
  <si>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</si>
  <si>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</si>
  <si>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</si>
  <si>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</si>
  <si>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</si>
  <si>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</si>
  <si>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</si>
  <si>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</si>
  <si>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</si>
  <si>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</si>
  <si>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</si>
  <si>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</si>
  <si>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</si>
  <si>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</si>
  <si>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</si>
  <si>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</si>
  <si>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</si>
  <si>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</si>
  <si>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</si>
  <si>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</si>
  <si>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</si>
  <si>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</si>
  <si>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</si>
  <si>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</si>
  <si>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</si>
  <si>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</si>
  <si>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</si>
  <si>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</si>
  <si>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</si>
  <si>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</si>
  <si>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</si>
  <si>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</si>
  <si>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</si>
  <si>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</si>
  <si>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</si>
  <si>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</si>
  <si>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</si>
  <si>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</si>
  <si>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</si>
  <si>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</si>
  <si>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</si>
  <si>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</si>
  <si>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</si>
  <si>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</si>
  <si>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</si>
  <si>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</si>
  <si>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</si>
  <si>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</si>
  <si>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</si>
  <si>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</si>
  <si>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</si>
  <si>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</si>
  <si>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</si>
  <si>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</si>
  <si>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</si>
  <si>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</si>
  <si>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</si>
  <si>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</si>
  <si>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</si>
  <si>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</si>
  <si>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</si>
  <si>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</si>
  <si>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</si>
  <si>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</si>
  <si>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</si>
  <si>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</si>
  <si>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</si>
  <si>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</si>
  <si>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</si>
  <si>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</si>
  <si>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</si>
  <si>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</si>
  <si>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</si>
  <si>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</si>
  <si>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</si>
  <si>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</si>
  <si>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</si>
  <si>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</si>
  <si>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</si>
  <si>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</si>
  <si>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</si>
  <si>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</si>
  <si>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</si>
  <si>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</si>
  <si>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</si>
  <si>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</si>
  <si>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</si>
  <si>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</si>
  <si>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</si>
  <si>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</si>
  <si>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</si>
  <si>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</si>
  <si>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</si>
  <si>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</si>
  <si>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</si>
  <si>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/>
  </si>
  <si>
    <t>Mustaqeem et al. (B)</t>
  </si>
  <si>
    <t>Yeh et al.</t>
  </si>
  <si>
    <t>Chein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</si>
</sst>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3" fillId="37" borderId="0" xfId="10" applyFill="1">
      <protection locked="0"/>
    </xf>
    <xf numFmtId="49" fontId="26" fillId="37" borderId="0" xfId="10" applyNumberFormat="1" applyFont="1" applyFill="1">
      <protection locked="0"/>
    </xf>
    <xf numFmtId="0" fontId="26" fillId="37" borderId="0" xfId="10" applyFont="1" applyFill="1">
      <protection locked="0"/>
    </xf>
    <xf numFmtId="1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13" fillId="39" borderId="0" xfId="12" applyNumberFormat="1" applyFill="1"/>
    <xf numFmtId="2" fontId="13" fillId="39" borderId="0" xfId="12" applyFill="1"/>
    <xf numFmtId="2" fontId="26" fillId="39" borderId="0" xfId="12" applyFont="1" applyFill="1"/>
    <xf numFmtId="49" fontId="14" fillId="9" borderId="0" xfId="10" applyNumberFormat="1" applyFont="1">
      <protection locked="0"/>
    </xf>
    <xf numFmtId="0" fontId="0" fillId="35" borderId="0" xfId="0" applyFill="1"/>
    <xf numFmtId="0" fontId="26" fillId="35" borderId="0" xfId="0" applyFont="1" applyFill="1"/>
    <xf numFmtId="1" fontId="26" fillId="35" borderId="0" xfId="0" applyNumberFormat="1" applyFont="1" applyFill="1"/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0.25223033739499501</c:v>
                </c:pt>
                <c:pt idx="1">
                  <c:v>0.24366226128443458</c:v>
                </c:pt>
                <c:pt idx="2">
                  <c:v>0.25324675849511752</c:v>
                </c:pt>
                <c:pt idx="3">
                  <c:v>0.25086064282545295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78380815238561E-2"/>
          <c:y val="1.3383242543951568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7.8221187337257303E-2</c:v>
                  </c:pt>
                  <c:pt idx="2">
                    <c:v>0.20977556027682465</c:v>
                  </c:pt>
                  <c:pt idx="3">
                    <c:v>8.973184313126259E-2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5.0396906141707831E-2</c:v>
                  </c:pt>
                  <c:pt idx="2">
                    <c:v>0.15176868725036474</c:v>
                  </c:pt>
                  <c:pt idx="3">
                    <c:v>6.2899429384399352E-2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0.25223033739499501</c:v>
                </c:pt>
                <c:pt idx="1">
                  <c:v>0.24366226128443458</c:v>
                </c:pt>
                <c:pt idx="2">
                  <c:v>0.25324675849511752</c:v>
                </c:pt>
                <c:pt idx="3">
                  <c:v>0.25086064282545295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4.7013739927349087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0.31679753462759774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0.33968701526615563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0.25324675849511752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0.87364214712859967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0.24458729136873536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0.33968701526615563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0.25324675849511752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7.8221187337257303E-2</c:v>
                  </c:pt>
                  <c:pt idx="2">
                    <c:v>0.20977556027682465</c:v>
                  </c:pt>
                  <c:pt idx="3">
                    <c:v>8.973184313126259E-2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5.0396906141707831E-2</c:v>
                  </c:pt>
                  <c:pt idx="2">
                    <c:v>0.15176868725036474</c:v>
                  </c:pt>
                  <c:pt idx="3">
                    <c:v>6.2899429384399352E-2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0.25223033739499501</c:v>
                </c:pt>
                <c:pt idx="1">
                  <c:v>0.24366226128443458</c:v>
                </c:pt>
                <c:pt idx="2">
                  <c:v>0.25324675849511752</c:v>
                </c:pt>
                <c:pt idx="3">
                  <c:v>0.25086064282545295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4.7013739927349087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0.31679753462759774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0.33968701526615563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0.25324675849511752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0.87364214712859967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0.24458729136873536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0.33968701526615563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0.25324675849511752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3.4293552812071332E-2</c:v>
                </c:pt>
                <c:pt idx="1">
                  <c:v>3.1417624521072794E-2</c:v>
                </c:pt>
                <c:pt idx="2">
                  <c:v>3.7494284407864654E-2</c:v>
                </c:pt>
                <c:pt idx="3">
                  <c:v>0.12147887323943662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2.717391304347826E-2</c:v>
                </c:pt>
                <c:pt idx="1">
                  <c:v>4.5745654162854532E-3</c:v>
                </c:pt>
                <c:pt idx="2">
                  <c:v>2.0933014354066987E-2</c:v>
                </c:pt>
                <c:pt idx="3">
                  <c:v>2.826379542395693E-2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33.759637173255207</c:v>
                </c:pt>
                <c:pt idx="1">
                  <c:v>19.882188944807826</c:v>
                </c:pt>
                <c:pt idx="2">
                  <c:v>36.681992851608989</c:v>
                </c:pt>
                <c:pt idx="3">
                  <c:v>30.458592460529751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4.7649297993551269E-2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-5.839261473641721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-3.1824463052837078</c:v>
                </c:pt>
                <c:pt idx="1">
                  <c:v>-9.0217077789254283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3.1824463052837078</c:v>
                </c:pt>
                <c:pt idx="1">
                  <c:v>-2.6568151683580132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5.8103043959206824</c:v>
                </c:pt>
                <c:pt idx="1">
                  <c:v>4.4589448241492988</c:v>
                </c:pt>
                <c:pt idx="2">
                  <c:v>6.0565660940510666</c:v>
                </c:pt>
                <c:pt idx="3">
                  <c:v>5.5189303728648138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-8.7136432528038945</c:v>
                </c:pt>
                <c:pt idx="2">
                  <c:v>-3.6334612908494575</c:v>
                </c:pt>
                <c:pt idx="3">
                  <c:v>-8.6040296152532818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969231975447"/>
          <c:y val="0.1028746160093217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-0.24004536211681304</c:v>
                </c:pt>
                <c:pt idx="1">
                  <c:v>-1.9541940069792925</c:v>
                </c:pt>
                <c:pt idx="2">
                  <c:v>-0.59992101702949263</c:v>
                </c:pt>
                <c:pt idx="3">
                  <c:v>-1.5590031100151438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0.17210802255077776</c:v>
                </c:pt>
                <c:pt idx="1">
                  <c:v>0.22426830549328119</c:v>
                </c:pt>
                <c:pt idx="2">
                  <c:v>0.1651100614558188</c:v>
                </c:pt>
                <c:pt idx="3">
                  <c:v>0.18119453090344234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-1.8205870290207762</c:v>
                </c:pt>
                <c:pt idx="1">
                  <c:v>-0.96412082076957961</c:v>
                </c:pt>
                <c:pt idx="2">
                  <c:v>-0.10765461251838293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0.26912196659193743</c:v>
                </c:pt>
                <c:pt idx="1">
                  <c:v>0</c:v>
                </c:pt>
                <c:pt idx="2">
                  <c:v>0.26912196659193743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-0.96412082076957961</c:v>
                </c:pt>
                <c:pt idx="1">
                  <c:v>-0.96412082076957961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0.26912196659193743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2.3955698528656741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2.3955698528656741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-0.96412082076957961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0.24669513604260934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0.2895737810440423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0.2895737810440423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-0.96412082076957961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0.24669513604260934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2.3955698528656741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2.3955698528656741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-0.96412082076957961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0.26912196659193743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0.2895737810440423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0.2895737810440423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-0.96412082076957961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0.26912196659193743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1.020076232786199</c:v>
                </c:pt>
                <c:pt idx="1">
                  <c:v>-1.020076232786199</c:v>
                </c:pt>
                <c:pt idx="2">
                  <c:v>0.29338123212119344</c:v>
                </c:pt>
                <c:pt idx="3">
                  <c:v>-0.29338123212119332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-8.7136432528038945</c:v>
                </c:pt>
                <c:pt idx="2">
                  <c:v>-3.6334612908494575</c:v>
                </c:pt>
                <c:pt idx="3">
                  <c:v>-8.6040296152532818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-9.62652182424128</c:v>
                </c:pt>
                <c:pt idx="1">
                  <c:v>-1.5464135665758834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-5.5864676954085812</c:v>
                </c:pt>
                <c:pt idx="1">
                  <c:v>-5.5864676954085812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-4.2</c:v>
                </c:pt>
                <c:pt idx="2">
                  <c:v>-4.2; -3</c:v>
                </c:pt>
                <c:pt idx="3">
                  <c:v>-3; -1.8</c:v>
                </c:pt>
                <c:pt idx="4">
                  <c:v>-1.8; -0.6</c:v>
                </c:pt>
                <c:pt idx="5">
                  <c:v>-0.6; 0.6</c:v>
                </c:pt>
                <c:pt idx="6">
                  <c:v>0.6; 1.8</c:v>
                </c:pt>
                <c:pt idx="7">
                  <c:v>1.8; 3</c:v>
                </c:pt>
                <c:pt idx="8">
                  <c:v>3; 4.2</c:v>
                </c:pt>
                <c:pt idx="9">
                  <c:v>4.2;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0.25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-4.2</c:v>
                </c:pt>
                <c:pt idx="2">
                  <c:v>-4.2; -3</c:v>
                </c:pt>
                <c:pt idx="3">
                  <c:v>-3; -1.8</c:v>
                </c:pt>
                <c:pt idx="4">
                  <c:v>-1.8; -0.6</c:v>
                </c:pt>
                <c:pt idx="5">
                  <c:v>-0.6; 0.6</c:v>
                </c:pt>
                <c:pt idx="6">
                  <c:v>0.6; 1.8</c:v>
                </c:pt>
                <c:pt idx="7">
                  <c:v>1.8; 3</c:v>
                </c:pt>
                <c:pt idx="8">
                  <c:v>3; 4.2</c:v>
                </c:pt>
                <c:pt idx="9">
                  <c:v>4.2;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1.3345749015906309E-5</c:v>
                </c:pt>
                <c:pt idx="2">
                  <c:v>1.336552282614187E-3</c:v>
                </c:pt>
                <c:pt idx="3">
                  <c:v>3.4580421081295713E-2</c:v>
                </c:pt>
                <c:pt idx="4">
                  <c:v>0.23832279863714773</c:v>
                </c:pt>
                <c:pt idx="5">
                  <c:v>0.4514937644998529</c:v>
                </c:pt>
                <c:pt idx="6">
                  <c:v>0.23832279863714778</c:v>
                </c:pt>
                <c:pt idx="7">
                  <c:v>3.4580421081295665E-2</c:v>
                </c:pt>
                <c:pt idx="8">
                  <c:v>1.3365522826142007E-3</c:v>
                </c:pt>
                <c:pt idx="9">
                  <c:v>1.3345749015902797E-5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1</xdr:row>
      <xdr:rowOff>22225</xdr:rowOff>
    </xdr:from>
    <xdr:to>
      <xdr:col>13</xdr:col>
      <xdr:colOff>19050</xdr:colOff>
      <xdr:row>209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264583</xdr:colOff>
      <xdr:row>1</xdr:row>
      <xdr:rowOff>12700</xdr:rowOff>
    </xdr:from>
    <xdr:to>
      <xdr:col>11</xdr:col>
      <xdr:colOff>1039283</xdr:colOff>
      <xdr:row>23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H7" sqref="H7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337</v>
      </c>
      <c r="C2" s="5" t="s">
        <v>12</v>
      </c>
      <c r="D2" s="27">
        <v>65</v>
      </c>
      <c r="E2" s="27"/>
      <c r="F2" s="27">
        <v>75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337</v>
      </c>
      <c r="C3" s="5" t="s">
        <v>12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336</v>
      </c>
      <c r="C4" s="5" t="s">
        <v>12</v>
      </c>
      <c r="D4" s="27">
        <v>70</v>
      </c>
      <c r="E4" s="27"/>
      <c r="F4" s="27">
        <v>82</v>
      </c>
      <c r="G4" s="27"/>
      <c r="H4" s="27">
        <v>3344</v>
      </c>
      <c r="I4" s="93">
        <v>2187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16" t="s">
        <v>338</v>
      </c>
      <c r="C5" s="5" t="s">
        <v>12</v>
      </c>
      <c r="D5" s="27">
        <v>63</v>
      </c>
      <c r="E5" s="27"/>
      <c r="F5" s="27">
        <v>69</v>
      </c>
      <c r="G5" s="95"/>
      <c r="H5" s="94">
        <v>2229</v>
      </c>
      <c r="I5" s="27">
        <v>568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01"/>
      <c r="C6" s="5" t="s">
        <v>20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12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2"/>
      <c r="C12" s="5" t="s">
        <v>20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7" customFormat="1" x14ac:dyDescent="0.3">
      <c r="A13" s="113" t="str">
        <f>IF(AND(Sufficient_data="Yes",Include_study?="Yes"),COUNT(A$2:A12)+1,"")</f>
        <v/>
      </c>
      <c r="B13" s="94"/>
      <c r="C13" s="5" t="s">
        <v>20</v>
      </c>
      <c r="D13" s="95"/>
      <c r="E13" s="95"/>
      <c r="F13" s="95"/>
      <c r="G13" s="95"/>
      <c r="H13" s="95"/>
      <c r="I13" s="95"/>
      <c r="J13" s="114" t="s">
        <v>12</v>
      </c>
      <c r="K13" s="108"/>
      <c r="L13" s="95"/>
    </row>
    <row r="14" spans="1:20" s="117" customFormat="1" x14ac:dyDescent="0.3">
      <c r="A14" s="113" t="str">
        <f>IF(AND(Sufficient_data="Yes",Include_study?="Yes"),COUNT(A$2:A13)+1,"")</f>
        <v/>
      </c>
      <c r="B14" s="94"/>
      <c r="C14" s="5" t="s">
        <v>20</v>
      </c>
      <c r="D14" s="95"/>
      <c r="E14" s="95"/>
      <c r="F14" s="95"/>
      <c r="G14" s="95"/>
      <c r="H14" s="95"/>
      <c r="I14" s="95"/>
      <c r="J14" s="114" t="s">
        <v>12</v>
      </c>
      <c r="K14" s="108"/>
      <c r="L14" s="95"/>
    </row>
    <row r="15" spans="1:20" s="117" customFormat="1" x14ac:dyDescent="0.3">
      <c r="A15" s="113" t="str">
        <f>IF(AND(Sufficient_data="Yes",Include_study?="Yes"),COUNT(A$2:A14)+1,"")</f>
        <v/>
      </c>
      <c r="B15" s="94"/>
      <c r="C15" s="5" t="s">
        <v>20</v>
      </c>
      <c r="D15" s="95"/>
      <c r="E15" s="95"/>
      <c r="F15" s="95"/>
      <c r="G15" s="95"/>
      <c r="H15" s="95"/>
      <c r="I15" s="95"/>
      <c r="J15" s="114" t="s">
        <v>12</v>
      </c>
      <c r="K15" s="108"/>
      <c r="L15" s="95"/>
    </row>
    <row r="16" spans="1:20" s="118" customFormat="1" x14ac:dyDescent="0.3">
      <c r="A16" s="113" t="str">
        <f>IF(AND(Sufficient_data="Yes",Include_study?="Yes"),COUNT(A$2:A15)+1,"")</f>
        <v/>
      </c>
      <c r="B16" s="109"/>
      <c r="C16" s="110" t="s">
        <v>20</v>
      </c>
      <c r="D16" s="111"/>
      <c r="E16" s="111"/>
      <c r="F16" s="111"/>
      <c r="G16" s="111"/>
      <c r="H16" s="111"/>
      <c r="I16" s="111"/>
      <c r="J16" s="115" t="str">
        <f t="shared" si="0"/>
        <v>No</v>
      </c>
      <c r="K16" s="110"/>
      <c r="L16" s="111"/>
      <c r="S16" s="119"/>
      <c r="T16" s="119"/>
    </row>
    <row r="17" spans="1:12" s="117" customFormat="1" x14ac:dyDescent="0.3">
      <c r="A17" s="113" t="str">
        <f>IF(AND(Sufficient_data="Yes",Include_study?="Yes"),COUNT(A$2:A16)+1,"")</f>
        <v/>
      </c>
      <c r="B17" s="112"/>
      <c r="C17" s="108" t="s">
        <v>20</v>
      </c>
      <c r="D17" s="95"/>
      <c r="E17" s="95"/>
      <c r="F17" s="95"/>
      <c r="G17" s="95"/>
      <c r="H17" s="95"/>
      <c r="I17" s="95"/>
      <c r="J17" s="114" t="str">
        <f t="shared" si="0"/>
        <v>No</v>
      </c>
      <c r="K17" s="108"/>
      <c r="L17" s="95"/>
    </row>
    <row r="18" spans="1:12" s="117" customFormat="1" x14ac:dyDescent="0.3">
      <c r="A18" s="113"/>
      <c r="B18" s="112"/>
      <c r="C18" s="108"/>
      <c r="D18" s="95"/>
      <c r="E18" s="95"/>
      <c r="F18" s="95"/>
      <c r="G18" s="95"/>
      <c r="H18" s="95"/>
      <c r="I18" s="95"/>
      <c r="J18" s="114" t="str">
        <f>IF(AND(OR(AND(a_&lt;&gt;"",b_&lt;&gt;""),AND(OR(a_&lt;&gt;"",b_&lt;&gt;""),n1_&lt;&gt;"")),OR(AND(c_&lt;&gt;"",d_&lt;&gt;""),AND(OR(c_&lt;&gt;"",d_&lt;&gt;""),n2_&lt;&gt;""))),"Yes","No")</f>
        <v>No</v>
      </c>
      <c r="K18" s="108"/>
      <c r="L18" s="95"/>
    </row>
    <row r="19" spans="1:12" s="117" customFormat="1" x14ac:dyDescent="0.3">
      <c r="A19" s="113" t="str">
        <f>IF(AND(Sufficient_data="Yes",Include_study?="Yes"),COUNT(A$2:A18)+1,"")</f>
        <v/>
      </c>
      <c r="B19" s="112"/>
      <c r="C19" s="108"/>
      <c r="D19" s="95"/>
      <c r="E19" s="95"/>
      <c r="F19" s="95"/>
      <c r="G19" s="95"/>
      <c r="H19" s="95"/>
      <c r="I19" s="95"/>
      <c r="J19" s="114" t="str">
        <f t="shared" si="0"/>
        <v>No</v>
      </c>
      <c r="K19" s="108"/>
      <c r="L19" s="95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zoomScaleNormal="100" workbookViewId="0">
      <pane ySplit="1" topLeftCell="A14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1" t="s">
        <v>21</v>
      </c>
      <c r="B1" s="121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0.78659217877094967</v>
      </c>
      <c r="G2" s="4">
        <f>IF(Ranked_number&lt;=COUNT(Entry_number),INDEX(Lookup_table,MATCH(Number,Calculations!AK:AK,0),9),"")</f>
        <v>0.56132225151244686</v>
      </c>
      <c r="H2" s="4">
        <f>IF(Ranked_number&lt;=COUNT(Entry_number),INDEX(Lookup_table,MATCH(Number,Calculations!AK:AK,0),10),"")</f>
        <v>1.1022674658567493</v>
      </c>
      <c r="I2" s="8">
        <f>IF(D2&lt;=COUNT(Entry_number),INDEX(Lookup_table,MATCH(Number,Calculations!AK:AK,0),11),"")</f>
        <v>0.25223033739499501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22" t="s">
        <v>29</v>
      </c>
      <c r="O2" s="123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Yeh et al.</v>
      </c>
      <c r="F3" s="4">
        <f>IF(Ranked_number&lt;=COUNT(Entry_number),INDEX(Lookup_table,MATCH(Number,Calculations!AK:AK,0),5),"")</f>
        <v>0.14167862266857964</v>
      </c>
      <c r="G3" s="4">
        <f>IF(Ranked_number&lt;=COUNT(Entry_number),INDEX(Lookup_table,MATCH(Number,Calculations!AK:AK,0),9),"")</f>
        <v>9.1281716526871809E-2</v>
      </c>
      <c r="H3" s="4">
        <f>IF(Ranked_number&lt;=COUNT(Entry_number),INDEX(Lookup_table,MATCH(Number,Calculations!AK:AK,0),10),"")</f>
        <v>0.21989981000583694</v>
      </c>
      <c r="I3" s="8">
        <f>IF(D3&lt;=COUNT(Entry_number),INDEX(Lookup_table,MATCH(Number,Calculations!AK:AK,0),11),"")</f>
        <v>0.24366226128443458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2"/>
      <c r="O3" s="123"/>
    </row>
    <row r="4" spans="1:15" x14ac:dyDescent="0.3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0.5488549845791677</v>
      </c>
      <c r="G4" s="4">
        <f>IF(Ranked_number&lt;=COUNT(Entry_number),INDEX(Lookup_table,MATCH(Number,Calculations!AK:AK,0),9),"")</f>
        <v>0.39708629732880296</v>
      </c>
      <c r="H4" s="4">
        <f>IF(Ranked_number&lt;=COUNT(Entry_number),INDEX(Lookup_table,MATCH(Number,Calculations!AK:AK,0),10),"")</f>
        <v>0.75863054485599235</v>
      </c>
      <c r="I4" s="8">
        <f>IF(D4&lt;=COUNT(Entry_number),INDEX(Lookup_table,MATCH(Number,Calculations!AK:AK,0),11),"")</f>
        <v>0.25324675849511752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22"/>
      <c r="O4" s="123"/>
    </row>
    <row r="5" spans="1:15" x14ac:dyDescent="0.3">
      <c r="A5" s="121" t="s">
        <v>33</v>
      </c>
      <c r="B5" s="121"/>
      <c r="D5" s="48">
        <v>4</v>
      </c>
      <c r="E5" s="16" t="str">
        <f>IF(Number&lt;=COUNT(Entry_number),INDEX(Lookup_table,MATCH(Number,Calculations!AK:AK,0),3),"")</f>
        <v>Chein et al.</v>
      </c>
      <c r="F5" s="4">
        <f>IF(Ranked_number&lt;=COUNT(Entry_number),INDEX(Lookup_table,MATCH(Number,Calculations!AK:AK,0),5),"")</f>
        <v>0.21034565819583284</v>
      </c>
      <c r="G5" s="4">
        <f>IF(Ranked_number&lt;=COUNT(Entry_number),INDEX(Lookup_table,MATCH(Number,Calculations!AK:AK,0),9),"")</f>
        <v>0.14744622881143349</v>
      </c>
      <c r="H5" s="4">
        <f>IF(Ranked_number&lt;=COUNT(Entry_number),INDEX(Lookup_table,MATCH(Number,Calculations!AK:AK,0),10),"")</f>
        <v>0.30007750132709543</v>
      </c>
      <c r="I5" s="8">
        <f>IF(D5&lt;=COUNT(Entry_number),INDEX(Lookup_table,MATCH(Number,Calculations!AK:AK,0),11),"")</f>
        <v>0.25086064282545295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2"/>
      <c r="O5" s="123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22"/>
      <c r="O6" s="123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22"/>
      <c r="O7" s="123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2"/>
      <c r="O8" s="123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2"/>
      <c r="O9" s="123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2"/>
      <c r="O10" s="123"/>
    </row>
    <row r="11" spans="1:15" x14ac:dyDescent="0.3">
      <c r="A11" s="121" t="s">
        <v>42</v>
      </c>
      <c r="B11" s="121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2"/>
      <c r="O11" s="123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2"/>
      <c r="O12" s="123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2"/>
      <c r="O13" s="123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2"/>
      <c r="O14" s="123"/>
    </row>
    <row r="15" spans="1:15" x14ac:dyDescent="0.3">
      <c r="A15" s="121" t="s">
        <v>46</v>
      </c>
      <c r="B15" s="121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2"/>
      <c r="O15" s="123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0.33968701526615563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2"/>
      <c r="O16" s="123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9.5099723897420274E-2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2"/>
      <c r="O17" s="123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1.2133291623947553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2"/>
      <c r="O18" s="123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2.2889480638557884E-2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2"/>
      <c r="O19" s="123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5.0410610080010647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2"/>
      <c r="O20" s="123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2"/>
      <c r="O21" s="123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-2.6990720066300753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2"/>
      <c r="O22" s="123"/>
    </row>
    <row r="23" spans="1:15" x14ac:dyDescent="0.3">
      <c r="A23" s="3" t="s">
        <v>50</v>
      </c>
      <c r="B23" s="26">
        <f>IF(Valid_options="Yes",IF(B22&lt;&gt;"",1-NORMSDIST(ABS(B22)),""),"")</f>
        <v>3.4766564853802029E-3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2"/>
      <c r="O23" s="123"/>
    </row>
    <row r="24" spans="1:15" x14ac:dyDescent="0.3">
      <c r="A24" s="3" t="s">
        <v>51</v>
      </c>
      <c r="B24" s="26">
        <f>IF(Valid_options="Yes",IF(B22&lt;&gt;"",2*(1-NORMSDIST(ABS(B22))),""),"")</f>
        <v>6.9533129707604058E-3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2"/>
      <c r="O24" s="123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2"/>
      <c r="O25" s="123"/>
    </row>
    <row r="26" spans="1:15" ht="12" customHeight="1" x14ac:dyDescent="0.3">
      <c r="A26" s="3" t="s">
        <v>52</v>
      </c>
      <c r="B26" s="7">
        <f>SUMIF(Sufficient_data,"Yes",Number_of_subjects)</f>
        <v>22956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2"/>
      <c r="O26" s="123"/>
    </row>
    <row r="27" spans="1:15" x14ac:dyDescent="0.3">
      <c r="A27" s="3" t="s">
        <v>53</v>
      </c>
      <c r="B27" s="7">
        <f>COUNT(Weightf)</f>
        <v>4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2"/>
      <c r="O27" s="123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2"/>
      <c r="O28" s="123"/>
    </row>
    <row r="29" spans="1:15" x14ac:dyDescent="0.3">
      <c r="A29" s="121" t="s">
        <v>54</v>
      </c>
      <c r="B29" s="121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2"/>
      <c r="O29" s="123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52.833486630507949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2"/>
      <c r="O30" s="123"/>
    </row>
    <row r="31" spans="1:15" ht="13" x14ac:dyDescent="0.35">
      <c r="A31" s="3" t="s">
        <v>56</v>
      </c>
      <c r="B31" s="26">
        <f>IF(Valid_options="Yes",IF(B30&lt;&gt;"",CHIDIST(B30,k_-1),""),"")</f>
        <v>1.9895154094722023E-11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2"/>
      <c r="O31" s="123"/>
    </row>
    <row r="32" spans="1:15" ht="13.5" x14ac:dyDescent="0.3">
      <c r="A32" s="3" t="s">
        <v>57</v>
      </c>
      <c r="B32" s="8">
        <f>IF(Valid_options="Yes",IF(B30&lt;&gt;"",MAX(0,(B30-(k_-1))/B30),""),"")</f>
        <v>0.9432178303699591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2"/>
      <c r="O32" s="123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0.55834535686808395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2"/>
      <c r="O33" s="123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0.74722510454887958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2"/>
      <c r="O34" s="123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2"/>
      <c r="O35" s="123"/>
    </row>
    <row r="36" spans="1:15" x14ac:dyDescent="0.3">
      <c r="A36" s="121" t="s">
        <v>58</v>
      </c>
      <c r="B36" s="125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2"/>
      <c r="O36" s="123"/>
    </row>
    <row r="37" spans="1:15" x14ac:dyDescent="0.3">
      <c r="A37" s="126" t="s">
        <v>35</v>
      </c>
      <c r="B37" s="126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2"/>
      <c r="O37" s="123"/>
    </row>
    <row r="38" spans="1:15" x14ac:dyDescent="0.3">
      <c r="A38" s="120" t="s">
        <v>59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2"/>
      <c r="O38" s="123"/>
    </row>
    <row r="39" spans="1:15" x14ac:dyDescent="0.3">
      <c r="A39" s="120" t="s">
        <v>60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2"/>
      <c r="O39" s="123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2"/>
      <c r="O40" s="123"/>
    </row>
    <row r="41" spans="1:15" x14ac:dyDescent="0.3">
      <c r="A41" s="121" t="s">
        <v>61</v>
      </c>
      <c r="B41" s="125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2"/>
      <c r="O41" s="123"/>
    </row>
    <row r="42" spans="1:15" x14ac:dyDescent="0.3">
      <c r="A42" s="126" t="str">
        <f>IF(Weighting_method="Peto","Peto Odds Ratio","Odds Ratio")</f>
        <v>Odds Ratio</v>
      </c>
      <c r="B42" s="126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2"/>
      <c r="O42" s="123"/>
    </row>
    <row r="43" spans="1:15" x14ac:dyDescent="0.3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2"/>
      <c r="O43" s="123"/>
    </row>
    <row r="44" spans="1:15" x14ac:dyDescent="0.3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2"/>
      <c r="O44" s="123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2"/>
      <c r="O45" s="123"/>
    </row>
    <row r="46" spans="1:15" x14ac:dyDescent="0.3">
      <c r="A46" s="121" t="s">
        <v>62</v>
      </c>
      <c r="B46" s="125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2"/>
      <c r="O46" s="123"/>
    </row>
    <row r="47" spans="1:15" x14ac:dyDescent="0.3">
      <c r="A47" s="126" t="str">
        <f>IF(Model_effect_size_measure&lt;&gt;"",Model_effect_size_measure,"")</f>
        <v>Odds Ratio</v>
      </c>
      <c r="B47" s="126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2"/>
      <c r="O47" s="123"/>
    </row>
    <row r="48" spans="1:15" x14ac:dyDescent="0.3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2"/>
      <c r="O48" s="123"/>
    </row>
    <row r="49" spans="1:15" x14ac:dyDescent="0.3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2"/>
      <c r="O49" s="123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2"/>
      <c r="O50" s="123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2"/>
      <c r="O51" s="123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2"/>
      <c r="O52" s="123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2"/>
      <c r="O53" s="123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2"/>
      <c r="O54" s="123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2"/>
      <c r="O55" s="123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2"/>
      <c r="O56" s="123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2"/>
      <c r="O57" s="123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2"/>
      <c r="O58" s="123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2"/>
      <c r="O59" s="123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2"/>
      <c r="O60" s="123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2"/>
      <c r="O61" s="123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2"/>
      <c r="O62" s="123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2"/>
      <c r="O63" s="123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2"/>
      <c r="O64" s="123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2"/>
      <c r="O65" s="123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2"/>
      <c r="O66" s="123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2"/>
      <c r="O67" s="123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2"/>
      <c r="O68" s="123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2"/>
      <c r="O69" s="123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2"/>
      <c r="O70" s="123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2"/>
      <c r="O71" s="123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2"/>
      <c r="O72" s="123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2"/>
      <c r="O73" s="123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2"/>
      <c r="O74" s="123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2"/>
      <c r="O75" s="123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2"/>
      <c r="O76" s="123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2"/>
      <c r="O77" s="123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2"/>
      <c r="O78" s="123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2"/>
      <c r="O79" s="123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2"/>
      <c r="O80" s="123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2"/>
      <c r="O81" s="123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2"/>
      <c r="O82" s="123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2"/>
      <c r="O83" s="123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2"/>
      <c r="O84" s="123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2"/>
      <c r="O85" s="123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2"/>
      <c r="O86" s="123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2"/>
      <c r="O87" s="123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2"/>
      <c r="O88" s="123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2"/>
      <c r="O89" s="123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2"/>
      <c r="O90" s="123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2"/>
      <c r="O91" s="123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2"/>
      <c r="O92" s="123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2"/>
      <c r="O93" s="123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2"/>
      <c r="O94" s="123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2"/>
      <c r="O95" s="123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2"/>
      <c r="O96" s="123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2"/>
      <c r="O97" s="123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2"/>
      <c r="O98" s="123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2"/>
      <c r="O99" s="123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2"/>
      <c r="O100" s="123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2"/>
      <c r="O101" s="123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2"/>
      <c r="O102" s="123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2"/>
      <c r="O103" s="123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2"/>
      <c r="O104" s="123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2"/>
      <c r="O105" s="123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2"/>
      <c r="O106" s="123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2"/>
      <c r="O107" s="123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2"/>
      <c r="O108" s="123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2"/>
      <c r="O109" s="123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2"/>
      <c r="O110" s="123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2"/>
      <c r="O111" s="123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2"/>
      <c r="O112" s="123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2"/>
      <c r="O113" s="123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2"/>
      <c r="O114" s="123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2"/>
      <c r="O115" s="123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2"/>
      <c r="O116" s="123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2"/>
      <c r="O117" s="123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2"/>
      <c r="O118" s="123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2"/>
      <c r="O119" s="123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2"/>
      <c r="O120" s="123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2"/>
      <c r="O121" s="123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2"/>
      <c r="O122" s="123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2"/>
      <c r="O123" s="123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2"/>
      <c r="O124" s="123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2"/>
      <c r="O125" s="123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2"/>
      <c r="O126" s="123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2"/>
      <c r="O127" s="123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2"/>
      <c r="O128" s="123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2"/>
      <c r="O129" s="123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2"/>
      <c r="O130" s="123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2"/>
      <c r="O131" s="123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2"/>
      <c r="O132" s="123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2"/>
      <c r="O133" s="123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2"/>
      <c r="O134" s="123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2"/>
      <c r="O135" s="123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2"/>
      <c r="O136" s="123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2"/>
      <c r="O137" s="123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2"/>
      <c r="O138" s="123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2"/>
      <c r="O139" s="123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2"/>
      <c r="O140" s="123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2"/>
      <c r="O141" s="123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2"/>
      <c r="O142" s="123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2"/>
      <c r="O143" s="123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2"/>
      <c r="O144" s="123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2"/>
      <c r="O145" s="123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2"/>
      <c r="O146" s="123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2"/>
      <c r="O147" s="123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2"/>
      <c r="O148" s="123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2"/>
      <c r="O149" s="123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2"/>
      <c r="O150" s="123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2"/>
      <c r="O151" s="123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2"/>
      <c r="O152" s="123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2"/>
      <c r="O153" s="123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2"/>
      <c r="O154" s="123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2"/>
      <c r="O155" s="123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2"/>
      <c r="O156" s="123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2"/>
      <c r="O157" s="123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2"/>
      <c r="O158" s="123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2"/>
      <c r="O159" s="123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2"/>
      <c r="O160" s="123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2"/>
      <c r="O161" s="123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2"/>
      <c r="O162" s="123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2"/>
      <c r="O163" s="123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2"/>
      <c r="O164" s="123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2"/>
      <c r="O165" s="123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2"/>
      <c r="O166" s="123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2"/>
      <c r="O167" s="123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2"/>
      <c r="O168" s="123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2"/>
      <c r="O169" s="123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2"/>
      <c r="O170" s="123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2"/>
      <c r="O171" s="123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2"/>
      <c r="O172" s="123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2"/>
      <c r="O173" s="123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2"/>
      <c r="O174" s="123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2"/>
      <c r="O175" s="123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2"/>
      <c r="O176" s="123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2"/>
      <c r="O177" s="123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2"/>
      <c r="O178" s="123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2"/>
      <c r="O179" s="123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2"/>
      <c r="O180" s="123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2"/>
      <c r="O181" s="123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2"/>
      <c r="O182" s="123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2"/>
      <c r="O183" s="123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2"/>
      <c r="O184" s="123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2"/>
      <c r="O185" s="123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2"/>
      <c r="O186" s="123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2"/>
      <c r="O187" s="123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2"/>
      <c r="O188" s="123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2"/>
      <c r="O189" s="123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2"/>
      <c r="O190" s="123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2"/>
      <c r="O191" s="123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2"/>
      <c r="O192" s="123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2"/>
      <c r="O193" s="123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2"/>
      <c r="O194" s="123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2"/>
      <c r="O195" s="123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2"/>
      <c r="O196" s="123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2"/>
      <c r="O197" s="123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2"/>
      <c r="O198" s="123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2"/>
      <c r="O199" s="123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2"/>
      <c r="O200" s="123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2"/>
      <c r="O201" s="124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1" t="s">
        <v>21</v>
      </c>
      <c r="B1" s="121"/>
      <c r="C1" s="121"/>
      <c r="D1" s="121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8" t="s">
        <v>69</v>
      </c>
      <c r="C2" s="128"/>
      <c r="D2" s="12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4" t="s">
        <v>70</v>
      </c>
      <c r="U2" s="123" t="s">
        <v>71</v>
      </c>
      <c r="W2" s="123" t="s">
        <v>72</v>
      </c>
      <c r="Y2" s="123" t="s">
        <v>73</v>
      </c>
      <c r="AA2" s="123" t="s">
        <v>74</v>
      </c>
    </row>
    <row r="3" spans="1:27" x14ac:dyDescent="0.3">
      <c r="A3" s="3" t="s">
        <v>75</v>
      </c>
      <c r="B3" s="129" t="s">
        <v>38</v>
      </c>
      <c r="C3" s="129"/>
      <c r="D3" s="12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4"/>
      <c r="U3" s="123"/>
      <c r="W3" s="123"/>
      <c r="Y3" s="123"/>
      <c r="AA3" s="123"/>
    </row>
    <row r="4" spans="1:27" ht="11.25" customHeight="1" x14ac:dyDescent="0.3">
      <c r="A4" s="3" t="s">
        <v>41</v>
      </c>
      <c r="B4" s="13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0"/>
      <c r="D4" s="13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4"/>
      <c r="U4" s="123"/>
      <c r="W4" s="123"/>
      <c r="Y4" s="123"/>
      <c r="AA4" s="123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4"/>
      <c r="U5" s="123"/>
      <c r="W5" s="123"/>
      <c r="Y5" s="123"/>
      <c r="AA5" s="123"/>
    </row>
    <row r="6" spans="1:27" x14ac:dyDescent="0.3">
      <c r="A6" s="3" t="s">
        <v>76</v>
      </c>
      <c r="B6" s="129" t="s">
        <v>77</v>
      </c>
      <c r="C6" s="129"/>
      <c r="D6" s="12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4"/>
      <c r="U6" s="123"/>
      <c r="W6" s="123"/>
      <c r="Y6" s="123"/>
      <c r="AA6" s="123"/>
    </row>
    <row r="7" spans="1:27" x14ac:dyDescent="0.3">
      <c r="A7" s="3" t="s">
        <v>78</v>
      </c>
      <c r="B7" s="129" t="s">
        <v>79</v>
      </c>
      <c r="C7" s="129"/>
      <c r="D7" s="12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4"/>
      <c r="U7" s="123"/>
      <c r="W7" s="123"/>
      <c r="Y7" s="123"/>
      <c r="AA7" s="123"/>
    </row>
    <row r="8" spans="1:27" x14ac:dyDescent="0.3">
      <c r="A8" s="3" t="s">
        <v>31</v>
      </c>
      <c r="B8" s="131">
        <v>0.95</v>
      </c>
      <c r="C8" s="131"/>
      <c r="D8" s="13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4"/>
      <c r="U8" s="123"/>
      <c r="W8" s="123"/>
      <c r="Y8" s="123"/>
      <c r="AA8" s="123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4"/>
      <c r="U9" s="123"/>
      <c r="W9" s="123"/>
      <c r="Y9" s="123"/>
      <c r="AA9" s="123"/>
    </row>
    <row r="10" spans="1:27" x14ac:dyDescent="0.3">
      <c r="A10" s="121" t="s">
        <v>46</v>
      </c>
      <c r="B10" s="121"/>
      <c r="C10" s="121"/>
      <c r="D10" s="121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4"/>
      <c r="U10" s="123"/>
      <c r="W10" s="123"/>
      <c r="Y10" s="123"/>
      <c r="AA10" s="123"/>
    </row>
    <row r="11" spans="1:27" x14ac:dyDescent="0.3">
      <c r="A11" s="3" t="str">
        <f>Subgroup_effect_size_measure</f>
        <v>Odds Ratio</v>
      </c>
      <c r="B11" s="132" t="e">
        <f>Calculations!EY9</f>
        <v>#DIV/0!</v>
      </c>
      <c r="C11" s="132"/>
      <c r="D11" s="132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4"/>
      <c r="U11" s="123"/>
      <c r="W11" s="123"/>
      <c r="Y11" s="123"/>
      <c r="AA11" s="123"/>
    </row>
    <row r="12" spans="1:27" x14ac:dyDescent="0.3">
      <c r="A12" s="3" t="s">
        <v>23</v>
      </c>
      <c r="B12" s="133" t="e">
        <f>Calculations!EY11</f>
        <v>#DIV/0!</v>
      </c>
      <c r="C12" s="133"/>
      <c r="D12" s="133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4"/>
      <c r="U12" s="123"/>
      <c r="W12" s="123"/>
      <c r="Y12" s="123"/>
      <c r="AA12" s="123"/>
    </row>
    <row r="13" spans="1:27" x14ac:dyDescent="0.3">
      <c r="A13" s="3" t="s">
        <v>24</v>
      </c>
      <c r="B13" s="133" t="e">
        <f>Calculations!EY12</f>
        <v>#DIV/0!</v>
      </c>
      <c r="C13" s="133"/>
      <c r="D13" s="133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4"/>
      <c r="U13" s="123"/>
      <c r="W13" s="123"/>
      <c r="Y13" s="123"/>
      <c r="AA13" s="123"/>
    </row>
    <row r="14" spans="1:27" x14ac:dyDescent="0.3">
      <c r="A14" s="3" t="s">
        <v>47</v>
      </c>
      <c r="B14" s="133" t="e">
        <f>Calculations!EY13</f>
        <v>#DIV/0!</v>
      </c>
      <c r="C14" s="133"/>
      <c r="D14" s="133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4"/>
      <c r="U14" s="123"/>
      <c r="W14" s="123"/>
      <c r="Y14" s="123"/>
      <c r="AA14" s="123"/>
    </row>
    <row r="15" spans="1:27" x14ac:dyDescent="0.3">
      <c r="A15" s="3" t="s">
        <v>48</v>
      </c>
      <c r="B15" s="133" t="e">
        <f>Calculations!EY14</f>
        <v>#DIV/0!</v>
      </c>
      <c r="C15" s="133"/>
      <c r="D15" s="133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4"/>
      <c r="U15" s="123"/>
      <c r="W15" s="123"/>
      <c r="Y15" s="123"/>
      <c r="AA15" s="123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4"/>
      <c r="U16" s="123"/>
      <c r="W16" s="123"/>
      <c r="Y16" s="123"/>
      <c r="AA16" s="123"/>
    </row>
    <row r="17" spans="1:27" x14ac:dyDescent="0.3">
      <c r="A17" s="3" t="s">
        <v>52</v>
      </c>
      <c r="B17" s="127">
        <f>SUMIF(Sufficient_data,"Yes",Number_of_subjects)</f>
        <v>22956</v>
      </c>
      <c r="C17" s="127"/>
      <c r="D17" s="127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4"/>
      <c r="U17" s="123"/>
      <c r="W17" s="123"/>
      <c r="Y17" s="123"/>
      <c r="AA17" s="123"/>
    </row>
    <row r="18" spans="1:27" x14ac:dyDescent="0.3">
      <c r="A18" s="3" t="s">
        <v>53</v>
      </c>
      <c r="B18" s="127">
        <f>COUNT(Subgroup_weightf)</f>
        <v>0</v>
      </c>
      <c r="C18" s="127"/>
      <c r="D18" s="127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4"/>
      <c r="U18" s="123"/>
      <c r="W18" s="123"/>
      <c r="Y18" s="123"/>
      <c r="AA18" s="123"/>
    </row>
    <row r="19" spans="1:27" x14ac:dyDescent="0.3">
      <c r="A19" s="3" t="s">
        <v>80</v>
      </c>
      <c r="B19" s="127">
        <f>COUNT(Calculations!DZ:DZ)</f>
        <v>0</v>
      </c>
      <c r="C19" s="127"/>
      <c r="D19" s="127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4"/>
      <c r="U19" s="123"/>
      <c r="W19" s="123"/>
      <c r="Y19" s="123"/>
      <c r="AA19" s="123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4"/>
      <c r="U20" s="123"/>
      <c r="W20" s="123"/>
      <c r="Y20" s="123"/>
      <c r="AA20" s="123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4"/>
      <c r="U21" s="123"/>
      <c r="W21" s="123"/>
      <c r="Y21" s="123"/>
      <c r="AA21" s="123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4"/>
      <c r="U22" s="123"/>
      <c r="W22" s="123"/>
      <c r="Y22" s="123"/>
      <c r="AA22" s="123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4"/>
      <c r="U23" s="123"/>
      <c r="W23" s="123"/>
      <c r="Y23" s="123"/>
      <c r="AA23" s="123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4"/>
      <c r="U24" s="123"/>
      <c r="W24" s="123"/>
      <c r="Y24" s="123"/>
      <c r="AA24" s="123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4"/>
      <c r="U25" s="123"/>
      <c r="W25" s="123"/>
      <c r="Y25" s="123"/>
      <c r="AA25" s="123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4"/>
      <c r="U26" s="123"/>
      <c r="W26" s="123"/>
      <c r="Y26" s="123"/>
      <c r="AA26" s="123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4"/>
      <c r="U27" s="123"/>
      <c r="W27" s="123"/>
      <c r="Y27" s="123"/>
      <c r="AA27" s="123"/>
    </row>
    <row r="28" spans="1:27" x14ac:dyDescent="0.3">
      <c r="A28" s="121" t="s">
        <v>58</v>
      </c>
      <c r="B28" s="121"/>
      <c r="C28" s="121"/>
      <c r="D28" s="121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4"/>
      <c r="U28" s="123"/>
      <c r="W28" s="123"/>
      <c r="Y28" s="123"/>
      <c r="AA28" s="123"/>
    </row>
    <row r="29" spans="1:27" x14ac:dyDescent="0.3">
      <c r="A29" s="126" t="s">
        <v>69</v>
      </c>
      <c r="B29" s="126"/>
      <c r="C29" s="126"/>
      <c r="D29" s="126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4"/>
      <c r="U29" s="123"/>
      <c r="W29" s="123"/>
      <c r="Y29" s="123"/>
      <c r="AA29" s="123"/>
    </row>
    <row r="30" spans="1:27" x14ac:dyDescent="0.3">
      <c r="A30" s="120" t="s">
        <v>59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4"/>
      <c r="U30" s="123"/>
      <c r="W30" s="123"/>
      <c r="Y30" s="123"/>
      <c r="AA30" s="123"/>
    </row>
    <row r="31" spans="1:27" x14ac:dyDescent="0.3">
      <c r="A31" s="120" t="s">
        <v>60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4"/>
      <c r="U31" s="123"/>
      <c r="W31" s="123"/>
      <c r="Y31" s="123"/>
      <c r="AA31" s="123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4"/>
      <c r="U32" s="123"/>
      <c r="W32" s="123"/>
      <c r="Y32" s="123"/>
      <c r="AA32" s="123"/>
    </row>
    <row r="33" spans="1:27" x14ac:dyDescent="0.3">
      <c r="A33" s="121" t="s">
        <v>87</v>
      </c>
      <c r="B33" s="121"/>
      <c r="C33" s="121"/>
      <c r="D33" s="121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4"/>
      <c r="U33" s="123"/>
      <c r="W33" s="123"/>
      <c r="Y33" s="123"/>
      <c r="AA33" s="123"/>
    </row>
    <row r="34" spans="1:27" x14ac:dyDescent="0.3">
      <c r="A34" s="126" t="str">
        <f>IF(Subgroup_weighting_method="Peto","Peto Odds Ratio","Odds Ratio")</f>
        <v>Odds Ratio</v>
      </c>
      <c r="B34" s="126"/>
      <c r="C34" s="126"/>
      <c r="D34" s="126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4"/>
      <c r="U34" s="123"/>
      <c r="W34" s="123"/>
      <c r="Y34" s="123"/>
      <c r="AA34" s="123"/>
    </row>
    <row r="35" spans="1:27" x14ac:dyDescent="0.3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4"/>
      <c r="U35" s="123"/>
      <c r="W35" s="123"/>
      <c r="Y35" s="123"/>
      <c r="AA35" s="123"/>
    </row>
    <row r="36" spans="1:27" x14ac:dyDescent="0.3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4"/>
      <c r="U36" s="123"/>
      <c r="W36" s="123"/>
      <c r="Y36" s="123"/>
      <c r="AA36" s="123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4"/>
      <c r="U37" s="123"/>
      <c r="W37" s="123"/>
      <c r="Y37" s="123"/>
      <c r="AA37" s="123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4"/>
      <c r="U38" s="123"/>
      <c r="W38" s="123"/>
      <c r="Y38" s="123"/>
      <c r="AA38" s="123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4"/>
      <c r="U39" s="123"/>
      <c r="W39" s="123"/>
      <c r="Y39" s="123"/>
      <c r="AA39" s="123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4"/>
      <c r="U40" s="123"/>
      <c r="W40" s="123"/>
      <c r="Y40" s="123"/>
      <c r="AA40" s="123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4"/>
      <c r="U41" s="123"/>
      <c r="W41" s="123"/>
      <c r="Y41" s="123"/>
      <c r="AA41" s="123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4"/>
      <c r="U42" s="123"/>
      <c r="W42" s="123"/>
      <c r="Y42" s="123"/>
      <c r="AA42" s="123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4"/>
      <c r="U43" s="123"/>
      <c r="W43" s="123"/>
      <c r="Y43" s="123"/>
      <c r="AA43" s="123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4"/>
      <c r="U44" s="123"/>
      <c r="W44" s="123"/>
      <c r="Y44" s="123"/>
      <c r="AA44" s="123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4"/>
      <c r="U45" s="123"/>
      <c r="W45" s="123"/>
      <c r="Y45" s="123"/>
      <c r="AA45" s="123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4"/>
      <c r="U46" s="123"/>
      <c r="W46" s="123"/>
      <c r="Y46" s="123"/>
      <c r="AA46" s="123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4"/>
      <c r="U47" s="123"/>
      <c r="W47" s="123"/>
      <c r="Y47" s="123"/>
      <c r="AA47" s="123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4"/>
      <c r="U48" s="123"/>
      <c r="W48" s="123"/>
      <c r="Y48" s="123"/>
      <c r="AA48" s="123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4"/>
      <c r="U49" s="123"/>
      <c r="W49" s="123"/>
      <c r="Y49" s="123"/>
      <c r="AA49" s="123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4"/>
      <c r="U50" s="123"/>
      <c r="W50" s="123"/>
      <c r="Y50" s="123"/>
      <c r="AA50" s="123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4"/>
      <c r="U51" s="123"/>
      <c r="W51" s="123"/>
      <c r="Y51" s="123"/>
      <c r="AA51" s="123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4"/>
      <c r="U52" s="123"/>
      <c r="W52" s="123"/>
      <c r="Y52" s="123"/>
      <c r="AA52" s="123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4"/>
      <c r="U53" s="123"/>
      <c r="W53" s="123"/>
      <c r="Y53" s="123"/>
      <c r="AA53" s="123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4"/>
      <c r="U54" s="123"/>
      <c r="W54" s="123"/>
      <c r="Y54" s="123"/>
      <c r="AA54" s="123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4"/>
      <c r="U55" s="123"/>
      <c r="W55" s="123"/>
      <c r="Y55" s="123"/>
      <c r="AA55" s="123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4"/>
      <c r="U56" s="123"/>
      <c r="W56" s="123"/>
      <c r="Y56" s="123"/>
      <c r="AA56" s="123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4"/>
      <c r="U57" s="123"/>
      <c r="W57" s="123"/>
      <c r="Y57" s="123"/>
      <c r="AA57" s="123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4"/>
      <c r="U58" s="123"/>
      <c r="W58" s="123"/>
      <c r="Y58" s="123"/>
      <c r="AA58" s="123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4"/>
      <c r="U59" s="123"/>
      <c r="W59" s="123"/>
      <c r="Y59" s="123"/>
      <c r="AA59" s="123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4"/>
      <c r="U60" s="123"/>
      <c r="W60" s="123"/>
      <c r="Y60" s="123"/>
      <c r="AA60" s="123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4"/>
      <c r="U61" s="123"/>
      <c r="W61" s="123"/>
      <c r="Y61" s="123"/>
      <c r="AA61" s="123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4"/>
      <c r="U62" s="123"/>
      <c r="W62" s="123"/>
      <c r="Y62" s="123"/>
      <c r="AA62" s="123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4"/>
      <c r="U63" s="123"/>
      <c r="W63" s="123"/>
      <c r="Y63" s="123"/>
      <c r="AA63" s="123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4"/>
      <c r="U64" s="123"/>
      <c r="W64" s="123"/>
      <c r="Y64" s="123"/>
      <c r="AA64" s="123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4"/>
      <c r="U65" s="123"/>
      <c r="W65" s="123"/>
      <c r="Y65" s="123"/>
      <c r="AA65" s="123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4"/>
      <c r="U66" s="123"/>
      <c r="W66" s="123"/>
      <c r="Y66" s="123"/>
      <c r="AA66" s="123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4"/>
      <c r="U67" s="123"/>
      <c r="W67" s="123"/>
      <c r="Y67" s="123"/>
      <c r="AA67" s="123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4"/>
      <c r="U68" s="123"/>
      <c r="W68" s="123"/>
      <c r="Y68" s="123"/>
      <c r="AA68" s="123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4"/>
      <c r="U69" s="123"/>
      <c r="W69" s="123"/>
      <c r="Y69" s="123"/>
      <c r="AA69" s="123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4"/>
      <c r="U70" s="123"/>
      <c r="W70" s="123"/>
      <c r="Y70" s="123"/>
      <c r="AA70" s="123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4"/>
      <c r="U71" s="123"/>
      <c r="W71" s="123"/>
      <c r="Y71" s="123"/>
      <c r="AA71" s="123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4"/>
      <c r="U72" s="123"/>
      <c r="W72" s="123"/>
      <c r="Y72" s="123"/>
      <c r="AA72" s="123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4"/>
      <c r="U73" s="123"/>
      <c r="W73" s="123"/>
      <c r="Y73" s="123"/>
      <c r="AA73" s="123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4"/>
      <c r="U74" s="123"/>
      <c r="W74" s="123"/>
      <c r="Y74" s="123"/>
      <c r="AA74" s="123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4"/>
      <c r="U75" s="123"/>
      <c r="W75" s="123"/>
      <c r="Y75" s="123"/>
      <c r="AA75" s="123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4"/>
      <c r="U76" s="123"/>
      <c r="W76" s="123"/>
      <c r="Y76" s="123"/>
      <c r="AA76" s="123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4"/>
      <c r="U77" s="123"/>
      <c r="W77" s="123"/>
      <c r="Y77" s="123"/>
      <c r="AA77" s="123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4"/>
      <c r="U78" s="123"/>
      <c r="W78" s="123"/>
      <c r="Y78" s="123"/>
      <c r="AA78" s="123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4"/>
      <c r="U79" s="123"/>
      <c r="W79" s="123"/>
      <c r="Y79" s="123"/>
      <c r="AA79" s="123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4"/>
      <c r="U80" s="123"/>
      <c r="W80" s="123"/>
      <c r="Y80" s="123"/>
      <c r="AA80" s="123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4"/>
      <c r="U81" s="123"/>
      <c r="W81" s="123"/>
      <c r="Y81" s="123"/>
      <c r="AA81" s="123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4"/>
      <c r="U82" s="123"/>
      <c r="W82" s="123"/>
      <c r="Y82" s="123"/>
      <c r="AA82" s="123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4"/>
      <c r="U83" s="123"/>
      <c r="W83" s="123"/>
      <c r="Y83" s="123"/>
      <c r="AA83" s="123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4"/>
      <c r="U84" s="123"/>
      <c r="W84" s="123"/>
      <c r="Y84" s="123"/>
      <c r="AA84" s="123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4"/>
      <c r="U85" s="123"/>
      <c r="W85" s="123"/>
      <c r="Y85" s="123"/>
      <c r="AA85" s="123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4"/>
      <c r="U86" s="123"/>
      <c r="W86" s="123"/>
      <c r="Y86" s="123"/>
      <c r="AA86" s="123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4"/>
      <c r="U87" s="123"/>
      <c r="W87" s="123"/>
      <c r="Y87" s="123"/>
      <c r="AA87" s="123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4"/>
      <c r="U88" s="123"/>
      <c r="W88" s="123"/>
      <c r="Y88" s="123"/>
      <c r="AA88" s="123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4"/>
      <c r="U89" s="123"/>
      <c r="W89" s="123"/>
      <c r="Y89" s="123"/>
      <c r="AA89" s="123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4"/>
      <c r="U90" s="123"/>
      <c r="W90" s="123"/>
      <c r="Y90" s="123"/>
      <c r="AA90" s="123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4"/>
      <c r="U91" s="123"/>
      <c r="W91" s="123"/>
      <c r="Y91" s="123"/>
      <c r="AA91" s="123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4"/>
      <c r="U92" s="123"/>
      <c r="W92" s="123"/>
      <c r="Y92" s="123"/>
      <c r="AA92" s="123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4"/>
      <c r="U93" s="123"/>
      <c r="W93" s="123"/>
      <c r="Y93" s="123"/>
      <c r="AA93" s="123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4"/>
      <c r="U94" s="123"/>
      <c r="W94" s="123"/>
      <c r="Y94" s="123"/>
      <c r="AA94" s="123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4"/>
      <c r="U95" s="123"/>
      <c r="W95" s="123"/>
      <c r="Y95" s="123"/>
      <c r="AA95" s="123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4"/>
      <c r="U96" s="123"/>
      <c r="W96" s="123"/>
      <c r="Y96" s="123"/>
      <c r="AA96" s="123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4"/>
      <c r="U97" s="123"/>
      <c r="W97" s="123"/>
      <c r="Y97" s="123"/>
      <c r="AA97" s="123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4"/>
      <c r="U98" s="123"/>
      <c r="W98" s="123"/>
      <c r="Y98" s="123"/>
      <c r="AA98" s="123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4"/>
      <c r="U99" s="123"/>
      <c r="W99" s="123"/>
      <c r="Y99" s="123"/>
      <c r="AA99" s="123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4"/>
      <c r="U100" s="123"/>
      <c r="W100" s="123"/>
      <c r="Y100" s="123"/>
      <c r="AA100" s="123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4"/>
      <c r="U101" s="123"/>
      <c r="W101" s="123"/>
      <c r="Y101" s="123"/>
      <c r="AA101" s="123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4"/>
      <c r="U102" s="123"/>
      <c r="W102" s="123"/>
      <c r="Y102" s="123"/>
      <c r="AA102" s="123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4"/>
      <c r="U103" s="123"/>
      <c r="W103" s="123"/>
      <c r="Y103" s="123"/>
      <c r="AA103" s="123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4"/>
      <c r="U104" s="123"/>
      <c r="W104" s="123"/>
      <c r="Y104" s="123"/>
      <c r="AA104" s="123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4"/>
      <c r="U105" s="123"/>
      <c r="W105" s="123"/>
      <c r="Y105" s="123"/>
      <c r="AA105" s="123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4"/>
      <c r="U106" s="123"/>
      <c r="W106" s="123"/>
      <c r="Y106" s="123"/>
      <c r="AA106" s="123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4"/>
      <c r="U107" s="123"/>
      <c r="W107" s="123"/>
      <c r="Y107" s="123"/>
      <c r="AA107" s="123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4"/>
      <c r="U108" s="123"/>
      <c r="W108" s="123"/>
      <c r="Y108" s="123"/>
      <c r="AA108" s="123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4"/>
      <c r="U109" s="123"/>
      <c r="W109" s="123"/>
      <c r="Y109" s="123"/>
      <c r="AA109" s="123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4"/>
      <c r="U110" s="123"/>
      <c r="W110" s="123"/>
      <c r="Y110" s="123"/>
      <c r="AA110" s="123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4"/>
      <c r="U111" s="123"/>
      <c r="W111" s="123"/>
      <c r="Y111" s="123"/>
      <c r="AA111" s="123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4"/>
      <c r="U112" s="123"/>
      <c r="W112" s="123"/>
      <c r="Y112" s="123"/>
      <c r="AA112" s="123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4"/>
      <c r="U113" s="123"/>
      <c r="W113" s="123"/>
      <c r="Y113" s="123"/>
      <c r="AA113" s="123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4"/>
      <c r="U114" s="123"/>
      <c r="W114" s="123"/>
      <c r="Y114" s="123"/>
      <c r="AA114" s="123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4"/>
      <c r="U115" s="123"/>
      <c r="W115" s="123"/>
      <c r="Y115" s="123"/>
      <c r="AA115" s="123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4"/>
      <c r="U116" s="123"/>
      <c r="W116" s="123"/>
      <c r="Y116" s="123"/>
      <c r="AA116" s="123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4"/>
      <c r="U117" s="123"/>
      <c r="W117" s="123"/>
      <c r="Y117" s="123"/>
      <c r="AA117" s="123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4"/>
      <c r="U118" s="123"/>
      <c r="W118" s="123"/>
      <c r="Y118" s="123"/>
      <c r="AA118" s="123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4"/>
      <c r="U119" s="123"/>
      <c r="W119" s="123"/>
      <c r="Y119" s="123"/>
      <c r="AA119" s="123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4"/>
      <c r="U120" s="123"/>
      <c r="W120" s="123"/>
      <c r="Y120" s="123"/>
      <c r="AA120" s="123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4"/>
      <c r="U121" s="123"/>
      <c r="W121" s="123"/>
      <c r="Y121" s="123"/>
      <c r="AA121" s="123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4"/>
      <c r="U122" s="123"/>
      <c r="W122" s="123"/>
      <c r="Y122" s="123"/>
      <c r="AA122" s="123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4"/>
      <c r="U123" s="123"/>
      <c r="W123" s="123"/>
      <c r="Y123" s="123"/>
      <c r="AA123" s="123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4"/>
      <c r="U124" s="123"/>
      <c r="W124" s="123"/>
      <c r="Y124" s="123"/>
      <c r="AA124" s="123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4"/>
      <c r="U125" s="123"/>
      <c r="W125" s="123"/>
      <c r="Y125" s="123"/>
      <c r="AA125" s="123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4"/>
      <c r="U126" s="123"/>
      <c r="W126" s="123"/>
      <c r="Y126" s="123"/>
      <c r="AA126" s="123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4"/>
      <c r="U127" s="123"/>
      <c r="W127" s="123"/>
      <c r="Y127" s="123"/>
      <c r="AA127" s="123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4"/>
      <c r="U128" s="123"/>
      <c r="W128" s="123"/>
      <c r="Y128" s="123"/>
      <c r="AA128" s="123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4"/>
      <c r="U129" s="123"/>
      <c r="W129" s="123"/>
      <c r="Y129" s="123"/>
      <c r="AA129" s="123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4"/>
      <c r="U130" s="123"/>
      <c r="W130" s="123"/>
      <c r="Y130" s="123"/>
      <c r="AA130" s="123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4"/>
      <c r="U131" s="123"/>
      <c r="W131" s="123"/>
      <c r="Y131" s="123"/>
      <c r="AA131" s="123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4"/>
      <c r="U132" s="123"/>
      <c r="W132" s="123"/>
      <c r="Y132" s="123"/>
      <c r="AA132" s="123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4"/>
      <c r="U133" s="123"/>
      <c r="W133" s="123"/>
      <c r="Y133" s="123"/>
      <c r="AA133" s="123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4"/>
      <c r="U134" s="123"/>
      <c r="W134" s="123"/>
      <c r="Y134" s="123"/>
      <c r="AA134" s="123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4"/>
      <c r="U135" s="123"/>
      <c r="W135" s="123"/>
      <c r="Y135" s="123"/>
      <c r="AA135" s="123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4"/>
      <c r="U136" s="123"/>
      <c r="W136" s="123"/>
      <c r="Y136" s="123"/>
      <c r="AA136" s="123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4"/>
      <c r="U137" s="123"/>
      <c r="W137" s="123"/>
      <c r="Y137" s="123"/>
      <c r="AA137" s="123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4"/>
      <c r="U138" s="123"/>
      <c r="W138" s="123"/>
      <c r="Y138" s="123"/>
      <c r="AA138" s="123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4"/>
      <c r="U139" s="123"/>
      <c r="W139" s="123"/>
      <c r="Y139" s="123"/>
      <c r="AA139" s="123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4"/>
      <c r="U140" s="123"/>
      <c r="W140" s="123"/>
      <c r="Y140" s="123"/>
      <c r="AA140" s="123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4"/>
      <c r="U141" s="123"/>
      <c r="W141" s="123"/>
      <c r="Y141" s="123"/>
      <c r="AA141" s="123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4"/>
      <c r="U142" s="123"/>
      <c r="W142" s="123"/>
      <c r="Y142" s="123"/>
      <c r="AA142" s="123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4"/>
      <c r="U143" s="123"/>
      <c r="W143" s="123"/>
      <c r="Y143" s="123"/>
      <c r="AA143" s="123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4"/>
      <c r="U144" s="123"/>
      <c r="W144" s="123"/>
      <c r="Y144" s="123"/>
      <c r="AA144" s="123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4"/>
      <c r="U145" s="123"/>
      <c r="W145" s="123"/>
      <c r="Y145" s="123"/>
      <c r="AA145" s="123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4"/>
      <c r="U146" s="123"/>
      <c r="W146" s="123"/>
      <c r="Y146" s="123"/>
      <c r="AA146" s="123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4"/>
      <c r="U147" s="123"/>
      <c r="W147" s="123"/>
      <c r="Y147" s="123"/>
      <c r="AA147" s="123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4"/>
      <c r="U148" s="123"/>
      <c r="W148" s="123"/>
      <c r="Y148" s="123"/>
      <c r="AA148" s="123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4"/>
      <c r="U149" s="123"/>
      <c r="W149" s="123"/>
      <c r="Y149" s="123"/>
      <c r="AA149" s="123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4"/>
      <c r="U150" s="123"/>
      <c r="W150" s="123"/>
      <c r="Y150" s="123"/>
      <c r="AA150" s="123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4"/>
      <c r="U151" s="123"/>
      <c r="W151" s="123"/>
      <c r="Y151" s="123"/>
      <c r="AA151" s="123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4"/>
      <c r="U152" s="123"/>
      <c r="W152" s="123"/>
      <c r="Y152" s="123"/>
      <c r="AA152" s="123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4"/>
      <c r="U153" s="123"/>
      <c r="W153" s="123"/>
      <c r="Y153" s="123"/>
      <c r="AA153" s="123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4"/>
      <c r="U154" s="123"/>
      <c r="W154" s="123"/>
      <c r="Y154" s="123"/>
      <c r="AA154" s="123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4"/>
      <c r="U155" s="123"/>
      <c r="W155" s="123"/>
      <c r="Y155" s="123"/>
      <c r="AA155" s="123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4"/>
      <c r="U156" s="123"/>
      <c r="W156" s="123"/>
      <c r="Y156" s="123"/>
      <c r="AA156" s="123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4"/>
      <c r="U157" s="123"/>
      <c r="W157" s="123"/>
      <c r="Y157" s="123"/>
      <c r="AA157" s="123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4"/>
      <c r="U158" s="123"/>
      <c r="W158" s="123"/>
      <c r="Y158" s="123"/>
      <c r="AA158" s="123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4"/>
      <c r="U159" s="123"/>
      <c r="W159" s="123"/>
      <c r="Y159" s="123"/>
      <c r="AA159" s="123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4"/>
      <c r="U160" s="123"/>
      <c r="W160" s="123"/>
      <c r="Y160" s="123"/>
      <c r="AA160" s="123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4"/>
      <c r="U161" s="123"/>
      <c r="W161" s="123"/>
      <c r="Y161" s="123"/>
      <c r="AA161" s="123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4"/>
      <c r="U162" s="123"/>
      <c r="W162" s="123"/>
      <c r="Y162" s="123"/>
      <c r="AA162" s="123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4"/>
      <c r="U163" s="123"/>
      <c r="W163" s="123"/>
      <c r="Y163" s="123"/>
      <c r="AA163" s="123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4"/>
      <c r="U164" s="123"/>
      <c r="W164" s="123"/>
      <c r="Y164" s="123"/>
      <c r="AA164" s="123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4"/>
      <c r="U165" s="123"/>
      <c r="W165" s="123"/>
      <c r="Y165" s="123"/>
      <c r="AA165" s="123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4"/>
      <c r="U166" s="123"/>
      <c r="W166" s="123"/>
      <c r="Y166" s="123"/>
      <c r="AA166" s="123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4"/>
      <c r="U167" s="123"/>
      <c r="W167" s="123"/>
      <c r="Y167" s="123"/>
      <c r="AA167" s="123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4"/>
      <c r="U168" s="123"/>
      <c r="W168" s="123"/>
      <c r="Y168" s="123"/>
      <c r="AA168" s="123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4"/>
      <c r="U169" s="123"/>
      <c r="W169" s="123"/>
      <c r="Y169" s="123"/>
      <c r="AA169" s="123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4"/>
      <c r="U170" s="123"/>
      <c r="W170" s="123"/>
      <c r="Y170" s="123"/>
      <c r="AA170" s="123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4"/>
      <c r="U171" s="123"/>
      <c r="W171" s="123"/>
      <c r="Y171" s="123"/>
      <c r="AA171" s="123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4"/>
      <c r="U172" s="123"/>
      <c r="W172" s="123"/>
      <c r="Y172" s="123"/>
      <c r="AA172" s="123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4"/>
      <c r="U173" s="123"/>
      <c r="W173" s="123"/>
      <c r="Y173" s="123"/>
      <c r="AA173" s="123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4"/>
      <c r="U174" s="123"/>
      <c r="W174" s="123"/>
      <c r="Y174" s="123"/>
      <c r="AA174" s="123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4"/>
      <c r="U175" s="123"/>
      <c r="W175" s="123"/>
      <c r="Y175" s="123"/>
      <c r="AA175" s="123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4"/>
      <c r="U176" s="123"/>
      <c r="W176" s="123"/>
      <c r="Y176" s="123"/>
      <c r="AA176" s="123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4"/>
      <c r="U177" s="123"/>
      <c r="W177" s="123"/>
      <c r="Y177" s="123"/>
      <c r="AA177" s="123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4"/>
      <c r="U178" s="123"/>
      <c r="W178" s="123"/>
      <c r="Y178" s="123"/>
      <c r="AA178" s="123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4"/>
      <c r="U179" s="123"/>
      <c r="W179" s="123"/>
      <c r="Y179" s="123"/>
      <c r="AA179" s="123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4"/>
      <c r="U180" s="123"/>
      <c r="W180" s="123"/>
      <c r="Y180" s="123"/>
      <c r="AA180" s="123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4"/>
      <c r="U181" s="123"/>
      <c r="W181" s="123"/>
      <c r="Y181" s="123"/>
      <c r="AA181" s="123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4"/>
      <c r="U182" s="123"/>
      <c r="W182" s="123"/>
      <c r="Y182" s="123"/>
      <c r="AA182" s="123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4"/>
      <c r="U183" s="123"/>
      <c r="W183" s="123"/>
      <c r="Y183" s="123"/>
      <c r="AA183" s="123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4"/>
      <c r="U184" s="123"/>
      <c r="W184" s="123"/>
      <c r="Y184" s="123"/>
      <c r="AA184" s="123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4"/>
      <c r="U185" s="123"/>
      <c r="W185" s="123"/>
      <c r="Y185" s="123"/>
      <c r="AA185" s="123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4"/>
      <c r="U186" s="123"/>
      <c r="W186" s="123"/>
      <c r="Y186" s="123"/>
      <c r="AA186" s="123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4"/>
      <c r="U187" s="123"/>
      <c r="W187" s="123"/>
      <c r="Y187" s="123"/>
      <c r="AA187" s="123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4"/>
      <c r="U188" s="123"/>
      <c r="W188" s="123"/>
      <c r="Y188" s="123"/>
      <c r="AA188" s="123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4"/>
      <c r="U189" s="123"/>
      <c r="W189" s="123"/>
      <c r="Y189" s="123"/>
      <c r="AA189" s="123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4"/>
      <c r="U190" s="123"/>
      <c r="W190" s="123"/>
      <c r="Y190" s="123"/>
      <c r="AA190" s="123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4"/>
      <c r="U191" s="123"/>
      <c r="W191" s="123"/>
      <c r="Y191" s="123"/>
      <c r="AA191" s="123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4"/>
      <c r="U192" s="123"/>
      <c r="W192" s="123"/>
      <c r="Y192" s="123"/>
      <c r="AA192" s="123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4"/>
      <c r="U193" s="123"/>
      <c r="W193" s="123"/>
      <c r="Y193" s="123"/>
      <c r="AA193" s="123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4"/>
      <c r="U194" s="123"/>
      <c r="W194" s="123"/>
      <c r="Y194" s="123"/>
      <c r="AA194" s="123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4"/>
      <c r="U195" s="123"/>
      <c r="W195" s="123"/>
      <c r="Y195" s="123"/>
      <c r="AA195" s="123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4"/>
      <c r="U196" s="123"/>
      <c r="W196" s="123"/>
      <c r="Y196" s="123"/>
      <c r="AA196" s="123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4"/>
      <c r="U197" s="123"/>
      <c r="W197" s="123"/>
      <c r="Y197" s="123"/>
      <c r="AA197" s="123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4"/>
      <c r="U198" s="123"/>
      <c r="W198" s="123"/>
      <c r="Y198" s="123"/>
      <c r="AA198" s="123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4"/>
      <c r="U199" s="123"/>
      <c r="W199" s="123"/>
      <c r="Y199" s="123"/>
      <c r="AA199" s="123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4"/>
      <c r="U200" s="123"/>
      <c r="W200" s="123"/>
      <c r="Y200" s="123"/>
      <c r="AA200" s="123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5"/>
      <c r="U201" s="124"/>
      <c r="W201" s="124"/>
      <c r="Y201" s="124"/>
      <c r="AA201" s="12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1" t="s">
        <v>21</v>
      </c>
      <c r="B1" s="121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1" t="s">
        <v>58</v>
      </c>
      <c r="B9" s="121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0" t="s">
        <v>59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0" t="s">
        <v>60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1" t="s">
        <v>87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6" t="str">
        <f>IF(Moderator_weighting_method="Peto","Log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90" zoomScaleNormal="100" workbookViewId="0">
      <pane ySplit="1" topLeftCell="A2" activePane="bottomLeft" state="frozen"/>
      <selection pane="bottomLeft" activeCell="D2" sqref="D2:F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21" t="s">
        <v>104</v>
      </c>
      <c r="P1" s="121"/>
      <c r="Q1" s="121"/>
      <c r="R1" s="121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-0.24004536211681304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0.17210802255077776</v>
      </c>
      <c r="M2" s="123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23" t="s">
        <v>115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4.9564199814304892</v>
      </c>
      <c r="AE2" s="123" t="s">
        <v>116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3.4293552812071332E-2</v>
      </c>
      <c r="AI2" s="34">
        <f t="shared" ref="AI2:AI65" si="6">IF(AND(Sufficient_data="Yes",Include_study?="Yes"),a_/(a_+b_),"")</f>
        <v>2.717391304347826E-2</v>
      </c>
      <c r="AR2" s="123" t="s">
        <v>117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5.8103043959206824</v>
      </c>
      <c r="AV2" s="34">
        <f t="shared" ref="AV2:AV33" si="9">IF(AND(Include_study?="Yes",Sufficient_data="Yes"),IF(AND(Additional_valid_options="No",Additional_model="Random effects"),NA(),Z_score),"")</f>
        <v>-1.3947366227276909</v>
      </c>
      <c r="BC2" s="123" t="s">
        <v>118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1.020076232786199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-1.3947366227276909</v>
      </c>
      <c r="BP2" s="123" t="s">
        <v>119</v>
      </c>
      <c r="BR2" s="138" t="s">
        <v>120</v>
      </c>
      <c r="BS2" s="138"/>
      <c r="BT2" s="123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Yeh et al.</v>
      </c>
      <c r="E3" s="3">
        <f t="shared" si="1"/>
        <v>-1.9541940069792925</v>
      </c>
      <c r="F3" s="3">
        <f t="shared" si="2"/>
        <v>0.22426830549328119</v>
      </c>
      <c r="M3" s="123"/>
      <c r="O3" s="3" t="s">
        <v>96</v>
      </c>
      <c r="P3" s="4">
        <f>IF(Additional_valid_options="Yes",INTERCEPT(Z_score,Inverse_standard_error),NA())</f>
        <v>-26.141137133756068</v>
      </c>
      <c r="Q3" s="4">
        <f>IF(Additional_valid_options="Yes",Q4*SQRT(1/k_*SUMPRODUCT(Inverse_standard_error,Inverse_standard_error)),NA())</f>
        <v>13.991689303453375</v>
      </c>
      <c r="R3" s="4">
        <f>P3-ABS(TINV((1-Additional_confidence_level),k_-1))*Q3</f>
        <v>-70.66893706220884</v>
      </c>
      <c r="S3" s="4">
        <f>P3+ABS(TINV((1-Additional_confidence_level),k_-1))*Q3</f>
        <v>18.386662794696704</v>
      </c>
      <c r="T3" s="123"/>
      <c r="V3" s="76" t="str">
        <f t="shared" si="3"/>
        <v>Yeh et al.</v>
      </c>
      <c r="W3" s="35">
        <f>IF(AND(Include_study?="Yes",Sufficient_data="Yes"),((E:E-I$29)*SQRT(Calculations!FU:FU))/SQRT(1-Calculations!FU:FU/SUM(Calculations!FU:FU)),"")</f>
        <v>-4.8300895569352891</v>
      </c>
      <c r="AE3" s="123"/>
      <c r="AG3" s="76" t="str">
        <f t="shared" si="4"/>
        <v>Yeh et al.</v>
      </c>
      <c r="AH3" s="3">
        <f t="shared" si="5"/>
        <v>3.1417624521072794E-2</v>
      </c>
      <c r="AI3" s="35">
        <f t="shared" si="6"/>
        <v>4.5745654162854532E-3</v>
      </c>
      <c r="AR3" s="123"/>
      <c r="AT3" s="76" t="str">
        <f t="shared" si="7"/>
        <v>Yeh et al.</v>
      </c>
      <c r="AU3" s="3">
        <f t="shared" si="8"/>
        <v>4.4589448241492988</v>
      </c>
      <c r="AV3" s="35">
        <f t="shared" si="9"/>
        <v>-8.7136432528038945</v>
      </c>
      <c r="BC3" s="123"/>
      <c r="BE3" s="76" t="str">
        <f t="shared" si="10"/>
        <v>Yeh et al.</v>
      </c>
      <c r="BF3" s="3">
        <f>IF(AND(Include_study?="Yes",Sufficient_data="Yes"),NORMSINV(Calculations!IW3),"")</f>
        <v>-1.020076232786199</v>
      </c>
      <c r="BG3" s="35">
        <f t="shared" si="11"/>
        <v>-8.7136432528038945</v>
      </c>
      <c r="BP3" s="123"/>
      <c r="BR3" s="3" t="s">
        <v>122</v>
      </c>
      <c r="BS3" s="4">
        <f>SUM(Calculations!JH:JH)/SQRT(k_)</f>
        <v>-11.172935390817162</v>
      </c>
      <c r="BT3" s="123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Mustaqeem et al. (B)</v>
      </c>
      <c r="E4" s="3">
        <f t="shared" si="1"/>
        <v>-0.59992101702949263</v>
      </c>
      <c r="F4" s="3">
        <f t="shared" si="2"/>
        <v>0.1651100614558188</v>
      </c>
      <c r="M4" s="123"/>
      <c r="O4" s="3" t="s">
        <v>123</v>
      </c>
      <c r="P4" s="4">
        <f>IF(Additional_valid_options="Yes",SLOPE(Z_score,Inverse_standard_error),NA())</f>
        <v>3.7637736292060486</v>
      </c>
      <c r="Q4" s="4">
        <f>IF(Additional_valid_options="Yes",SQRT(((1/(k_-2))*SUMPRODUCT(Calculations!HM:HM,Calculations!HM:HM))/SUMPRODUCT(Calculations!HL:HL,Calculations!HL:HL)),NA())</f>
        <v>2.5462339258121633</v>
      </c>
      <c r="R4" s="4">
        <f>P4-ABS(TINV((1-Additional_confidence_level),k_-1))*Q4</f>
        <v>-4.3394791203829017</v>
      </c>
      <c r="S4" s="4">
        <f>P4+ABS(TINV((1-Additional_confidence_level),k_-1))*Q4</f>
        <v>11.867026378795</v>
      </c>
      <c r="T4" s="123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2.6434368371871733</v>
      </c>
      <c r="AE4" s="123"/>
      <c r="AG4" s="76" t="str">
        <f t="shared" si="4"/>
        <v>Mustaqeem et al. (B)</v>
      </c>
      <c r="AH4" s="3">
        <f t="shared" si="5"/>
        <v>3.7494284407864654E-2</v>
      </c>
      <c r="AI4" s="35">
        <f t="shared" si="6"/>
        <v>2.0933014354066987E-2</v>
      </c>
      <c r="AR4" s="123"/>
      <c r="AT4" s="76" t="str">
        <f t="shared" si="7"/>
        <v>Mustaqeem et al. (B)</v>
      </c>
      <c r="AU4" s="3">
        <f t="shared" si="8"/>
        <v>6.0565660940510666</v>
      </c>
      <c r="AV4" s="35">
        <f t="shared" si="9"/>
        <v>-3.6334612908494575</v>
      </c>
      <c r="BC4" s="123"/>
      <c r="BE4" s="76" t="str">
        <f t="shared" si="10"/>
        <v>Mustaqeem et al. (B)</v>
      </c>
      <c r="BF4" s="3">
        <f>IF(AND(Include_study?="Yes",Sufficient_data="Yes"),NORMSINV(Calculations!IW4),"")</f>
        <v>0.29338123212119344</v>
      </c>
      <c r="BG4" s="35">
        <f t="shared" si="11"/>
        <v>-3.6334612908494575</v>
      </c>
      <c r="BP4" s="123"/>
      <c r="BR4" s="3" t="s">
        <v>124</v>
      </c>
      <c r="BS4" s="7">
        <f>MAX(0,ROUNDUP(k_*(BS3/NORMSINV((1-Additional_confidence_level)))^2-k_,0))</f>
        <v>181</v>
      </c>
      <c r="BT4" s="123"/>
    </row>
    <row r="5" spans="1:72" x14ac:dyDescent="0.3">
      <c r="D5" s="44" t="str">
        <f t="shared" si="0"/>
        <v>Chein et al.</v>
      </c>
      <c r="E5" s="3">
        <f t="shared" si="1"/>
        <v>-1.5590031100151438</v>
      </c>
      <c r="F5" s="3">
        <f t="shared" si="2"/>
        <v>0.18119453090344234</v>
      </c>
      <c r="M5" s="123"/>
      <c r="T5" s="123"/>
      <c r="V5" s="76" t="str">
        <f t="shared" si="3"/>
        <v>Chein et al.</v>
      </c>
      <c r="W5" s="35">
        <f>IF(AND(Include_study?="Yes",Sufficient_data="Yes"),((E:E-I$29)*SQRT(Calculations!FU:FU))/SQRT(1-Calculations!FU:FU/SUM(Calculations!FU:FU)),"")</f>
        <v>-3.7965284316256627</v>
      </c>
      <c r="AE5" s="123"/>
      <c r="AG5" s="76" t="str">
        <f t="shared" si="4"/>
        <v>Chein et al.</v>
      </c>
      <c r="AH5" s="3">
        <f t="shared" si="5"/>
        <v>0.12147887323943662</v>
      </c>
      <c r="AI5" s="35">
        <f t="shared" si="6"/>
        <v>2.826379542395693E-2</v>
      </c>
      <c r="AR5" s="123"/>
      <c r="AT5" s="76" t="str">
        <f t="shared" si="7"/>
        <v>Chein et al.</v>
      </c>
      <c r="AU5" s="3">
        <f t="shared" si="8"/>
        <v>5.5189303728648138</v>
      </c>
      <c r="AV5" s="35">
        <f t="shared" si="9"/>
        <v>-8.6040296152532818</v>
      </c>
      <c r="BC5" s="123"/>
      <c r="BE5" s="76" t="str">
        <f t="shared" si="10"/>
        <v>Chein et al.</v>
      </c>
      <c r="BF5" s="3">
        <f>IF(AND(Include_study?="Yes",Sufficient_data="Yes"),NORMSINV(Calculations!IW5),"")</f>
        <v>-0.29338123212119332</v>
      </c>
      <c r="BG5" s="35">
        <f t="shared" si="11"/>
        <v>-8.6040296152532818</v>
      </c>
      <c r="BP5" s="123"/>
      <c r="BR5" s="3" t="s">
        <v>125</v>
      </c>
      <c r="BS5" s="4" t="b">
        <f>BS4&lt;5*k_+10</f>
        <v>0</v>
      </c>
      <c r="BT5" s="123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3"/>
      <c r="O6" s="3" t="s">
        <v>126</v>
      </c>
      <c r="P6" s="4">
        <f>P3/Q3</f>
        <v>-1.8683331631230558</v>
      </c>
      <c r="T6" s="123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3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3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3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3"/>
      <c r="BT6" s="123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3"/>
      <c r="O7" s="3" t="s">
        <v>95</v>
      </c>
      <c r="P7" s="26">
        <f>TDIST(ABS(P6),k_-2,2)</f>
        <v>0.202663402562271</v>
      </c>
      <c r="T7" s="123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3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3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3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3"/>
      <c r="BR7" s="121" t="s">
        <v>127</v>
      </c>
      <c r="BS7" s="121"/>
      <c r="BT7" s="123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3"/>
      <c r="T8" s="123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3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3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3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3"/>
      <c r="BR8" s="3" t="s">
        <v>128</v>
      </c>
      <c r="BS8" s="7">
        <f>MAX(0,ROUNDUP((k_*(1-MAX(Calculations!JI:JI))-1)/MAX(Calculations!JI:JI),0))</f>
        <v>33</v>
      </c>
      <c r="BT8" s="123"/>
    </row>
    <row r="9" spans="1:72" x14ac:dyDescent="0.3">
      <c r="A9" s="121" t="s">
        <v>58</v>
      </c>
      <c r="B9" s="121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3"/>
      <c r="O9" s="121" t="s">
        <v>129</v>
      </c>
      <c r="P9" s="121"/>
      <c r="T9" s="12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3"/>
      <c r="BT9" s="123"/>
    </row>
    <row r="10" spans="1:72" ht="13" x14ac:dyDescent="0.35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3"/>
      <c r="O10" s="3" t="s">
        <v>130</v>
      </c>
      <c r="P10" s="4">
        <f>IF(Additional_valid_options="Yes",SUM(Calculations!HT:HT)/2-SUM(Calculations!HU:HU)/2,NA())</f>
        <v>-4</v>
      </c>
      <c r="T10" s="12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3"/>
      <c r="BR10" s="121" t="s">
        <v>131</v>
      </c>
      <c r="BS10" s="121"/>
      <c r="BT10" s="123"/>
    </row>
    <row r="11" spans="1:72" x14ac:dyDescent="0.3">
      <c r="A11" s="120" t="s">
        <v>59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3"/>
      <c r="O11" s="3" t="s">
        <v>132</v>
      </c>
      <c r="P11" s="4">
        <f>IF(Additional_valid_options="Yes",(SUM(Calculations!HT:HT)/2-SUM(Calculations!HU:HU)/2)/(1/2*k_*(k_-1)),NA())</f>
        <v>-0.66666666666666663</v>
      </c>
      <c r="T11" s="123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3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3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3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3"/>
      <c r="BR11" s="3" t="s">
        <v>100</v>
      </c>
      <c r="BS11" s="4">
        <f>I29</f>
        <v>-0.96412082076957961</v>
      </c>
      <c r="BT11" s="123"/>
    </row>
    <row r="12" spans="1:72" ht="13" x14ac:dyDescent="0.35">
      <c r="A12" s="120" t="s">
        <v>60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3"/>
      <c r="O12" s="3" t="s">
        <v>133</v>
      </c>
      <c r="P12" s="4">
        <f>P10/SQRT((k_*(k_-1)*(2*k_+5)/18))</f>
        <v>-1.3587324409735149</v>
      </c>
      <c r="T12" s="123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3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3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3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3"/>
      <c r="BR12" s="3" t="s">
        <v>134</v>
      </c>
      <c r="BS12" s="5">
        <v>0</v>
      </c>
      <c r="BT12" s="123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3"/>
      <c r="O13" s="3" t="s">
        <v>83</v>
      </c>
      <c r="P13" s="26">
        <f>2*(1-NORMSDIST(ABS(P12)))</f>
        <v>0.17423138824802509</v>
      </c>
      <c r="T13" s="123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3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3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3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3"/>
      <c r="BR13" s="3" t="s">
        <v>135</v>
      </c>
      <c r="BS13" s="5">
        <v>-0.69</v>
      </c>
      <c r="BT13" s="123"/>
    </row>
    <row r="14" spans="1:72" x14ac:dyDescent="0.3">
      <c r="A14" s="121" t="s">
        <v>87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3"/>
      <c r="T14" s="12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3"/>
      <c r="BR14" s="3" t="s">
        <v>124</v>
      </c>
      <c r="BS14" s="7">
        <f>MAX(0,ROUNDUP(k_*(BS11-BS12)/(BS12-BS13),0))</f>
        <v>0</v>
      </c>
      <c r="BT14" s="123"/>
    </row>
    <row r="15" spans="1:72" x14ac:dyDescent="0.3">
      <c r="A15" s="126" t="str">
        <f>IF(Additional_weighting_method="Peto","Log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3"/>
      <c r="T15" s="12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3"/>
      <c r="BT15" s="123"/>
    </row>
    <row r="16" spans="1:72" x14ac:dyDescent="0.3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3"/>
      <c r="T16" s="12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3"/>
      <c r="BR16" s="121" t="s">
        <v>136</v>
      </c>
      <c r="BS16" s="121"/>
      <c r="BT16" s="123"/>
    </row>
    <row r="17" spans="1:72" x14ac:dyDescent="0.3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3"/>
      <c r="T17" s="12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3"/>
      <c r="BR17" s="3" t="s">
        <v>124</v>
      </c>
      <c r="BS17" s="7">
        <f>MAX(0,ROUNDUP(-2*SUM(Calculations!JJ:JJ),0))</f>
        <v>2842</v>
      </c>
      <c r="BT17" s="123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3"/>
      <c r="T18" s="12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3"/>
      <c r="BR18" s="3" t="s">
        <v>137</v>
      </c>
      <c r="BS18" s="26">
        <f>CHIDIST(BS17,k_*2)</f>
        <v>0</v>
      </c>
      <c r="BT18" s="123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3"/>
      <c r="T19" s="12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3"/>
      <c r="BT19" s="123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3"/>
      <c r="T20" s="12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3"/>
      <c r="BT20" s="123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3"/>
      <c r="T21" s="12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3"/>
      <c r="BT21" s="123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3"/>
      <c r="T22" s="12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3"/>
      <c r="BT22" s="123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3"/>
      <c r="T23" s="12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3"/>
      <c r="BT23" s="123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3"/>
      <c r="T24" s="12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3"/>
      <c r="BT24" s="123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3"/>
      <c r="T25" s="12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3"/>
      <c r="BT25" s="123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3"/>
      <c r="T26" s="12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3"/>
      <c r="BT26" s="123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3"/>
      <c r="T27" s="12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3"/>
      <c r="BT27" s="123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21" t="s">
        <v>54</v>
      </c>
      <c r="L28" s="121"/>
      <c r="M28" s="123"/>
      <c r="T28" s="12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6" t="s">
        <v>139</v>
      </c>
      <c r="AY28" s="136"/>
      <c r="AZ28" s="136"/>
      <c r="BA28" s="136"/>
      <c r="BB28" s="139"/>
      <c r="BC28" s="12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6" t="s">
        <v>139</v>
      </c>
      <c r="BJ28" s="136"/>
      <c r="BK28" s="136"/>
      <c r="BL28" s="136"/>
      <c r="BM28" s="136"/>
      <c r="BP28" s="123"/>
      <c r="BT28" s="123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-0.96412082076957961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52.833486630507949</v>
      </c>
      <c r="M29" s="123"/>
      <c r="T29" s="12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2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2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23"/>
      <c r="BT29" s="123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9.0990940071250428E-2</v>
      </c>
      <c r="K30" s="3" t="s">
        <v>56</v>
      </c>
      <c r="L30" s="26">
        <f>IF(Additional_valid_options="Yes",CHIDIST(L29,k_-1+IF(Trim_and_fill="On",L39,0)),"")</f>
        <v>1.9895154094722023E-11</v>
      </c>
      <c r="M30" s="123"/>
      <c r="T30" s="12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2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-5.5864676954085812</v>
      </c>
      <c r="BK30" s="4">
        <f>BK31*SQRT(1/k_*SUMPRODUCT(BF:BF,BF:BF))</f>
        <v>0.78465174632102053</v>
      </c>
      <c r="BL30" s="4">
        <f>BJ30-ABS(TINV((1-Additional_confidence_level),k_-1))*BK30</f>
        <v>-8.0835797464223216</v>
      </c>
      <c r="BM30" s="4">
        <f>BJ30+ABS(TINV((1-Additional_confidence_level),k_-1))*BK30</f>
        <v>-3.0893556443948404</v>
      </c>
      <c r="BP30" s="123"/>
      <c r="BT30" s="123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-1.2536946018136219</v>
      </c>
      <c r="K31" s="3" t="s">
        <v>57</v>
      </c>
      <c r="L31" s="8">
        <f>IF(Additional_valid_options="Yes",IF(L29-(k_-1+IF(Trim_and_fill="On",L39,0))&lt;=0,0,(L29-(k_-1+IF(Trim_and_fill="On",L39,0)))/L29),"")</f>
        <v>0.9432178303699591</v>
      </c>
      <c r="M31" s="123"/>
      <c r="T31" s="12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-4.2</v>
      </c>
      <c r="Z31" s="4">
        <f t="array" ref="Z31:Z39">FREQUENCY(W:W,Calculations!HZ2:HZ10)/k_</f>
        <v>0.25</v>
      </c>
      <c r="AA31" s="4">
        <f>NORMSDIST(Calculations!HZ2)</f>
        <v>1.3345749015906309E-5</v>
      </c>
      <c r="AE31" s="12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-0.96412082076957961</v>
      </c>
      <c r="AZ31" s="4">
        <f>I30</f>
        <v>9.0990940071250428E-2</v>
      </c>
      <c r="BA31" s="4">
        <f>AY31-ABS(TINV((1-Additional_confidence_level),k_-1))*AZ31</f>
        <v>-1.2536946018136219</v>
      </c>
      <c r="BB31" s="4">
        <f>AY31+ABS(TINV((1-Additional_confidence_level),k_-1))*AZ31</f>
        <v>-0.67454703972553742</v>
      </c>
      <c r="BC31" s="12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3.9605413781652783</v>
      </c>
      <c r="BK31" s="4">
        <f>SQRT(((1/(k_-2))*SUMPRODUCT(Calculations!JA:JA,Calculations!JA:JA))/SUMPRODUCT(Calculations!IZ:IZ,Calculations!IZ:IZ))</f>
        <v>1.045446131937009</v>
      </c>
      <c r="BL31" s="4">
        <f>BJ31-ABS(TINV((1-Additional_confidence_level),k_-1))*BK31</f>
        <v>0.63346519820920033</v>
      </c>
      <c r="BM31" s="4">
        <f>BJ31+ABS(TINV((1-Additional_confidence_level),k_-1))*BK31</f>
        <v>7.2876175581213563</v>
      </c>
      <c r="BP31" s="123"/>
      <c r="BT31" s="123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-0.67454703972553742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0.55834535686808395</v>
      </c>
      <c r="M32" s="123"/>
      <c r="T32" s="12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-4.2; -3</v>
      </c>
      <c r="Z32" s="4">
        <v>0.25</v>
      </c>
      <c r="AA32" s="4">
        <f>NORMSDIST(Calculations!HZ3)-(SUM(AA$31:AA31))</f>
        <v>1.336552282614187E-3</v>
      </c>
      <c r="AE32" s="12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6" t="s">
        <v>100</v>
      </c>
      <c r="AL32" s="136"/>
      <c r="AM32" s="136"/>
      <c r="AR32" s="12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3"/>
      <c r="BT32" s="123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-3.3596906736352539</v>
      </c>
      <c r="K33" s="3" t="s">
        <v>67</v>
      </c>
      <c r="L33" s="4">
        <f>IF(Additional_valid_options="Yes",SQRT(L32),"")</f>
        <v>0.74722510454887958</v>
      </c>
      <c r="M33" s="123"/>
      <c r="T33" s="12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-3; -1.8</v>
      </c>
      <c r="Z33" s="4">
        <v>0</v>
      </c>
      <c r="AA33" s="4">
        <f>NORMSDIST(Calculations!HZ4)-(SUM(AA$31:AA32))</f>
        <v>3.4580421081295713E-2</v>
      </c>
      <c r="AE33" s="12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7" t="s">
        <v>144</v>
      </c>
      <c r="AL33" s="137"/>
      <c r="AM33" s="137"/>
      <c r="AR33" s="12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23"/>
      <c r="BT33" s="123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1.4314490320960944</v>
      </c>
      <c r="M34" s="123"/>
      <c r="T34" s="12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-1.8; -0.6</v>
      </c>
      <c r="Z34" s="4">
        <v>0</v>
      </c>
      <c r="AA34" s="4">
        <f>NORMSDIST(Calculations!HZ5)-(SUM(AA$31:AA33))</f>
        <v>0.23832279863714773</v>
      </c>
      <c r="AE34" s="12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0.39224349652662494</v>
      </c>
      <c r="AR34" s="12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3"/>
      <c r="BT34" s="123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3"/>
      <c r="T35" s="12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-0.6; 0.6</v>
      </c>
      <c r="Z35" s="4">
        <v>0</v>
      </c>
      <c r="AA35" s="4">
        <f>NORMSDIST(Calculations!HZ6)-(SUM(AA$31:AA34))</f>
        <v>0.4514937644998529</v>
      </c>
      <c r="AE35" s="12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3"/>
      <c r="BT35" s="123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23"/>
      <c r="T36" s="12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0.6; 1.8</v>
      </c>
      <c r="Z36" s="4">
        <v>0</v>
      </c>
      <c r="AA36" s="4">
        <f>NORMSDIST(Calculations!HZ7)-(SUM(AA$31:AA35))</f>
        <v>0.23832279863714778</v>
      </c>
      <c r="AE36" s="12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3"/>
      <c r="BT36" s="123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-0.96412082076957961</v>
      </c>
      <c r="K37" s="3" t="s">
        <v>151</v>
      </c>
      <c r="L37" s="5" t="s">
        <v>152</v>
      </c>
      <c r="M37" s="123"/>
      <c r="T37" s="12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1.8; 3</v>
      </c>
      <c r="Z37" s="4">
        <v>0.25</v>
      </c>
      <c r="AA37" s="4">
        <f>NORMSDIST(Calculations!HZ8)-(SUM(AA$31:AA36))</f>
        <v>3.4580421081295665E-2</v>
      </c>
      <c r="AE37" s="12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3"/>
      <c r="BT37" s="123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9.0990940071250428E-2</v>
      </c>
      <c r="K38" s="3" t="s">
        <v>153</v>
      </c>
      <c r="L38" s="91" t="str">
        <f>IF(Trim_and_fill="Off","",IF(I29&gt;0,"Left",IF(I29&lt;0,"Right","NA")))</f>
        <v>Right</v>
      </c>
      <c r="M38" s="123"/>
      <c r="T38" s="12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3; 4.2</v>
      </c>
      <c r="Z38" s="4">
        <v>0</v>
      </c>
      <c r="AA38" s="4">
        <f>NORMSDIST(Calculations!HZ9)-(SUM(AA$31:AA37))</f>
        <v>1.3365522826142007E-3</v>
      </c>
      <c r="AE38" s="12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3"/>
      <c r="BT38" s="123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-1.2536946018136219</v>
      </c>
      <c r="K39" s="3" t="s">
        <v>154</v>
      </c>
      <c r="L39" s="7">
        <f>IF(L38&lt;&gt;"",Calculations!GW21,"")</f>
        <v>0</v>
      </c>
      <c r="M39" s="123"/>
      <c r="T39" s="12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4.2; ∞</v>
      </c>
      <c r="Z39" s="4">
        <v>0.25</v>
      </c>
      <c r="AA39" s="4">
        <f>1-(SUM(AA31:AA38))</f>
        <v>1.3345749015902797E-5</v>
      </c>
      <c r="AE39" s="12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3"/>
      <c r="BT39" s="123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-0.67454703972553742</v>
      </c>
      <c r="M40" s="123"/>
      <c r="T40" s="12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3"/>
      <c r="BT40" s="123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-3.3596906736352539</v>
      </c>
      <c r="M41" s="123"/>
      <c r="T41" s="12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2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3"/>
      <c r="BT41" s="123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1.4314490320960944</v>
      </c>
      <c r="M42" s="123"/>
      <c r="T42" s="12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3"/>
      <c r="BT42" s="123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3"/>
      <c r="T43" s="12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3"/>
      <c r="BT43" s="123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3"/>
      <c r="T44" s="12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3"/>
      <c r="BT44" s="123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3"/>
      <c r="T45" s="12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3"/>
      <c r="BT45" s="123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3"/>
      <c r="T46" s="12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3"/>
      <c r="BT46" s="123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3"/>
      <c r="T47" s="12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3"/>
      <c r="BT47" s="123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3"/>
      <c r="T48" s="12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3"/>
      <c r="BT48" s="123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3"/>
      <c r="T49" s="12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3"/>
      <c r="BT49" s="123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3"/>
      <c r="T50" s="12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3"/>
      <c r="BT50" s="123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3"/>
      <c r="T51" s="12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3"/>
      <c r="BT51" s="123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3"/>
      <c r="T52" s="12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3"/>
      <c r="BT52" s="123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3"/>
      <c r="T53" s="12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3"/>
      <c r="BT53" s="123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3"/>
      <c r="T54" s="12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3"/>
      <c r="BT54" s="123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3"/>
      <c r="T55" s="12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3"/>
      <c r="BT55" s="123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3"/>
      <c r="T56" s="12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3"/>
      <c r="BT56" s="123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3"/>
      <c r="T57" s="12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3"/>
      <c r="BT57" s="123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3"/>
      <c r="T58" s="12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3"/>
      <c r="BT58" s="123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3"/>
      <c r="T59" s="12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3"/>
      <c r="BT59" s="123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3"/>
      <c r="T60" s="12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3"/>
      <c r="BT60" s="123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3"/>
      <c r="T61" s="12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3"/>
      <c r="BT61" s="123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3"/>
      <c r="T62" s="12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3"/>
      <c r="BT62" s="123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3"/>
      <c r="T63" s="12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3"/>
      <c r="BT63" s="123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3"/>
      <c r="T64" s="12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3"/>
      <c r="BT64" s="123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3"/>
      <c r="T65" s="12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3"/>
      <c r="BT65" s="123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3"/>
      <c r="T66" s="12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3"/>
      <c r="BT66" s="123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3"/>
      <c r="T67" s="12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3"/>
      <c r="BT67" s="123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3"/>
      <c r="T68" s="12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3"/>
      <c r="BT68" s="123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3"/>
      <c r="T69" s="12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3"/>
      <c r="BT69" s="123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3"/>
      <c r="T70" s="12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3"/>
      <c r="BT70" s="123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3"/>
      <c r="T71" s="12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3"/>
      <c r="BT71" s="123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3"/>
      <c r="T72" s="12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3"/>
      <c r="BT72" s="123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3"/>
      <c r="T73" s="12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3"/>
      <c r="BT73" s="123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3"/>
      <c r="T74" s="12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3"/>
      <c r="BT74" s="123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3"/>
      <c r="T75" s="12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3"/>
      <c r="BT75" s="123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3"/>
      <c r="T76" s="12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3"/>
      <c r="BT76" s="123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3"/>
      <c r="T77" s="12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3"/>
      <c r="BT77" s="123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3"/>
      <c r="T78" s="12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3"/>
      <c r="BT78" s="123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3"/>
      <c r="T79" s="12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3"/>
      <c r="BT79" s="123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3"/>
      <c r="T80" s="12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3"/>
      <c r="BT80" s="123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3"/>
      <c r="T81" s="12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3"/>
      <c r="BT81" s="123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3"/>
      <c r="T82" s="12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3"/>
      <c r="BT82" s="123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3"/>
      <c r="T83" s="12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3"/>
      <c r="BT83" s="123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3"/>
      <c r="T84" s="12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3"/>
      <c r="BT84" s="123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3"/>
      <c r="T85" s="12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3"/>
      <c r="BT85" s="123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3"/>
      <c r="T86" s="12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3"/>
      <c r="BT86" s="123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3"/>
      <c r="T87" s="12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3"/>
      <c r="BT87" s="123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3"/>
      <c r="T88" s="12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3"/>
      <c r="BT88" s="123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3"/>
      <c r="T89" s="12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3"/>
      <c r="BT89" s="123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3"/>
      <c r="T90" s="12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3"/>
      <c r="BT90" s="123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3"/>
      <c r="T91" s="12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3"/>
      <c r="BT91" s="123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3"/>
      <c r="T92" s="12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3"/>
      <c r="BT92" s="123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3"/>
      <c r="T93" s="12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3"/>
      <c r="BT93" s="123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3"/>
      <c r="T94" s="12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3"/>
      <c r="BT94" s="123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3"/>
      <c r="T95" s="12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3"/>
      <c r="BT95" s="123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3"/>
      <c r="T96" s="12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3"/>
      <c r="BT96" s="123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3"/>
      <c r="T97" s="12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3"/>
      <c r="BT97" s="123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3"/>
      <c r="T98" s="12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3"/>
      <c r="BT98" s="123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3"/>
      <c r="T99" s="12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3"/>
      <c r="BT99" s="123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3"/>
      <c r="T100" s="12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3"/>
      <c r="BT100" s="123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3"/>
      <c r="T101" s="12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3"/>
      <c r="BT101" s="123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3"/>
      <c r="T102" s="12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3"/>
      <c r="BT102" s="123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3"/>
      <c r="T103" s="12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3"/>
      <c r="BT103" s="123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3"/>
      <c r="T104" s="12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3"/>
      <c r="BT104" s="123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3"/>
      <c r="T105" s="12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3"/>
      <c r="BT105" s="123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3"/>
      <c r="T106" s="12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3"/>
      <c r="BT106" s="123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3"/>
      <c r="T107" s="12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3"/>
      <c r="BT107" s="123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3"/>
      <c r="T108" s="12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3"/>
      <c r="BT108" s="123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3"/>
      <c r="T109" s="12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3"/>
      <c r="BT109" s="123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3"/>
      <c r="T110" s="12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3"/>
      <c r="BT110" s="123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3"/>
      <c r="T111" s="12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3"/>
      <c r="BT111" s="123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3"/>
      <c r="T112" s="12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3"/>
      <c r="BT112" s="123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3"/>
      <c r="T113" s="12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3"/>
      <c r="BT113" s="123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3"/>
      <c r="T114" s="12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3"/>
      <c r="BT114" s="123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3"/>
      <c r="T115" s="12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3"/>
      <c r="BT115" s="123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3"/>
      <c r="T116" s="12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3"/>
      <c r="BT116" s="123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3"/>
      <c r="T117" s="12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3"/>
      <c r="BT117" s="123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3"/>
      <c r="T118" s="12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3"/>
      <c r="BT118" s="123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3"/>
      <c r="T119" s="12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3"/>
      <c r="BT119" s="123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3"/>
      <c r="T120" s="12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3"/>
      <c r="BT120" s="123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3"/>
      <c r="T121" s="12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3"/>
      <c r="BT121" s="123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3"/>
      <c r="T122" s="12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3"/>
      <c r="BT122" s="123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3"/>
      <c r="T123" s="12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3"/>
      <c r="BT123" s="123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3"/>
      <c r="T124" s="12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3"/>
      <c r="BT124" s="123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3"/>
      <c r="T125" s="12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3"/>
      <c r="BT125" s="123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3"/>
      <c r="T126" s="12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3"/>
      <c r="BT126" s="123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3"/>
      <c r="T127" s="12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3"/>
      <c r="BT127" s="123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3"/>
      <c r="T128" s="12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3"/>
      <c r="BT128" s="123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3"/>
      <c r="T129" s="12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3"/>
      <c r="BT129" s="123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3"/>
      <c r="T130" s="12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3"/>
      <c r="BT130" s="123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3"/>
      <c r="T131" s="12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3"/>
      <c r="BT131" s="123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3"/>
      <c r="T132" s="12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3"/>
      <c r="BT132" s="123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3"/>
      <c r="T133" s="12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3"/>
      <c r="BT133" s="123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3"/>
      <c r="T134" s="12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3"/>
      <c r="BT134" s="123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3"/>
      <c r="T135" s="12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3"/>
      <c r="BT135" s="123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3"/>
      <c r="T136" s="12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3"/>
      <c r="BT136" s="123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3"/>
      <c r="T137" s="12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3"/>
      <c r="BT137" s="123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3"/>
      <c r="T138" s="12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3"/>
      <c r="BT138" s="123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3"/>
      <c r="T139" s="12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3"/>
      <c r="BT139" s="123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3"/>
      <c r="T140" s="12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3"/>
      <c r="BT140" s="123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3"/>
      <c r="T141" s="12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3"/>
      <c r="BT141" s="123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3"/>
      <c r="T142" s="12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3"/>
      <c r="BT142" s="123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3"/>
      <c r="T143" s="12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3"/>
      <c r="BT143" s="123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3"/>
      <c r="T144" s="12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3"/>
      <c r="BT144" s="123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3"/>
      <c r="T145" s="12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3"/>
      <c r="BT145" s="123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3"/>
      <c r="T146" s="12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3"/>
      <c r="BT146" s="123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3"/>
      <c r="T147" s="12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3"/>
      <c r="BT147" s="123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3"/>
      <c r="T148" s="12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3"/>
      <c r="BT148" s="123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3"/>
      <c r="T149" s="12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3"/>
      <c r="BT149" s="123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3"/>
      <c r="T150" s="12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3"/>
      <c r="BT150" s="123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3"/>
      <c r="T151" s="12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3"/>
      <c r="BT151" s="123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3"/>
      <c r="T152" s="12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3"/>
      <c r="BT152" s="123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3"/>
      <c r="T153" s="12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3"/>
      <c r="BT153" s="123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3"/>
      <c r="T154" s="12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3"/>
      <c r="BT154" s="123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3"/>
      <c r="T155" s="12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3"/>
      <c r="BT155" s="123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3"/>
      <c r="T156" s="12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3"/>
      <c r="BT156" s="123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3"/>
      <c r="T157" s="12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3"/>
      <c r="BT157" s="123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3"/>
      <c r="T158" s="12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3"/>
      <c r="BT158" s="123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3"/>
      <c r="T159" s="12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3"/>
      <c r="BT159" s="123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3"/>
      <c r="T160" s="12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3"/>
      <c r="BT160" s="123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3"/>
      <c r="T161" s="12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3"/>
      <c r="BT161" s="123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3"/>
      <c r="T162" s="12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3"/>
      <c r="BT162" s="123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3"/>
      <c r="T163" s="12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3"/>
      <c r="BT163" s="123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3"/>
      <c r="T164" s="12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3"/>
      <c r="BT164" s="123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3"/>
      <c r="T165" s="12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3"/>
      <c r="BT165" s="123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3"/>
      <c r="T166" s="12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3"/>
      <c r="BT166" s="123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3"/>
      <c r="T167" s="12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3"/>
      <c r="BT167" s="123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3"/>
      <c r="T168" s="12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3"/>
      <c r="BT168" s="123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3"/>
      <c r="T169" s="12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3"/>
      <c r="BT169" s="123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3"/>
      <c r="T170" s="12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3"/>
      <c r="BT170" s="123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3"/>
      <c r="T171" s="12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3"/>
      <c r="BT171" s="123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3"/>
      <c r="T172" s="12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3"/>
      <c r="BT172" s="123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3"/>
      <c r="T173" s="12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3"/>
      <c r="BT173" s="123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3"/>
      <c r="T174" s="12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3"/>
      <c r="BT174" s="123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3"/>
      <c r="T175" s="12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3"/>
      <c r="BT175" s="123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3"/>
      <c r="T176" s="12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3"/>
      <c r="BT176" s="123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3"/>
      <c r="T177" s="12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3"/>
      <c r="BT177" s="123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3"/>
      <c r="T178" s="12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3"/>
      <c r="BT178" s="123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3"/>
      <c r="T179" s="12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3"/>
      <c r="BT179" s="123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3"/>
      <c r="T180" s="12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3"/>
      <c r="BT180" s="123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3"/>
      <c r="T181" s="12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3"/>
      <c r="BT181" s="123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3"/>
      <c r="T182" s="12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3"/>
      <c r="BT182" s="123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3"/>
      <c r="T183" s="12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3"/>
      <c r="BT183" s="123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3"/>
      <c r="T184" s="12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3"/>
      <c r="BT184" s="123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3"/>
      <c r="T185" s="12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3"/>
      <c r="BT185" s="123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3"/>
      <c r="T186" s="12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3"/>
      <c r="BT186" s="123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3"/>
      <c r="T187" s="12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3"/>
      <c r="BT187" s="123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3"/>
      <c r="T188" s="12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3"/>
      <c r="BT188" s="123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3"/>
      <c r="T189" s="12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3"/>
      <c r="BT189" s="123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3"/>
      <c r="T190" s="12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3"/>
      <c r="BT190" s="123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3"/>
      <c r="T191" s="12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3"/>
      <c r="BT191" s="123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3"/>
      <c r="T192" s="12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3"/>
      <c r="BT192" s="123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3"/>
      <c r="T193" s="12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3"/>
      <c r="BT193" s="123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3"/>
      <c r="T194" s="12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3"/>
      <c r="BT194" s="123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3"/>
      <c r="T195" s="12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3"/>
      <c r="BT195" s="123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3"/>
      <c r="T196" s="12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3"/>
      <c r="BT196" s="123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3"/>
      <c r="T197" s="12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3"/>
      <c r="BT197" s="123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3"/>
      <c r="T198" s="12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3"/>
      <c r="BT198" s="123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3"/>
      <c r="T199" s="12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3"/>
      <c r="BT199" s="123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3"/>
      <c r="T200" s="12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3"/>
      <c r="BT200" s="123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4"/>
      <c r="T201" s="12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4"/>
      <c r="BT201" s="12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tabSelected="1" workbookViewId="0">
      <selection activeCell="I12" sqref="I12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337</v>
      </c>
      <c r="F5" s="105">
        <v>0.78659217877094967</v>
      </c>
      <c r="G5" s="105">
        <v>0.56132225151244686</v>
      </c>
      <c r="H5" s="105">
        <v>1.1022674658567493</v>
      </c>
      <c r="I5" s="107">
        <v>0.25223033739499501</v>
      </c>
      <c r="M5" s="102" t="s">
        <v>337</v>
      </c>
      <c r="N5" s="105">
        <v>-0.24004536211681304</v>
      </c>
      <c r="O5" s="105">
        <v>0.17210802255077776</v>
      </c>
    </row>
    <row r="6" spans="5:15" x14ac:dyDescent="0.3">
      <c r="E6" s="102" t="s">
        <v>337</v>
      </c>
      <c r="F6" s="105">
        <v>0.14167862266857964</v>
      </c>
      <c r="G6" s="105">
        <v>9.1281716526871809E-2</v>
      </c>
      <c r="H6" s="105">
        <v>0.21989981000583694</v>
      </c>
      <c r="I6" s="107">
        <v>0.24366226128443458</v>
      </c>
      <c r="K6" s="97"/>
      <c r="M6" s="102" t="s">
        <v>337</v>
      </c>
      <c r="N6" s="105">
        <v>-1.9541940069792925</v>
      </c>
      <c r="O6" s="105">
        <v>0.22426830549328119</v>
      </c>
    </row>
    <row r="7" spans="5:15" x14ac:dyDescent="0.3">
      <c r="E7" s="102" t="s">
        <v>336</v>
      </c>
      <c r="F7" s="105">
        <v>0.5488549845791677</v>
      </c>
      <c r="G7" s="105">
        <v>0.39708629732880296</v>
      </c>
      <c r="H7" s="105">
        <v>0.75863054485599235</v>
      </c>
      <c r="I7" s="107">
        <v>0.25324675849511752</v>
      </c>
      <c r="M7" s="102" t="s">
        <v>336</v>
      </c>
      <c r="N7" s="105">
        <v>-0.59992101702949263</v>
      </c>
      <c r="O7" s="105">
        <v>0.1651100614558188</v>
      </c>
    </row>
    <row r="8" spans="5:15" x14ac:dyDescent="0.3">
      <c r="E8" s="102" t="s">
        <v>338</v>
      </c>
      <c r="F8" s="105">
        <v>0.21034565819583284</v>
      </c>
      <c r="G8" s="105">
        <v>0.14744622881143349</v>
      </c>
      <c r="H8" s="105">
        <v>0.30007750132709543</v>
      </c>
      <c r="I8" s="107">
        <v>0.25086064282545295</v>
      </c>
      <c r="M8" s="102" t="s">
        <v>338</v>
      </c>
      <c r="N8" s="105">
        <v>-1.5590031100151438</v>
      </c>
      <c r="O8" s="105">
        <v>0.18119453090344234</v>
      </c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 t="s">
        <v>335</v>
      </c>
      <c r="G12" s="100" t="s">
        <v>335</v>
      </c>
      <c r="H12" s="100" t="s">
        <v>335</v>
      </c>
      <c r="I12" s="100" t="s">
        <v>335</v>
      </c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21" t="s">
        <v>174</v>
      </c>
      <c r="AK1" s="121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21" t="s">
        <v>177</v>
      </c>
      <c r="BB1" s="121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21" t="s">
        <v>46</v>
      </c>
      <c r="BM1" s="121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21" t="s">
        <v>46</v>
      </c>
      <c r="CB1" s="121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21" t="s">
        <v>46</v>
      </c>
      <c r="CN1" s="121"/>
      <c r="CP1" s="85"/>
      <c r="CQ1" s="1" t="s">
        <v>189</v>
      </c>
      <c r="CS1" s="121" t="s">
        <v>38</v>
      </c>
      <c r="CT1" s="121"/>
      <c r="CU1" s="121"/>
      <c r="CV1" s="121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1" t="s">
        <v>219</v>
      </c>
      <c r="GH1" s="121"/>
      <c r="GI1" s="121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21" t="s">
        <v>229</v>
      </c>
      <c r="GW1" s="121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21" t="s">
        <v>246</v>
      </c>
      <c r="II1" s="121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21" t="s">
        <v>249</v>
      </c>
      <c r="IR1" s="121"/>
      <c r="IS1" s="121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21" t="s">
        <v>249</v>
      </c>
      <c r="JD1" s="121"/>
      <c r="JE1" s="121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2327</v>
      </c>
      <c r="D2" s="6">
        <f>IF(AND(Include_study?="Yes",Sufficient_data="Yes"),IF(Input!c_&lt;&gt;"",Input!c_,Input!n2_-Input!d_),"")</f>
        <v>75</v>
      </c>
      <c r="E2" s="6">
        <f>IF(AND(Include_study?="Yes",Sufficient_data="Yes"),IF(Input!d_&lt;&gt;"",Input!d_,Input!n2_-Input!c_),"")</f>
        <v>2112</v>
      </c>
      <c r="F2" s="35" t="str">
        <f t="shared" ref="F2:F33" si="1">IF(AND(Include_study?="Yes",Sufficient_data="Yes"),IF(OR(a_=0,b_=0,c_=0,d_=0),"Yes","No"),"")</f>
        <v>No</v>
      </c>
      <c r="H2" s="140" t="s">
        <v>256</v>
      </c>
      <c r="I2" s="134" t="s">
        <v>38</v>
      </c>
      <c r="J2" s="77">
        <f t="shared" ref="J2:J65" si="2">IF(AND(Include_study?="Yes",Sufficient_data="Yes"),IF(Add_0_5="Yes",((a_+0.5)*(d_+0.5))/((b_+0.5)*(c_+0.5)),(a_*d_)/(b_*c_)),"")</f>
        <v>0.78659217877094967</v>
      </c>
      <c r="K2" s="74">
        <f t="shared" ref="K2:K33" si="3">IF(AND(Include_study?="Yes",Sufficient_data="Yes"),LN(OddsRatio),"")</f>
        <v>-0.24004536211681304</v>
      </c>
      <c r="L2" s="74">
        <f t="shared" ref="L2:L33" si="4">IF(AND(Include_study?="Yes",Sufficient_data="Yes"),SQRT(IF(Add_0_5="Yes",1/(a_+0.5)+1/(b_+0.5)+1/(c_+0.5)+1/(d_+0.5),1/a_+1/b_+1/c_+1/d_)),"")</f>
        <v>0.17210802255077776</v>
      </c>
      <c r="M2" s="74">
        <f t="shared" ref="M2:M33" si="5">IF(AND(Include_study?="Yes",Sufficient_data="Yes"),EXP(LogOddsRatio-ABS(TINV((1-Confidence_level),Number_of_subjects-2))*SELogOddsRatio),"")</f>
        <v>0.56132225151244686</v>
      </c>
      <c r="N2" s="34">
        <f t="shared" ref="N2:N33" si="6">IF(AND(Include_study?="Yes",Sufficient_data="Yes"),EXP(LogOddsRatio+ABS(TINV((1-Confidence_level),Number_of_subjects-2))*SELogOddsRatio),"")</f>
        <v>1.1022674658567493</v>
      </c>
      <c r="P2" s="123" t="s">
        <v>257</v>
      </c>
      <c r="Q2" s="77">
        <f t="shared" ref="Q2:Q33" si="7">IF(AND(Include_study?="Yes",Sufficient_data="Yes"),EXP(LogPetoOddsRatio),"")</f>
        <v>0.78650610046934821</v>
      </c>
      <c r="R2" s="74">
        <f t="shared" ref="R2:R33" si="8">IF(AND(Include_study?="Yes",Sufficient_data="Yes"),SQRT(VarLogPetoOddsRatio),"")</f>
        <v>0.17182920002006558</v>
      </c>
      <c r="S2" s="74">
        <f t="shared" ref="S2:S33" si="9">IF(AND(Include_study?="Yes",Sufficient_data="Yes"),EXP(LogPetoOddsRatio-ABS(TINV((1-Confidence_level),Number_of_subjects-2))*SELogPetoOddsRatio),"")</f>
        <v>0.56156770893789976</v>
      </c>
      <c r="T2" s="34">
        <f t="shared" ref="T2:T33" si="10">IF(AND(Include_study?="Yes",Sufficient_data="Yes"),EXP(LogPetoOddsRatio+ABS(TINV((1-Confidence_level),Number_of_subjects-2))*SELogPetoOddsRatio),"")</f>
        <v>1.1015445443710628</v>
      </c>
      <c r="V2" s="123" t="s">
        <v>166</v>
      </c>
      <c r="W2" s="77">
        <f t="shared" ref="W2:W33" si="11">IF(AND(Include_study?="Yes",Sufficient_data="Yes"),a_/(a_+b_)-c_/(c_+d_),"")</f>
        <v>-7.1196397685930717E-3</v>
      </c>
      <c r="X2" s="74">
        <f t="shared" ref="X2:X33" si="12">IF(AND(Include_study?="Yes",Sufficient_data="Yes"),SQRT(a_*b_/(a_+b_)^3+c_*d_/(c_+d_)^3),"")</f>
        <v>5.1180581268571975E-3</v>
      </c>
      <c r="Y2" s="74">
        <f t="shared" ref="Y2:Y33" si="13">IF(AND(Include_study?="Yes",Sufficient_data="Yes"),Risk_Difference-SERiskDifference*ABS(TINV((1-Confidence_level),Number_of_subjects-2)),"")</f>
        <v>-1.7153502760810846E-2</v>
      </c>
      <c r="Z2" s="34">
        <f t="shared" ref="Z2:Z33" si="14">IF(AND(Include_study?="Yes",Sufficient_data="Yes"),Risk_Difference+SERiskDifference*ABS(TINV((1-Confidence_level),Number_of_subjects-2)),"")</f>
        <v>2.9142232236247009E-3</v>
      </c>
      <c r="AB2" s="123" t="s">
        <v>147</v>
      </c>
      <c r="AC2" s="77">
        <f t="shared" ref="AC2:AC33" si="15">IF(AND(Include_study?="Yes",Sufficient_data="Yes"),IF(Add_0_5="Yes",((a_+0.5)/(a_+0.5+b_+0.5))/((c_+0.5)/(c_+0.5+d_+0.5)),(a_/(a_+b_))/(c_/(c_+d_))),"")</f>
        <v>0.79239130434782601</v>
      </c>
      <c r="AD2" s="74">
        <f t="shared" ref="AD2:AD33" si="16">IF(AND(Include_study?="Yes",Sufficient_data="Yes"),LN(Risk_Ratio),"")</f>
        <v>-0.23269993803442796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0.16686114330919649</v>
      </c>
      <c r="AF2" s="74">
        <f t="shared" ref="AF2:AF33" si="18">IF(AND(Include_study?="Yes",Sufficient_data="Yes"),EXP(LN(Risk_Ratio)-ABS(TINV((1-Confidence_level),Number_of_subjects-2))*SELogRiskRatio),"")</f>
        <v>0.57130716234916779</v>
      </c>
      <c r="AG2" s="34">
        <f t="shared" ref="AG2:AG33" si="19">IF(AND(Include_study?="Yes",Sufficient_data="Yes"),EXP(LN(Risk_Ratio)+ABS(TINV((1-Confidence_level),Number_of_subjects-2))*SELogRiskRatio),"")</f>
        <v>1.0990304700964051</v>
      </c>
      <c r="AI2" s="140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0.78659217877094967</v>
      </c>
      <c r="AP2" s="3">
        <f t="shared" ref="AP2:AP33" si="23">IF(AND(Include_study?="Yes",Sufficient_data="Yes"),IF(Weighting_method="Inverse variance",Weightf,IF(Weighting_method="Mantel-Haenszel",Weightf_MH,Weightf_Peto)),"")</f>
        <v>33.759637173255207</v>
      </c>
      <c r="AQ2" s="3">
        <f t="shared" ref="AQ2:AQ33" si="24">IF(AND(Include_study?="Yes",Sufficient_data="Yes"),IF(Weighting_method="Inverse variance",Weight,IF(Weighting_method="Mantel-Haenszel",Weight_MH,Weight_Peto)),"")</f>
        <v>1.7007770882822297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0.17210802255077776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0.56132225151244686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1.1022674658567493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0.25223033739499501</v>
      </c>
      <c r="AW2" s="43">
        <f t="shared" ref="AW2:AW33" si="29">IF(Effect_size_lookup&lt;&gt;"",Effect_size_lookup,NA())</f>
        <v>0.78659217877094967</v>
      </c>
      <c r="AX2" s="3">
        <f t="shared" ref="AX2:AX33" si="30">IF(Effect_size_lookup&lt;&gt;"",Effect_size_lookup-AS2,NA())</f>
        <v>0.22526992725850281</v>
      </c>
      <c r="AY2" s="34">
        <f t="shared" ref="AY2:AY33" si="31">IF(Effect_size_lookup&lt;&gt;"",AT2-Effect_size_lookup,NA())</f>
        <v>0.31567528708579962</v>
      </c>
      <c r="BA2" s="2" t="s">
        <v>259</v>
      </c>
      <c r="BB2" s="3">
        <f>'Forest Plot'!$B$16</f>
        <v>0.33968701526615563</v>
      </c>
      <c r="BD2" s="140" t="s">
        <v>260</v>
      </c>
      <c r="BE2" s="134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-0.24004536211681304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0.17210802255077776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33.759637173255207</v>
      </c>
      <c r="BI2" s="74">
        <f>IF(Weightf&lt;&gt;"",1/(IF(Model_effect_size_measure="Odds Ratio",SELogOddsRatio,IF(Model_effect_size_measure="Risk Ratio",SELogRiskRatio,SERiskDifference))^2+T2_),"")</f>
        <v>1.7007770882822297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0.83968526655017151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-1.0797306286669845</v>
      </c>
      <c r="BO2" s="123" t="s">
        <v>262</v>
      </c>
      <c r="BP2" s="3">
        <f t="shared" ref="BP2:BP33" si="36">IF(AND(Sufficient_data="Yes",Include_study?="Yes"),IF(Add_0_5="Yes",(a_+0.5)*(d_+0.5)/(Number_of_subjects+2),a_*d_/Number_of_subjects),"")</f>
        <v>29.980345053505133</v>
      </c>
      <c r="BQ2" s="3">
        <f t="shared" ref="BQ2:BQ33" si="37">IF(AND(Sufficient_data="Yes",Include_study?="Yes"),IF(Add_0_5="Yes",(b_+0.5)*(c_+0.5)/(Number_of_subjects+2),b_*c_/Number_of_subjects),"")</f>
        <v>38.114217077964618</v>
      </c>
      <c r="BR2" s="3">
        <f t="shared" ref="BR2:BR33" si="38">IF(AND(Sufficient_data="Yes",Include_study?="Yes"),IF(Add_0_5="Yes",(a_+d_+1)*(a_+0.5)*(d_+0.5)/(Number_of_subjects+2)^2,(a_+d_)*a_*d_/Number_of_subjects^2),"")</f>
        <v>14.253594929347166</v>
      </c>
      <c r="BS2" s="3">
        <f>IF(AND(Sufficient_data="Yes",Include_study?="Yes"),IF(Add_0_5="Yes",(a_+d_+1)*(ab_+0.5)*(c_+0.5)/(Number_of_subjects+2)^2,(a_+d_)*b_*c_/Number_of_subjects^2),"")</f>
        <v>18.120692417280843</v>
      </c>
      <c r="BT2" s="3">
        <f t="shared" ref="BT2:BT33" si="39">IF(AND(Sufficient_data="Yes",Include_study?="Yes"),IF(Add_0_5="Yes",(b_+c_+1)*(a_+0.5)*(d_+0.5)/(Number_of_subjects+2)^2,(b_+c_)*a_*d_/Number_of_subjects^2),"")</f>
        <v>15.726750124157967</v>
      </c>
      <c r="BU2" s="3">
        <f t="shared" ref="BU2:BU33" si="40">IF(AND(Sufficient_data="Yes",Include_study?="Yes"),IF(Add_0_5="Yes",(b_+c_+1)*(b_+0.5)*(c_+0.5)/(Number_of_subjects+2)^2,(b_+c_)*b_*c_/Number_of_subjects^2),"")</f>
        <v>19.993524660683779</v>
      </c>
      <c r="BV2" s="3">
        <f t="shared" ref="BV2:BV33" si="41">IF(AND(Sufficient_data="Yes",Include_study?="Yes"),IF(Add_0_5="Yes",(b_+0.5)*(c_+0.5)/(Number_of_subjects+2),b_*c_/Number_of_subjects),"")</f>
        <v>38.114217077964618</v>
      </c>
      <c r="BW2" s="3">
        <f t="shared" ref="BW2:BW33" si="42">IF(AND(Sufficient_data="Yes",Include_study?="Yes"),1/(SELogOddsRatio^2)*(LogOddsRatio-LN(SUMPRODUCT(Weightf_MH,OddsRatio)/SUM(Weightf_MH)))^2,"")</f>
        <v>13.792505910492171</v>
      </c>
      <c r="BX2" s="74">
        <f t="shared" ref="BX2:BX33" si="43">IF(Weithf_MH&lt;&gt;"",1/(SELogOddsRatio^2+T2_MH),"")</f>
        <v>2.3908956776842243</v>
      </c>
      <c r="BY2" s="34">
        <f t="shared" ref="BY2:BY33" si="44">IF(Weithf_MH&lt;&gt;"",LogOddsRatio-lnCES_OddsRatio_MH,"")</f>
        <v>0.83631329464658055</v>
      </c>
      <c r="CA2" s="3" t="s">
        <v>263</v>
      </c>
      <c r="CB2" s="3">
        <f>LN(CES_OddsRatio_MH)</f>
        <v>-1.0763586567633936</v>
      </c>
      <c r="CD2" s="123" t="s">
        <v>264</v>
      </c>
      <c r="CE2" s="77">
        <f t="shared" ref="CE2:CE33" si="45">IF(AND(Include_study?="Yes",Sufficient_data="Yes"),((a_+b_)*(a_+c_))/(Number_of_subjects),"")</f>
        <v>73.133872024459492</v>
      </c>
      <c r="CF2" s="74">
        <f t="shared" ref="CF2:CF33" si="46">IF(AND(Include_study?="Yes",Sufficient_data="Yes"),((a_+b_)*(c_+d_)*(a_+c_)*(b_+d_))/((Number_of_subjects)^2*(Number_of_subjects-1)),"")</f>
        <v>33.869287739484186</v>
      </c>
      <c r="CG2" s="74">
        <f t="shared" ref="CG2:CG33" si="47">IF(AND(Include_study?="Yes",Sufficient_data="Yes"),(a_-Expected)/VarExpected,"")</f>
        <v>-0.24015480003664724</v>
      </c>
      <c r="CH2" s="74">
        <f t="shared" ref="CH2:CH33" si="48">IF(AND(Include_study?="Yes",Sufficient_data="Yes"),1/VarExpected,"")</f>
        <v>2.95252739795357E-2</v>
      </c>
      <c r="CI2" s="74">
        <f t="shared" ref="CI2:CI33" si="49">IF(AND(Sufficient_data="Yes",Include_study?="Yes"),VarExpected,"")</f>
        <v>33.869287739484186</v>
      </c>
      <c r="CJ2" s="74">
        <f t="shared" ref="CJ2:CJ65" si="50">IF(Weightf_Peto&lt;&gt;"",1/(VarLogPetoOddsRatio+T2_Peto),"")</f>
        <v>0.71176128450894416</v>
      </c>
      <c r="CK2" s="34">
        <f t="shared" ref="CK2:CK33" si="51">IF(Weightf_Peto&lt;&gt;"",LogPetoOddsRatio-lnCES_PetoOddsRatio,"")</f>
        <v>1.3054847268487091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-1.5456395268853562</v>
      </c>
      <c r="CP2" s="123" t="s">
        <v>266</v>
      </c>
      <c r="CQ2" s="51">
        <f t="shared" ref="CQ2:CQ33" si="52">IF(AND(Sufficient_data="Yes",Include_study?="Yes"),c_/(c_+d_),"")</f>
        <v>3.4293552812071332E-2</v>
      </c>
      <c r="CS2" s="2"/>
      <c r="CT2" s="2" t="s">
        <v>35</v>
      </c>
      <c r="CU2" s="2" t="s">
        <v>59</v>
      </c>
      <c r="CV2" s="2" t="s">
        <v>60</v>
      </c>
      <c r="CX2" s="140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40" t="s">
        <v>269</v>
      </c>
      <c r="FS2" s="134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33.759637173255207</v>
      </c>
      <c r="FU2" s="74">
        <f>IF(AND(Include_study?="Yes",Sufficient_data="Yes"),1/('Publication Bias Analysis'!F:F^2+IF(Additional_model="Fixed effect",0,Calculations!GH$12)),"")</f>
        <v>33.759637173255207</v>
      </c>
      <c r="FV2" s="74">
        <f>IF(AND(Include_study?="Yes",Sufficient_data="Yes"),1/('Publication Bias Analysis'!F:F^2+IF(Additional_model="Fixed effect",0,'Publication Bias Analysis'!L$32)),"")</f>
        <v>33.759637173255207</v>
      </c>
      <c r="FW2" s="74">
        <f>IF(AND(Include_study?="Yes",Sufficient_data="Yes"),'Publication Bias Analysis'!E:E-'Publication Bias Analysis'!I$37,"")</f>
        <v>0.72407545865276657</v>
      </c>
      <c r="FX2" s="74">
        <f>IF(AND(Include_study?="Yes",Sufficient_data="Yes"),IF(Additional_model="Fixed effect",1/'Publication Bias Analysis'!F:F,1/SQRT('Publication Bias Analysis'!F:F^2+GH$12)),"")</f>
        <v>5.8103043959206824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-1.3947366227276909</v>
      </c>
      <c r="FZ2" s="37">
        <f t="shared" ref="FZ2:FZ33" si="80">IF(AND(Include_study?="Yes",Sufficient_data="Yes"),RANK(GM:GM,GM:GM,1)*IF(GL:GL&gt;0,1,-1),"")</f>
        <v>-3</v>
      </c>
      <c r="GA2" s="82">
        <f>IF(AND(Include_study?="Yes",Sufficient_data="Yes"),FZ:FZ,"")</f>
        <v>-3</v>
      </c>
      <c r="GB2" s="82">
        <f>IF(AND(Include_study?="Yes",Sufficient_data="Yes"),RANK(GP:GP,GP:GP,1)*IF(GO:GO&lt;0,-1,1),"")</f>
        <v>-3</v>
      </c>
      <c r="GC2" s="82">
        <f>IF(AND(Include_study?="Yes",Sufficient_data="Yes"),RANK(GS:GS,GS:GS,1)*IF(GR:GR&lt;0,-1,1),"")</f>
        <v>-3</v>
      </c>
      <c r="GD2" s="74">
        <f>IF(AND(Include_study?="Yes",Sufficient_data="Yes"),'Publication Bias Analysis'!E2,NA())</f>
        <v>-0.24004536211681304</v>
      </c>
      <c r="GE2" s="34">
        <f>IF(AND(Include_study?="Yes",Sufficient_data="Yes"),'Publication Bias Analysis'!F2,NA())</f>
        <v>0.17210802255077776</v>
      </c>
      <c r="GG2" s="24" t="s">
        <v>270</v>
      </c>
      <c r="GH2" s="2" t="s">
        <v>240</v>
      </c>
      <c r="GI2" s="2" t="s">
        <v>241</v>
      </c>
      <c r="GK2" s="123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-0.72407545865276657</v>
      </c>
      <c r="GM2" s="74">
        <f t="shared" ref="GM2:GM33" si="81">IF(AND(Include_study?="Yes",Sufficient_data="Yes"),ABS(GL2),"")</f>
        <v>0.72407545865276657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33.759637173255207</v>
      </c>
      <c r="GO2" s="74">
        <f>IF(AND(Include_study?="Yes",Sufficient_data="Yes"),IF('Publication Bias Analysis'!L$38="Left",'Publication Bias Analysis'!E:E-GW$3,GW$3-'Publication Bias Analysis'!E:E),"")</f>
        <v>-0.72407545865276657</v>
      </c>
      <c r="GP2" s="74">
        <f t="shared" ref="GP2:GP33" si="82">IF(GO2&lt;&gt;"",ABS(GO2),"")</f>
        <v>0.72407545865276657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33.759637173255207</v>
      </c>
      <c r="GR2" s="74">
        <f>IF(AND(Include_study?="Yes",Sufficient_data="Yes"),IF('Publication Bias Analysis'!L$38="Left",'Publication Bias Analysis'!E:E-GW$10,GW$10-'Publication Bias Analysis'!E:E),"")</f>
        <v>-0.72407545865276657</v>
      </c>
      <c r="GS2" s="74">
        <f t="shared" ref="GS2:GS33" si="83">IF(GR2&lt;&gt;"",ABS(GR2),"")</f>
        <v>0.72407545865276657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33.759637173255207</v>
      </c>
      <c r="GV2" s="138" t="s">
        <v>100</v>
      </c>
      <c r="GW2" s="13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3" t="s">
        <v>104</v>
      </c>
      <c r="HL2" s="3">
        <f t="shared" ref="HL2:HL65" si="89">IF(AND(Include_study?="Yes",Sufficient_data="Yes"),Inverse_standard_error-AVERAGE(Inverse_standard_error),"")</f>
        <v>0.34911797417421742</v>
      </c>
      <c r="HM2" s="34">
        <f>IF(AND(Include_study?="Yes",Sufficient_data="Yes"),Z_score-('Publication Bias Analysis'!P$3+'Publication Bias Analysis'!P$4*Inverse_standard_error),"")</f>
        <v>2.8777300480021326</v>
      </c>
      <c r="HO2" s="123" t="s">
        <v>272</v>
      </c>
      <c r="HP2" s="3">
        <f>IF(AND(Include_study?="Yes",Sufficient_data="Yes"),(GD:GD-SUMPRODUCT(Calculations!FT:FT,'Publication Bias Analysis'!E:E)/SUM(Calculations!FT:FT))/SQRT(Calculations!HQ:HQ),"")</f>
        <v>4.9564199814304892</v>
      </c>
      <c r="HQ2" s="3">
        <f>IF(AND(Include_study?="Yes",Sufficient_data="Yes"),GE:GE^2-1/SUM(Calculations!FT:FT),"")</f>
        <v>2.134182025128914E-2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23" t="s">
        <v>116</v>
      </c>
      <c r="HX2" s="20">
        <v>1</v>
      </c>
      <c r="HY2" s="3"/>
      <c r="HZ2" s="34">
        <f>HZ3-HY14</f>
        <v>-4.2</v>
      </c>
      <c r="IB2" s="123" t="s">
        <v>273</v>
      </c>
      <c r="IC2" s="77">
        <f t="shared" ref="IC2:IC33" si="92">IF(AND(Include_study?="Yes",Sufficient_data="Yes"),a_/(a_+b_),NA())</f>
        <v>2.717391304347826E-2</v>
      </c>
      <c r="ID2" s="74">
        <f t="shared" ref="ID2:ID33" si="93">IF(AND(Include_study?="Yes",Sufficient_data="Yes"),c_/(c_+d_),NA())</f>
        <v>3.4293552812071332E-2</v>
      </c>
      <c r="IE2" s="74">
        <f t="shared" ref="IE2:IE33" si="94">IF(AND(Include_study?="Yes",Sufficient_data="Yes"),1/SELogRiskRatio^2,"")</f>
        <v>35.916132910667599</v>
      </c>
      <c r="IF2" s="74">
        <f t="shared" ref="IF2:IF33" si="95">IF(AND(Include_study?="Yes",Sufficient_data="Yes"),IF(Additional_model="Fixed effect",Weightf,Weightr),"")</f>
        <v>33.759637173255207</v>
      </c>
      <c r="IH2" s="2" t="s">
        <v>240</v>
      </c>
      <c r="II2" s="2" t="s">
        <v>241</v>
      </c>
      <c r="IK2" s="123" t="s">
        <v>118</v>
      </c>
      <c r="IL2" s="3">
        <f>IF(AND(Include_study?="Yes",Sufficient_data="Yes"),'Publication Bias Analysis'!AV:AV,NA())</f>
        <v>-1.3947366227276909</v>
      </c>
      <c r="IM2" s="3">
        <f>IF(AND(Sufficient_data="Yes",Include_study?="Yes"),'Publication Bias Analysis'!AU:AU,NA())</f>
        <v>5.8103043959206824</v>
      </c>
      <c r="IN2" s="3">
        <f t="shared" ref="IN2:IN33" si="96">IF(AND(Include_study?="Yes",Sufficient_data="Yes"),Inverse_standard_error-AVERAGE(Inverse_standard_error),"")</f>
        <v>0.34911797417421742</v>
      </c>
      <c r="IO2" s="34">
        <f>IF(AND(Include_study?="Yes",Sufficient_data="Yes"),Z_score-('Publication Bias Analysis'!AY$30+'Publication Bias Analysis'!AY$31*Inverse_standard_error),"")</f>
        <v>4.2070988203884543</v>
      </c>
      <c r="IQ2" s="24" t="s">
        <v>274</v>
      </c>
      <c r="IR2" s="2" t="s">
        <v>240</v>
      </c>
      <c r="IS2" s="2" t="s">
        <v>241</v>
      </c>
      <c r="IU2" s="123" t="s">
        <v>119</v>
      </c>
      <c r="IV2" s="6">
        <f>IF('Publication Bias Analysis'!BG:BG&lt;&gt;"",RANK('Publication Bias Analysis'!BG:BG,'Publication Bias Analysis'!BG:BG,1),"")</f>
        <v>4</v>
      </c>
      <c r="IW2" s="3">
        <f t="shared" ref="IW2:IW33" si="97">IF(IV:IV&lt;&gt;"",(IV:IV-1/3)/(k_+1/3),"")</f>
        <v>0.84615384615384615</v>
      </c>
      <c r="IX2" s="3">
        <f>IF('Publication Bias Analysis'!BF2&lt;&gt;"",'Publication Bias Analysis'!BF2,NA())</f>
        <v>1.020076232786199</v>
      </c>
      <c r="IY2" s="3">
        <f>IF('Publication Bias Analysis'!BG2&lt;&gt;"",'Publication Bias Analysis'!BG2,NA())</f>
        <v>-1.3947366227276909</v>
      </c>
      <c r="IZ2" s="3">
        <f>IF(AND(Include_study?="Yes",Sufficient_data="Yes"),'Publication Bias Analysis'!BF:BF-AVERAGE('Publication Bias Analysis'!BF:BF),"")</f>
        <v>1.020076232786199</v>
      </c>
      <c r="JA2" s="34">
        <f>IF(AND(Include_study?="Yes",Sufficient_data="Yes"),'Publication Bias Analysis'!BG:BG-('Publication Bias Analysis'!BJ$30+'Publication Bias Analysis'!BJ$31*'Publication Bias Analysis'!BF:BF),"")</f>
        <v>0.15167694384819241</v>
      </c>
      <c r="JC2" s="24" t="s">
        <v>275</v>
      </c>
      <c r="JD2" s="2" t="s">
        <v>240</v>
      </c>
      <c r="JE2" s="2" t="s">
        <v>241</v>
      </c>
      <c r="JG2" s="123" t="s">
        <v>121</v>
      </c>
      <c r="JH2" s="74">
        <f t="shared" ref="JH2:JH33" si="98">IF(AND(Include_study?="Yes",Sufficient_data="Yes"),IF(AND(Additional_valid_options="No",Additional_model="Random effects"),NA(),Z_score),"")</f>
        <v>-1.3947366227276909</v>
      </c>
      <c r="JI2" s="84">
        <f>IF(JH2&lt;&gt;"",1-NORMSDIST(ABS(JH2)),"")</f>
        <v>8.1547638404266487E-2</v>
      </c>
      <c r="JJ2" s="34">
        <f>IF(JI2&lt;&gt;"",LN(MAX(10^-306,JI2)),"")</f>
        <v>-2.5065679092030204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40</v>
      </c>
      <c r="C3" s="6">
        <f>IF(AND(Include_study?="Yes",Sufficient_data="Yes"),IF(Input!b_&lt;&gt;"",Input!b_,Input!n1_-Input!a_),"")</f>
        <v>8704</v>
      </c>
      <c r="D3" s="6">
        <f>IF(AND(Include_study?="Yes",Sufficient_data="Yes"),IF(Input!c_&lt;&gt;"",Input!c_,Input!n2_-Input!d_),"")</f>
        <v>41</v>
      </c>
      <c r="E3" s="6">
        <f>IF(AND(Include_study?="Yes",Sufficient_data="Yes"),IF(Input!d_&lt;&gt;"",Input!d_,Input!n2_-Input!c_),"")</f>
        <v>1264</v>
      </c>
      <c r="F3" s="35" t="str">
        <f t="shared" si="1"/>
        <v>No</v>
      </c>
      <c r="H3" s="140"/>
      <c r="I3" s="134"/>
      <c r="J3" s="76">
        <f t="shared" si="2"/>
        <v>0.14167862266857964</v>
      </c>
      <c r="K3" s="3">
        <f t="shared" si="3"/>
        <v>-1.9541940069792925</v>
      </c>
      <c r="L3" s="3">
        <f t="shared" si="4"/>
        <v>0.22426830549328119</v>
      </c>
      <c r="M3" s="3">
        <f t="shared" si="5"/>
        <v>9.1281716526871809E-2</v>
      </c>
      <c r="N3" s="35">
        <f t="shared" si="6"/>
        <v>0.21989981000583694</v>
      </c>
      <c r="P3" s="123"/>
      <c r="Q3" s="76">
        <f t="shared" si="7"/>
        <v>3.4842289825284763E-2</v>
      </c>
      <c r="R3" s="3">
        <f t="shared" si="8"/>
        <v>0.33186068479183312</v>
      </c>
      <c r="S3" s="3">
        <f t="shared" si="9"/>
        <v>1.8179935055300717E-2</v>
      </c>
      <c r="T3" s="35">
        <f t="shared" si="10"/>
        <v>6.6776099946252609E-2</v>
      </c>
      <c r="V3" s="123"/>
      <c r="W3" s="76">
        <f t="shared" si="11"/>
        <v>-2.6843059104787341E-2</v>
      </c>
      <c r="X3" s="3">
        <f t="shared" si="12"/>
        <v>4.8825411153023456E-3</v>
      </c>
      <c r="Y3" s="3">
        <f t="shared" si="13"/>
        <v>-3.6413816833126535E-2</v>
      </c>
      <c r="Z3" s="35">
        <f t="shared" si="14"/>
        <v>-1.7272301376448147E-2</v>
      </c>
      <c r="AB3" s="123"/>
      <c r="AC3" s="76">
        <f t="shared" si="15"/>
        <v>0.14560506995737846</v>
      </c>
      <c r="AD3" s="3">
        <f t="shared" si="16"/>
        <v>-1.9268573226899521</v>
      </c>
      <c r="AE3" s="3">
        <f t="shared" si="17"/>
        <v>0.22024894152328559</v>
      </c>
      <c r="AF3" s="3">
        <f t="shared" si="18"/>
        <v>9.4553513298272704E-2</v>
      </c>
      <c r="AG3" s="35">
        <f t="shared" si="19"/>
        <v>0.22422050390041262</v>
      </c>
      <c r="AI3" s="140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Yeh et al.</v>
      </c>
      <c r="AN3" s="6">
        <f t="shared" si="21"/>
        <v>10049</v>
      </c>
      <c r="AO3" s="3">
        <f t="shared" si="22"/>
        <v>0.14167862266857964</v>
      </c>
      <c r="AP3" s="3">
        <f t="shared" si="23"/>
        <v>19.882188944807826</v>
      </c>
      <c r="AQ3" s="3">
        <f t="shared" si="24"/>
        <v>1.64300296130765</v>
      </c>
      <c r="AR3" s="3">
        <f t="shared" si="25"/>
        <v>0.22426830549328119</v>
      </c>
      <c r="AS3" s="3">
        <f t="shared" si="26"/>
        <v>9.1281716526871809E-2</v>
      </c>
      <c r="AT3" s="3">
        <f t="shared" si="27"/>
        <v>0.21989981000583694</v>
      </c>
      <c r="AU3" s="80">
        <f t="shared" si="28"/>
        <v>0.24366226128443458</v>
      </c>
      <c r="AW3" s="44">
        <f t="shared" si="29"/>
        <v>0.14167862266857964</v>
      </c>
      <c r="AX3" s="3">
        <f t="shared" si="30"/>
        <v>5.0396906141707831E-2</v>
      </c>
      <c r="AY3" s="35">
        <f t="shared" si="31"/>
        <v>7.8221187337257303E-2</v>
      </c>
      <c r="BA3" s="2" t="s">
        <v>276</v>
      </c>
      <c r="BB3" s="6">
        <f>IF(BB2&lt;&gt;"",MAX(Entry_number)+1,"")</f>
        <v>5</v>
      </c>
      <c r="BD3" s="140"/>
      <c r="BE3" s="134"/>
      <c r="BF3" s="3">
        <f t="shared" si="32"/>
        <v>-1.9541940069792925</v>
      </c>
      <c r="BG3" s="3">
        <f t="shared" si="33"/>
        <v>0.22426830549328119</v>
      </c>
      <c r="BH3" s="3">
        <f t="shared" si="34"/>
        <v>19.882188944807826</v>
      </c>
      <c r="BI3" s="3">
        <f t="shared" ref="BI3:BI33" si="99">IF(Weightf&lt;&gt;"",1/(IF(Model_effect_size_measure="Odds Ratio",SELogOddsRatio,IF(Model_effect_size_measure="Risk Ratio",SELogRiskRatio,SERiskDifference))^2+T2_),"")</f>
        <v>1.64300296130765</v>
      </c>
      <c r="BJ3" s="35">
        <f t="shared" si="35"/>
        <v>-0.87446337831230792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0.40003772630545031</v>
      </c>
      <c r="BO3" s="123"/>
      <c r="BP3" s="3">
        <f t="shared" si="36"/>
        <v>5.0313464026271273</v>
      </c>
      <c r="BQ3" s="3">
        <f t="shared" si="37"/>
        <v>35.512389292466914</v>
      </c>
      <c r="BR3" s="3">
        <f t="shared" si="38"/>
        <v>0.65288841765606265</v>
      </c>
      <c r="BS3" s="3">
        <f>IF(AND(Sufficient_data="Yes",Include_study?="Yes"),IF(Add_0_5="Yes",(a_+d_+1)*(ab_+0.5)*(c_+0.5)/(Number_of_subjects+2)^2,(a_+d_)*b_*c_/Number_of_subjects^2),"")</f>
        <v>4.6082352112027918</v>
      </c>
      <c r="BT3" s="3">
        <f t="shared" si="39"/>
        <v>4.3784579849710648</v>
      </c>
      <c r="BU3" s="3">
        <f t="shared" si="40"/>
        <v>30.904154081264121</v>
      </c>
      <c r="BV3" s="3">
        <f t="shared" si="41"/>
        <v>35.512389292466914</v>
      </c>
      <c r="BW3" s="3">
        <f t="shared" si="42"/>
        <v>22.975044063907518</v>
      </c>
      <c r="BX3" s="3">
        <f t="shared" si="43"/>
        <v>2.2782759182811696</v>
      </c>
      <c r="BY3" s="35">
        <f t="shared" si="44"/>
        <v>-0.87783535021589887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0.15972255413786696</v>
      </c>
      <c r="CD3" s="123"/>
      <c r="CE3" s="76">
        <f t="shared" si="45"/>
        <v>70.481042889839784</v>
      </c>
      <c r="CF3" s="3">
        <f t="shared" si="46"/>
        <v>9.0800531353506493</v>
      </c>
      <c r="CG3" s="3">
        <f t="shared" si="47"/>
        <v>-3.356923405125281</v>
      </c>
      <c r="CH3" s="3">
        <f t="shared" si="48"/>
        <v>0.11013151411050442</v>
      </c>
      <c r="CI3" s="3">
        <f t="shared" si="49"/>
        <v>9.0800531353506493</v>
      </c>
      <c r="CJ3" s="3">
        <f t="shared" si="50"/>
        <v>0.67314153823730294</v>
      </c>
      <c r="CK3" s="35">
        <f t="shared" si="51"/>
        <v>-1.8112838782399248</v>
      </c>
      <c r="CM3" s="3" t="s">
        <v>277</v>
      </c>
      <c r="CN3" s="3">
        <f>IF(Meta_analysis_model="Fixed effect model",1/SUM(Weightf_Peto),SUMPRODUCT(Weight_Peto,CK:CK,CK:CK)/((k_-1)*SUM(Weight_Peto)))</f>
        <v>0.50335930431891329</v>
      </c>
      <c r="CP3" s="123"/>
      <c r="CQ3" s="52">
        <f t="shared" si="52"/>
        <v>3.1417624521072794E-2</v>
      </c>
      <c r="CS3" s="2" t="s">
        <v>278</v>
      </c>
      <c r="CT3" s="3">
        <f>IF(Weighting_method="Inverse variance",IF(Model_effect_size_measure="Odds Ratio",CES_IV,NA()),NA())</f>
        <v>0.33968701526615563</v>
      </c>
      <c r="CU3" s="3">
        <f>IF(Model_effect_size_measure="Odds Ratio",CES_OddsRatio_MH,NA())</f>
        <v>0.34083436366379699</v>
      </c>
      <c r="CV3" s="3" t="e">
        <f>IF(Model_effect_size_measure="Peto Odds Ratio",CES_PetoOddsRatio,NA())</f>
        <v>#N/A</v>
      </c>
      <c r="CX3" s="14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40"/>
      <c r="FS3" s="134"/>
      <c r="FT3" s="76">
        <f>IF(AND(Include_study?="Yes",Sufficient_data="Yes"),IF(Additional_weighting_method="Inverse Variance",1/'Publication Bias Analysis'!F:F^2,IF(Additional_weighting_method="Mantel-Haenszel",Weightf_MH,Weightf_Peto)),"")</f>
        <v>19.882188944807826</v>
      </c>
      <c r="FU3" s="3">
        <f>IF(AND(Include_study?="Yes",Sufficient_data="Yes"),1/('Publication Bias Analysis'!F:F^2+IF(Additional_model="Fixed effect",0,Calculations!GH$12)),"")</f>
        <v>19.882188944807826</v>
      </c>
      <c r="FV3" s="3">
        <f>IF(AND(Include_study?="Yes",Sufficient_data="Yes"),1/('Publication Bias Analysis'!F:F^2+IF(Additional_model="Fixed effect",0,'Publication Bias Analysis'!L$32)),"")</f>
        <v>19.882188944807826</v>
      </c>
      <c r="FW3" s="3">
        <f>IF(AND(Include_study?="Yes",Sufficient_data="Yes"),'Publication Bias Analysis'!E:E-'Publication Bias Analysis'!I$37,"")</f>
        <v>-0.99007318620971285</v>
      </c>
      <c r="FX3" s="3">
        <f>IF(AND(Include_study?="Yes",Sufficient_data="Yes"),IF(Additional_model="Fixed effect",1/'Publication Bias Analysis'!F:F,1/SQRT('Publication Bias Analysis'!F:F^2+GH$12)),"")</f>
        <v>4.4589448241492988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-8.7136432528038945</v>
      </c>
      <c r="FZ3" s="6">
        <f t="shared" si="80"/>
        <v>4</v>
      </c>
      <c r="GA3" s="83">
        <f>IF(AND(Include_study?="Yes",Sufficient_data="Yes"),FZ:FZ+IF(GL:GL&lt;0,-1,1)*COUNTIF(FZ$2:FZ2,FZ:FZ),"")</f>
        <v>4</v>
      </c>
      <c r="GB3" s="83">
        <f>IF(AND(Include_study?="Yes",Sufficient_data="Yes"),RANK(GP:GP,GP:GP,1)*IF(GO:GO&lt;0,-1,1)+IF(GO:GO&lt;0,-1,1)*COUNTIF(FZ$2:FZ2,FZ:FZ),"")</f>
        <v>4</v>
      </c>
      <c r="GC3" s="83">
        <f>IF(AND(Include_study?="Yes",Sufficient_data="Yes"),RANK(GS:GS,GS:GS,1)*IF(GR:GR&lt;0,-1,1)+IF(GR:GR&lt;0,-1,1)*COUNTIF(FZ$2:FZ2,FZ:FZ),"")</f>
        <v>4</v>
      </c>
      <c r="GD3" s="3">
        <f>IF(AND(Include_study?="Yes",Sufficient_data="Yes"),'Publication Bias Analysis'!E3,NA())</f>
        <v>-1.9541940069792925</v>
      </c>
      <c r="GE3" s="35">
        <f>IF(AND(Include_study?="Yes",Sufficient_data="Yes"),'Publication Bias Analysis'!F3,NA())</f>
        <v>0.22426830549328119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-1.8205870290207762</v>
      </c>
      <c r="GI3" s="3">
        <f>IF(Trim_and_fill="Off",GH17,GH22)</f>
        <v>0.26912196659193743</v>
      </c>
      <c r="GK3" s="123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0.99007318620971285</v>
      </c>
      <c r="GM3" s="3">
        <f t="shared" si="81"/>
        <v>0.99007318620971285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19.882188944807826</v>
      </c>
      <c r="GO3" s="3">
        <f>IF(AND(Include_study?="Yes",Sufficient_data="Yes"),IF('Publication Bias Analysis'!L$38="Left",'Publication Bias Analysis'!E:E-GW$3,GW$3-'Publication Bias Analysis'!E:E),"")</f>
        <v>0.99007318620971285</v>
      </c>
      <c r="GP3" s="3">
        <f t="shared" si="82"/>
        <v>0.99007318620971285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19.882188944807826</v>
      </c>
      <c r="GR3" s="3">
        <f>IF(AND(Include_study?="Yes",Sufficient_data="Yes"),IF('Publication Bias Analysis'!L$38="Left",'Publication Bias Analysis'!E:E-GW$10,GW$10-'Publication Bias Analysis'!E:E),"")</f>
        <v>0.99007318620971285</v>
      </c>
      <c r="GS3" s="3">
        <f t="shared" si="83"/>
        <v>0.99007318620971285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19.882188944807826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-0.96412082076957961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3"/>
      <c r="HL3" s="3">
        <f t="shared" si="89"/>
        <v>-1.0022415975971661</v>
      </c>
      <c r="HM3" s="35">
        <f>IF(AND(Include_study?="Yes",Sufficient_data="Yes"),Z_score-('Publication Bias Analysis'!P$3+'Publication Bias Analysis'!P$4*Inverse_standard_error),"")</f>
        <v>0.64503493773424125</v>
      </c>
      <c r="HO3" s="123"/>
      <c r="HP3" s="3">
        <f>IF(AND(Include_study?="Yes",Sufficient_data="Yes"),(GD:GD-SUMPRODUCT(Calculations!FT:FT,'Publication Bias Analysis'!E:E)/SUM(Calculations!FT:FT))/SQRT(Calculations!HQ:HQ),"")</f>
        <v>-4.8300895569352873</v>
      </c>
      <c r="HQ3" s="3">
        <f>IF(AND(Include_study?="Yes",Sufficient_data="Yes"),GE:GE^2-1/SUM(Calculations!FT:FT),"")</f>
        <v>4.201692167377781E-2</v>
      </c>
      <c r="HR3" s="6">
        <f t="shared" si="90"/>
        <v>4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3</v>
      </c>
      <c r="HW3" s="123"/>
      <c r="HX3" s="20">
        <v>2</v>
      </c>
      <c r="HY3" s="3">
        <f t="shared" ref="HY3:HY10" si="123">HZ2</f>
        <v>-4.2</v>
      </c>
      <c r="HZ3" s="35">
        <f>HZ4-HY14</f>
        <v>-3</v>
      </c>
      <c r="IB3" s="123"/>
      <c r="IC3" s="76">
        <f t="shared" si="92"/>
        <v>4.5745654162854532E-3</v>
      </c>
      <c r="ID3" s="3">
        <f t="shared" si="93"/>
        <v>3.1417624521072794E-2</v>
      </c>
      <c r="IE3" s="3">
        <f t="shared" si="94"/>
        <v>20.61447790677672</v>
      </c>
      <c r="IF3" s="35">
        <f t="shared" si="95"/>
        <v>19.882188944807826</v>
      </c>
      <c r="IH3" s="3">
        <v>0</v>
      </c>
      <c r="II3" s="3">
        <v>0</v>
      </c>
      <c r="IK3" s="123"/>
      <c r="IL3" s="3">
        <f>IF(AND(Include_study?="Yes",Sufficient_data="Yes"),'Publication Bias Analysis'!AV:AV,NA())</f>
        <v>-8.7136432528038945</v>
      </c>
      <c r="IM3" s="3">
        <f>IF(AND(Sufficient_data="Yes",Include_study?="Yes"),'Publication Bias Analysis'!AU:AU,NA())</f>
        <v>4.4589448241492988</v>
      </c>
      <c r="IN3" s="3">
        <f t="shared" si="96"/>
        <v>-1.0022415975971661</v>
      </c>
      <c r="IO3" s="35">
        <f>IF(AND(Include_study?="Yes",Sufficient_data="Yes"),Z_score-('Publication Bias Analysis'!AY$30+'Publication Bias Analysis'!AY$31*Inverse_standard_error),"")</f>
        <v>-4.4146817091788035</v>
      </c>
      <c r="IQ3" s="2" t="s">
        <v>96</v>
      </c>
      <c r="IR3" s="3">
        <v>0</v>
      </c>
      <c r="IS3" s="3">
        <v>0</v>
      </c>
      <c r="IU3" s="123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0.15384615384615388</v>
      </c>
      <c r="IX3" s="3">
        <f>IF('Publication Bias Analysis'!BF3&lt;&gt;"",'Publication Bias Analysis'!BF3,NA())</f>
        <v>-1.020076232786199</v>
      </c>
      <c r="IY3" s="3">
        <f>IF('Publication Bias Analysis'!BG3&lt;&gt;"",'Publication Bias Analysis'!BG3,NA())</f>
        <v>-8.7136432528038945</v>
      </c>
      <c r="IZ3" s="3">
        <f>IF(AND(Include_study?="Yes",Sufficient_data="Yes"),'Publication Bias Analysis'!BF:BF-AVERAGE('Publication Bias Analysis'!BF:BF),"")</f>
        <v>-1.020076232786199</v>
      </c>
      <c r="JA3" s="35">
        <f>IF(AND(Include_study?="Yes",Sufficient_data="Yes"),'Publication Bias Analysis'!BG:BG-('Publication Bias Analysis'!BJ$30+'Publication Bias Analysis'!BJ$31*'Publication Bias Analysis'!BF:BF),"")</f>
        <v>0.91287857143738549</v>
      </c>
      <c r="JC3" s="2" t="s">
        <v>243</v>
      </c>
      <c r="JD3" s="3">
        <f>MIN('Publication Bias Analysis'!BF:BF)</f>
        <v>-1.020076232786199</v>
      </c>
      <c r="JE3" s="3">
        <f>'Publication Bias Analysis'!BJ$30+JD3*'Publication Bias Analysis'!BJ$31</f>
        <v>-9.62652182424128</v>
      </c>
      <c r="JG3" s="123"/>
      <c r="JH3" s="3">
        <f t="shared" si="98"/>
        <v>-8.7136432528038945</v>
      </c>
      <c r="JI3" s="10">
        <f t="shared" ref="JI3:JI66" si="124">IF(JH3&lt;&gt;"",1-NORMSDIST(ABS(JH3)),"")</f>
        <v>0</v>
      </c>
      <c r="JJ3" s="35">
        <f t="shared" ref="JJ3:JJ66" si="125">IF(JI3&lt;&gt;"",LN(MAX(10^-306,JI3)),"")</f>
        <v>-704.59103845617801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70</v>
      </c>
      <c r="C4" s="6">
        <f>IF(AND(Include_study?="Yes",Sufficient_data="Yes"),IF(Input!b_&lt;&gt;"",Input!b_,Input!n1_-Input!a_),"")</f>
        <v>3274</v>
      </c>
      <c r="D4" s="6">
        <f>IF(AND(Include_study?="Yes",Sufficient_data="Yes"),IF(Input!c_&lt;&gt;"",Input!c_,Input!n2_-Input!d_),"")</f>
        <v>82</v>
      </c>
      <c r="E4" s="6">
        <f>IF(AND(Include_study?="Yes",Sufficient_data="Yes"),IF(Input!d_&lt;&gt;"",Input!d_,Input!n2_-Input!c_),"")</f>
        <v>2105</v>
      </c>
      <c r="F4" s="35" t="str">
        <f t="shared" si="1"/>
        <v>No</v>
      </c>
      <c r="H4" s="140"/>
      <c r="I4" s="134"/>
      <c r="J4" s="76">
        <f t="shared" si="2"/>
        <v>0.5488549845791677</v>
      </c>
      <c r="K4" s="3">
        <f t="shared" si="3"/>
        <v>-0.59992101702949263</v>
      </c>
      <c r="L4" s="3">
        <f t="shared" si="4"/>
        <v>0.1651100614558188</v>
      </c>
      <c r="M4" s="3">
        <f t="shared" si="5"/>
        <v>0.39708629732880296</v>
      </c>
      <c r="N4" s="35">
        <f t="shared" si="6"/>
        <v>0.75863054485599235</v>
      </c>
      <c r="P4" s="123"/>
      <c r="Q4" s="76">
        <f t="shared" si="7"/>
        <v>0.53818584904559641</v>
      </c>
      <c r="R4" s="3">
        <f t="shared" si="8"/>
        <v>0.16820392746467216</v>
      </c>
      <c r="S4" s="3">
        <f t="shared" si="9"/>
        <v>0.38701293640703649</v>
      </c>
      <c r="T4" s="35">
        <f t="shared" si="10"/>
        <v>0.74840911211376049</v>
      </c>
      <c r="V4" s="123"/>
      <c r="W4" s="76">
        <f t="shared" si="11"/>
        <v>-1.6561270053797667E-2</v>
      </c>
      <c r="X4" s="3">
        <f t="shared" si="12"/>
        <v>4.7571198799826134E-3</v>
      </c>
      <c r="Y4" s="3">
        <f t="shared" si="13"/>
        <v>-2.5887095216553649E-2</v>
      </c>
      <c r="Z4" s="35">
        <f t="shared" si="14"/>
        <v>-7.2354448910416837E-3</v>
      </c>
      <c r="AB4" s="123"/>
      <c r="AC4" s="76">
        <f t="shared" si="15"/>
        <v>0.55829880966273782</v>
      </c>
      <c r="AD4" s="3">
        <f t="shared" si="16"/>
        <v>-0.58286095874271848</v>
      </c>
      <c r="AE4" s="3">
        <f t="shared" si="17"/>
        <v>0.16038873340701093</v>
      </c>
      <c r="AF4" s="3">
        <f t="shared" si="18"/>
        <v>0.40767461667608235</v>
      </c>
      <c r="AG4" s="35">
        <f t="shared" si="19"/>
        <v>0.76457436426190117</v>
      </c>
      <c r="AI4" s="140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0.5488549845791677</v>
      </c>
      <c r="AP4" s="3">
        <f t="shared" si="23"/>
        <v>36.681992851608989</v>
      </c>
      <c r="AQ4" s="3">
        <f t="shared" si="24"/>
        <v>1.7076307670941795</v>
      </c>
      <c r="AR4" s="3">
        <f t="shared" si="25"/>
        <v>0.1651100614558188</v>
      </c>
      <c r="AS4" s="3">
        <f t="shared" si="26"/>
        <v>0.39708629732880296</v>
      </c>
      <c r="AT4" s="3">
        <f t="shared" si="27"/>
        <v>0.75863054485599235</v>
      </c>
      <c r="AU4" s="80">
        <f t="shared" si="28"/>
        <v>0.25324675849511752</v>
      </c>
      <c r="AW4" s="44">
        <f t="shared" si="29"/>
        <v>0.5488549845791677</v>
      </c>
      <c r="AX4" s="3">
        <f t="shared" si="30"/>
        <v>0.15176868725036474</v>
      </c>
      <c r="AY4" s="35">
        <f t="shared" si="31"/>
        <v>0.20977556027682465</v>
      </c>
      <c r="BA4" s="2" t="s">
        <v>281</v>
      </c>
      <c r="BB4" s="3">
        <f>'Forest Plot'!$B$16-CES_CI_Lower_limit</f>
        <v>0.24458729136873536</v>
      </c>
      <c r="BD4" s="140"/>
      <c r="BE4" s="134"/>
      <c r="BF4" s="3">
        <f t="shared" si="32"/>
        <v>-0.59992101702949263</v>
      </c>
      <c r="BG4" s="3">
        <f t="shared" si="33"/>
        <v>0.1651100614558188</v>
      </c>
      <c r="BH4" s="3">
        <f t="shared" si="34"/>
        <v>36.681992851608989</v>
      </c>
      <c r="BI4" s="3">
        <f t="shared" si="99"/>
        <v>1.7076307670941795</v>
      </c>
      <c r="BJ4" s="35">
        <f t="shared" si="35"/>
        <v>0.47980961163749192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-2.35282921272186</v>
      </c>
      <c r="BO4" s="123"/>
      <c r="BP4" s="3">
        <f t="shared" si="36"/>
        <v>26.640752124389802</v>
      </c>
      <c r="BQ4" s="3">
        <f t="shared" si="37"/>
        <v>48.538781413849215</v>
      </c>
      <c r="BR4" s="3">
        <f t="shared" si="38"/>
        <v>10.476159079831463</v>
      </c>
      <c r="BS4" s="3">
        <f>IF(AND(Sufficient_data="Yes",Include_study?="Yes"),IF(Add_0_5="Yes",(a_+d_+1)*(ab_+0.5)*(c_+0.5)/(Number_of_subjects+2)^2,(a_+d_)*b_*c_/Number_of_subjects^2),"")</f>
        <v>19.087298784147901</v>
      </c>
      <c r="BT4" s="3">
        <f t="shared" si="39"/>
        <v>16.164593044558341</v>
      </c>
      <c r="BU4" s="3">
        <f t="shared" si="40"/>
        <v>29.451482629701314</v>
      </c>
      <c r="BV4" s="3">
        <f t="shared" si="41"/>
        <v>48.538781413849215</v>
      </c>
      <c r="BW4" s="3">
        <f t="shared" si="42"/>
        <v>2.8615816338453115</v>
      </c>
      <c r="BX4" s="3">
        <f t="shared" si="43"/>
        <v>2.4044619621119967</v>
      </c>
      <c r="BY4" s="35">
        <f t="shared" si="44"/>
        <v>0.47643763973390096</v>
      </c>
      <c r="CA4" s="3" t="s">
        <v>282</v>
      </c>
      <c r="CB4" s="3">
        <f>SQRT(VarlnCES_MH)</f>
        <v>0.39965304219768799</v>
      </c>
      <c r="CD4" s="123"/>
      <c r="CE4" s="76">
        <f t="shared" si="45"/>
        <v>91.898029289459416</v>
      </c>
      <c r="CF4" s="3">
        <f t="shared" si="46"/>
        <v>35.344979636769665</v>
      </c>
      <c r="CG4" s="3">
        <f t="shared" si="47"/>
        <v>-0.61955133414983554</v>
      </c>
      <c r="CH4" s="3">
        <f t="shared" si="48"/>
        <v>2.8292561214540692E-2</v>
      </c>
      <c r="CI4" s="3">
        <f t="shared" si="49"/>
        <v>35.344979636769665</v>
      </c>
      <c r="CJ4" s="3">
        <f t="shared" si="50"/>
        <v>0.71238633029545484</v>
      </c>
      <c r="CK4" s="35">
        <f t="shared" si="51"/>
        <v>0.92608819273552068</v>
      </c>
      <c r="CM4" s="3" t="s">
        <v>282</v>
      </c>
      <c r="CN4" s="3">
        <f>SQRT(VarlnCES_Peto)</f>
        <v>0.70947819157385894</v>
      </c>
      <c r="CP4" s="123"/>
      <c r="CQ4" s="52">
        <f t="shared" si="52"/>
        <v>3.7494284407864654E-2</v>
      </c>
      <c r="CS4" s="2" t="s">
        <v>92</v>
      </c>
      <c r="CT4" s="3">
        <f>IF(Weighting_method="Inverse variance",IF(Model_effect_size_measure="Odds Ratio",CICES_LL,""),"")</f>
        <v>9.5099723897420274E-2</v>
      </c>
      <c r="CU4" s="3">
        <f>IF(Model_effect_size_measure="Odds Ratio",CICES_LL_MH,"")</f>
        <v>9.5537828087068621E-2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40"/>
      <c r="FS4" s="134"/>
      <c r="FT4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4" s="3">
        <f>IF(AND(Include_study?="Yes",Sufficient_data="Yes"),1/('Publication Bias Analysis'!F:F^2+IF(Additional_model="Fixed effect",0,Calculations!GH$12)),"")</f>
        <v>36.681992851608989</v>
      </c>
      <c r="FV4" s="3">
        <f>IF(AND(Include_study?="Yes",Sufficient_data="Yes"),1/('Publication Bias Analysis'!F:F^2+IF(Additional_model="Fixed effect",0,'Publication Bias Analysis'!L$32)),"")</f>
        <v>36.681992851608989</v>
      </c>
      <c r="FW4" s="3">
        <f>IF(AND(Include_study?="Yes",Sufficient_data="Yes"),'Publication Bias Analysis'!E:E-'Publication Bias Analysis'!I$37,"")</f>
        <v>0.36419980374008698</v>
      </c>
      <c r="FX4" s="3">
        <f>IF(AND(Include_study?="Yes",Sufficient_data="Yes"),IF(Additional_model="Fixed effect",1/'Publication Bias Analysis'!F:F,1/SQRT('Publication Bias Analysis'!F:F^2+GH$12)),"")</f>
        <v>6.0565660940510666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4" s="6">
        <f t="shared" si="80"/>
        <v>-1</v>
      </c>
      <c r="GA4" s="83">
        <f>IF(AND(Include_study?="Yes",Sufficient_data="Yes"),FZ:FZ+IF(GL:GL&lt;0,-1,1)*COUNTIF(FZ$2:FZ3,FZ:FZ),"")</f>
        <v>-1</v>
      </c>
      <c r="GB4" s="83">
        <f>IF(AND(Include_study?="Yes",Sufficient_data="Yes"),RANK(GP:GP,GP:GP,1)*IF(GO:GO&lt;0,-1,1)+IF(GO:GO&lt;0,-1,1)*COUNTIF(FZ$2:FZ3,FZ:FZ),"")</f>
        <v>-1</v>
      </c>
      <c r="GC4" s="83">
        <f>IF(AND(Include_study?="Yes",Sufficient_data="Yes"),RANK(GS:GS,GS:GS,1)*IF(GR:GR&lt;0,-1,1)+IF(GR:GR&lt;0,-1,1)*COUNTIF(FZ$2:FZ3,FZ:FZ),"")</f>
        <v>-1</v>
      </c>
      <c r="GD4" s="3">
        <f>IF(AND(Include_study?="Yes",Sufficient_data="Yes"),'Publication Bias Analysis'!E4,NA())</f>
        <v>-0.59992101702949263</v>
      </c>
      <c r="GE4" s="35">
        <f>IF(AND(Include_study?="Yes",Sufficient_data="Yes"),'Publication Bias Analysis'!F4,NA())</f>
        <v>0.1651100614558188</v>
      </c>
      <c r="GG4" s="2" t="s">
        <v>274</v>
      </c>
      <c r="GH4" s="3">
        <f>IF(Trim_and_fill="Off",'Publication Bias Analysis'!I29,'Publication Bias Analysis'!I37)</f>
        <v>-0.96412082076957961</v>
      </c>
      <c r="GI4" s="3">
        <v>0</v>
      </c>
      <c r="GK4" s="123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-0.36419980374008698</v>
      </c>
      <c r="GM4" s="3">
        <f t="shared" si="81"/>
        <v>0.36419980374008698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4" s="3">
        <f>IF(AND(Include_study?="Yes",Sufficient_data="Yes"),IF('Publication Bias Analysis'!L$38="Left",'Publication Bias Analysis'!E:E-GW$3,GW$3-'Publication Bias Analysis'!E:E),"")</f>
        <v>-0.36419980374008698</v>
      </c>
      <c r="GP4" s="3">
        <f t="shared" si="82"/>
        <v>0.36419980374008698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4" s="3">
        <f>IF(AND(Include_study?="Yes",Sufficient_data="Yes"),IF('Publication Bias Analysis'!L$38="Left",'Publication Bias Analysis'!E:E-GW$10,GW$10-'Publication Bias Analysis'!E:E),"")</f>
        <v>-0.36419980374008698</v>
      </c>
      <c r="GS4" s="3">
        <f t="shared" si="83"/>
        <v>0.36419980374008698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4" s="121" t="s">
        <v>54</v>
      </c>
      <c r="GW4" s="121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3"/>
      <c r="HL4" s="3">
        <f t="shared" si="89"/>
        <v>0.59537967230460165</v>
      </c>
      <c r="HM4" s="35">
        <f>IF(AND(Include_study?="Yes",Sufficient_data="Yes"),Z_score-('Publication Bias Analysis'!P$3+'Publication Bias Analysis'!P$4*Inverse_standard_error),"")</f>
        <v>-0.28786790542627516</v>
      </c>
      <c r="HO4" s="123"/>
      <c r="HP4" s="3">
        <f>IF(AND(Include_study?="Yes",Sufficient_data="Yes"),(GD:GD-SUMPRODUCT(Calculations!FT:FT,'Publication Bias Analysis'!E:E)/SUM(Calculations!FT:FT))/SQRT(Calculations!HQ:HQ),"")</f>
        <v>2.6434368371871733</v>
      </c>
      <c r="HQ4" s="3">
        <f>IF(AND(Include_study?="Yes",Sufficient_data="Yes"),GE:GE^2-1/SUM(Calculations!FT:FT),"")</f>
        <v>1.8981981218894377E-2</v>
      </c>
      <c r="HR4" s="6">
        <f t="shared" si="90"/>
        <v>2</v>
      </c>
      <c r="HS4" s="6">
        <f t="shared" si="91"/>
        <v>4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1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23"/>
      <c r="HX4" s="20">
        <v>3</v>
      </c>
      <c r="HY4" s="3">
        <f t="shared" si="123"/>
        <v>-3</v>
      </c>
      <c r="HZ4" s="35">
        <f>HZ5-HY14</f>
        <v>-1.7999999999999998</v>
      </c>
      <c r="IB4" s="123"/>
      <c r="IC4" s="76">
        <f t="shared" si="92"/>
        <v>2.0933014354066987E-2</v>
      </c>
      <c r="ID4" s="3">
        <f t="shared" si="93"/>
        <v>3.7494284407864654E-2</v>
      </c>
      <c r="IE4" s="3">
        <f t="shared" si="94"/>
        <v>38.873378275475353</v>
      </c>
      <c r="IF4" s="35">
        <f t="shared" si="95"/>
        <v>36.681992851608989</v>
      </c>
      <c r="IH4" s="3">
        <f>MAX('Publication Bias Analysis'!AH:AH)</f>
        <v>0.12147887323943662</v>
      </c>
      <c r="II4" s="3">
        <f>MAX('Publication Bias Analysis'!AH:AH)</f>
        <v>0.12147887323943662</v>
      </c>
      <c r="IK4" s="123"/>
      <c r="IL4" s="3">
        <f>IF(AND(Include_study?="Yes",Sufficient_data="Yes"),'Publication Bias Analysis'!AV:AV,NA())</f>
        <v>-3.6334612908494575</v>
      </c>
      <c r="IM4" s="3">
        <f>IF(AND(Sufficient_data="Yes",Include_study?="Yes"),'Publication Bias Analysis'!AU:AU,NA())</f>
        <v>6.0565660940510666</v>
      </c>
      <c r="IN4" s="3">
        <f t="shared" si="96"/>
        <v>0.59537967230460165</v>
      </c>
      <c r="IO4" s="35">
        <f>IF(AND(Include_study?="Yes",Sufficient_data="Yes"),Z_score-('Publication Bias Analysis'!AY$30+'Publication Bias Analysis'!AY$31*Inverse_standard_error),"")</f>
        <v>2.2058001827922635</v>
      </c>
      <c r="IQ4" s="2" t="s">
        <v>283</v>
      </c>
      <c r="IR4" s="3">
        <f>MAX(Inverse_standard_error)</f>
        <v>6.0565660940510666</v>
      </c>
      <c r="IS4" s="3">
        <f>IR4*'Publication Bias Analysis'!AY31</f>
        <v>-5.839261473641721</v>
      </c>
      <c r="IU4" s="123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0.61538461538461542</v>
      </c>
      <c r="IX4" s="3">
        <f>IF('Publication Bias Analysis'!BF4&lt;&gt;"",'Publication Bias Analysis'!BF4,NA())</f>
        <v>0.29338123212119344</v>
      </c>
      <c r="IY4" s="3">
        <f>IF('Publication Bias Analysis'!BG4&lt;&gt;"",'Publication Bias Analysis'!BG4,NA())</f>
        <v>-3.6334612908494575</v>
      </c>
      <c r="IZ4" s="3">
        <f>IF(AND(Include_study?="Yes",Sufficient_data="Yes"),'Publication Bias Analysis'!BF:BF-AVERAGE('Publication Bias Analysis'!BF:BF),"")</f>
        <v>0.29338123212119344</v>
      </c>
      <c r="JA4" s="35">
        <f>IF(AND(Include_study?="Yes",Sufficient_data="Yes"),'Publication Bias Analysis'!BG:BG-('Publication Bias Analysis'!BJ$30+'Publication Bias Analysis'!BJ$31*'Publication Bias Analysis'!BF:BF),"")</f>
        <v>0.79105789516602476</v>
      </c>
      <c r="JC4" s="2" t="s">
        <v>244</v>
      </c>
      <c r="JD4" s="3">
        <f>MAX('Publication Bias Analysis'!BF:BF)</f>
        <v>1.020076232786199</v>
      </c>
      <c r="JE4" s="3">
        <f>'Publication Bias Analysis'!BJ$30+JD4*'Publication Bias Analysis'!BJ$31</f>
        <v>-1.5464135665758834</v>
      </c>
      <c r="JG4" s="123"/>
      <c r="JH4" s="3">
        <f t="shared" si="98"/>
        <v>-3.6334612908494575</v>
      </c>
      <c r="JI4" s="10">
        <f t="shared" si="124"/>
        <v>1.3982220840691451E-4</v>
      </c>
      <c r="JJ4" s="35">
        <f t="shared" si="125"/>
        <v>-8.875138882362668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2166</v>
      </c>
      <c r="D5" s="6">
        <f>IF(AND(Include_study?="Yes",Sufficient_data="Yes"),IF(Input!c_&lt;&gt;"",Input!c_,Input!n2_-Input!d_),"")</f>
        <v>69</v>
      </c>
      <c r="E5" s="6">
        <f>IF(AND(Include_study?="Yes",Sufficient_data="Yes"),IF(Input!d_&lt;&gt;"",Input!d_,Input!n2_-Input!c_),"")</f>
        <v>499</v>
      </c>
      <c r="F5" s="35" t="str">
        <f t="shared" si="1"/>
        <v>No</v>
      </c>
      <c r="H5" s="140"/>
      <c r="I5" s="134"/>
      <c r="J5" s="76">
        <f t="shared" si="2"/>
        <v>0.21034565819583284</v>
      </c>
      <c r="K5" s="3">
        <f t="shared" si="3"/>
        <v>-1.5590031100151438</v>
      </c>
      <c r="L5" s="3">
        <f t="shared" si="4"/>
        <v>0.18119453090344234</v>
      </c>
      <c r="M5" s="3">
        <f t="shared" si="5"/>
        <v>0.14744622881143349</v>
      </c>
      <c r="N5" s="35">
        <f t="shared" si="6"/>
        <v>0.30007750132709543</v>
      </c>
      <c r="P5" s="123"/>
      <c r="Q5" s="76">
        <f t="shared" si="7"/>
        <v>0.12590067678269473</v>
      </c>
      <c r="R5" s="3">
        <f t="shared" si="8"/>
        <v>0.22161353204955084</v>
      </c>
      <c r="S5" s="3">
        <f t="shared" si="9"/>
        <v>8.152833263449176E-2</v>
      </c>
      <c r="T5" s="35">
        <f t="shared" si="10"/>
        <v>0.19442296809139667</v>
      </c>
      <c r="V5" s="123"/>
      <c r="W5" s="76">
        <f t="shared" si="11"/>
        <v>-9.3215077815479691E-2</v>
      </c>
      <c r="X5" s="3">
        <f t="shared" si="12"/>
        <v>1.4149631249517534E-2</v>
      </c>
      <c r="Y5" s="3">
        <f t="shared" si="13"/>
        <v>-0.12095986014836016</v>
      </c>
      <c r="Z5" s="35">
        <f t="shared" si="14"/>
        <v>-6.5470295482599222E-2</v>
      </c>
      <c r="AB5" s="123"/>
      <c r="AC5" s="76">
        <f t="shared" si="15"/>
        <v>0.23266428696822516</v>
      </c>
      <c r="AD5" s="3">
        <f t="shared" si="16"/>
        <v>-1.4581586928704442</v>
      </c>
      <c r="AE5" s="3">
        <f t="shared" si="17"/>
        <v>0.16779920870649673</v>
      </c>
      <c r="AF5" s="3">
        <f t="shared" si="18"/>
        <v>0.1674313973465833</v>
      </c>
      <c r="AG5" s="35">
        <f t="shared" si="19"/>
        <v>0.32331254046920427</v>
      </c>
      <c r="AI5" s="140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Chein et al.</v>
      </c>
      <c r="AN5" s="6">
        <f t="shared" si="21"/>
        <v>2797</v>
      </c>
      <c r="AO5" s="3">
        <f t="shared" si="22"/>
        <v>0.21034565819583284</v>
      </c>
      <c r="AP5" s="3">
        <f t="shared" si="23"/>
        <v>30.458592460529751</v>
      </c>
      <c r="AQ5" s="3">
        <f t="shared" si="24"/>
        <v>1.691541303380695</v>
      </c>
      <c r="AR5" s="3">
        <f t="shared" si="25"/>
        <v>0.18119453090344234</v>
      </c>
      <c r="AS5" s="3">
        <f t="shared" si="26"/>
        <v>0.14744622881143349</v>
      </c>
      <c r="AT5" s="3">
        <f t="shared" si="27"/>
        <v>0.30007750132709543</v>
      </c>
      <c r="AU5" s="80">
        <f t="shared" si="28"/>
        <v>0.25086064282545295</v>
      </c>
      <c r="AW5" s="44">
        <f t="shared" si="29"/>
        <v>0.21034565819583284</v>
      </c>
      <c r="AX5" s="3">
        <f t="shared" si="30"/>
        <v>6.2899429384399352E-2</v>
      </c>
      <c r="AY5" s="35">
        <f t="shared" si="31"/>
        <v>8.973184313126259E-2</v>
      </c>
      <c r="BA5" s="2" t="s">
        <v>284</v>
      </c>
      <c r="BB5" s="3">
        <f>CES_CI_Upper_limit-'Forest Plot'!$B$16</f>
        <v>0.87364214712859967</v>
      </c>
      <c r="BD5" s="140"/>
      <c r="BE5" s="134"/>
      <c r="BF5" s="3">
        <f t="shared" si="32"/>
        <v>-1.5590031100151438</v>
      </c>
      <c r="BG5" s="3">
        <f t="shared" si="33"/>
        <v>0.18119453090344234</v>
      </c>
      <c r="BH5" s="3">
        <f t="shared" si="34"/>
        <v>30.458592460529751</v>
      </c>
      <c r="BI5" s="3">
        <f t="shared" si="99"/>
        <v>1.691541303380695</v>
      </c>
      <c r="BJ5" s="35">
        <f t="shared" si="35"/>
        <v>-0.47927248134815925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0.19336795538789087</v>
      </c>
      <c r="BO5" s="123"/>
      <c r="BP5" s="3">
        <f t="shared" si="36"/>
        <v>11.239542366821594</v>
      </c>
      <c r="BQ5" s="3">
        <f t="shared" si="37"/>
        <v>53.433678941723272</v>
      </c>
      <c r="BR5" s="3">
        <f t="shared" si="38"/>
        <v>2.258356385467907</v>
      </c>
      <c r="BS5" s="3">
        <f>IF(AND(Sufficient_data="Yes",Include_study?="Yes"),IF(Add_0_5="Yes",(a_+d_+1)*(ab_+0.5)*(c_+0.5)/(Number_of_subjects+2)^2,(a_+d_)*b_*c_/Number_of_subjects^2),"")</f>
        <v>10.736405994010898</v>
      </c>
      <c r="BT5" s="3">
        <f t="shared" si="39"/>
        <v>8.9811859813536881</v>
      </c>
      <c r="BU5" s="3">
        <f t="shared" si="40"/>
        <v>42.697272947712378</v>
      </c>
      <c r="BV5" s="3">
        <f t="shared" si="41"/>
        <v>53.433678941723272</v>
      </c>
      <c r="BW5" s="3">
        <f t="shared" si="42"/>
        <v>14.074877000843252</v>
      </c>
      <c r="BX5" s="3">
        <f t="shared" si="43"/>
        <v>2.3726842338926128</v>
      </c>
      <c r="BY5" s="35">
        <f t="shared" si="44"/>
        <v>-0.48264445325175021</v>
      </c>
      <c r="CA5" s="3" t="s">
        <v>285</v>
      </c>
      <c r="CB5" s="3">
        <f>lnCES_OddsRatio_MH-ABS(TINV((1-Confidence_level),k_-1))*SElnCES_MH</f>
        <v>-2.3482330043008197</v>
      </c>
      <c r="CD5" s="123"/>
      <c r="CE5" s="76">
        <f t="shared" si="45"/>
        <v>105.19413657490168</v>
      </c>
      <c r="CF5" s="3">
        <f t="shared" si="46"/>
        <v>20.361391243346279</v>
      </c>
      <c r="CG5" s="3">
        <f t="shared" si="47"/>
        <v>-2.0722619623887404</v>
      </c>
      <c r="CH5" s="3">
        <f t="shared" si="48"/>
        <v>4.911255758747729E-2</v>
      </c>
      <c r="CI5" s="3">
        <f t="shared" si="49"/>
        <v>20.361391243346279</v>
      </c>
      <c r="CJ5" s="3">
        <f t="shared" si="50"/>
        <v>0.70197472484292944</v>
      </c>
      <c r="CK5" s="35">
        <f t="shared" si="51"/>
        <v>-0.52662243550338417</v>
      </c>
      <c r="CM5" s="3" t="s">
        <v>285</v>
      </c>
      <c r="CN5" s="3">
        <f>lnCES_PetoOddsRatio-ABS(TINV((1-Confidence_level),k_-1))*SElnCES_Peto</f>
        <v>-3.80351577633895</v>
      </c>
      <c r="CP5" s="123"/>
      <c r="CQ5" s="52">
        <f t="shared" si="52"/>
        <v>0.12147887323943662</v>
      </c>
      <c r="CS5" s="2" t="s">
        <v>93</v>
      </c>
      <c r="CT5" s="3">
        <f>IF(Weighting_method="Inverse variance",IF(Model_effect_size_measure="Odds Ratio",CICES_UL,""),"")</f>
        <v>1.2133291623947553</v>
      </c>
      <c r="CU5" s="3">
        <f>IF(Model_effect_size_measure="Odds Ratio",CICES_UL_MH,"")</f>
        <v>1.2159378727788888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40"/>
      <c r="FS5" s="134"/>
      <c r="FT5" s="76">
        <f>IF(AND(Include_study?="Yes",Sufficient_data="Yes"),IF(Additional_weighting_method="Inverse Variance",1/'Publication Bias Analysis'!F:F^2,IF(Additional_weighting_method="Mantel-Haenszel",Weightf_MH,Weightf_Peto)),"")</f>
        <v>30.458592460529751</v>
      </c>
      <c r="FU5" s="3">
        <f>IF(AND(Include_study?="Yes",Sufficient_data="Yes"),1/('Publication Bias Analysis'!F:F^2+IF(Additional_model="Fixed effect",0,Calculations!GH$12)),"")</f>
        <v>30.458592460529751</v>
      </c>
      <c r="FV5" s="3">
        <f>IF(AND(Include_study?="Yes",Sufficient_data="Yes"),1/('Publication Bias Analysis'!F:F^2+IF(Additional_model="Fixed effect",0,'Publication Bias Analysis'!L$32)),"")</f>
        <v>30.458592460529751</v>
      </c>
      <c r="FW5" s="3">
        <f>IF(AND(Include_study?="Yes",Sufficient_data="Yes"),'Publication Bias Analysis'!E:E-'Publication Bias Analysis'!I$37,"")</f>
        <v>-0.59488228924556419</v>
      </c>
      <c r="FX5" s="3">
        <f>IF(AND(Include_study?="Yes",Sufficient_data="Yes"),IF(Additional_model="Fixed effect",1/'Publication Bias Analysis'!F:F,1/SQRT('Publication Bias Analysis'!F:F^2+GH$12)),"")</f>
        <v>5.5189303728648138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-8.6040296152532818</v>
      </c>
      <c r="FZ5" s="6">
        <f t="shared" si="80"/>
        <v>2</v>
      </c>
      <c r="GA5" s="83">
        <f>IF(AND(Include_study?="Yes",Sufficient_data="Yes"),FZ:FZ+IF(GL:GL&lt;0,-1,1)*COUNTIF(FZ$2:FZ4,FZ:FZ),"")</f>
        <v>2</v>
      </c>
      <c r="GB5" s="83">
        <f>IF(AND(Include_study?="Yes",Sufficient_data="Yes"),RANK(GP:GP,GP:GP,1)*IF(GO:GO&lt;0,-1,1)+IF(GO:GO&lt;0,-1,1)*COUNTIF(FZ$2:FZ4,FZ:FZ),"")</f>
        <v>2</v>
      </c>
      <c r="GC5" s="83">
        <f>IF(AND(Include_study?="Yes",Sufficient_data="Yes"),RANK(GS:GS,GS:GS,1)*IF(GR:GR&lt;0,-1,1)+IF(GR:GR&lt;0,-1,1)*COUNTIF(FZ$2:FZ4,FZ:FZ),"")</f>
        <v>2</v>
      </c>
      <c r="GD5" s="3">
        <f>IF(AND(Include_study?="Yes",Sufficient_data="Yes"),'Publication Bias Analysis'!E5,NA())</f>
        <v>-1.5590031100151438</v>
      </c>
      <c r="GE5" s="35">
        <f>IF(AND(Include_study?="Yes",Sufficient_data="Yes"),'Publication Bias Analysis'!F5,NA())</f>
        <v>0.18119453090344234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-0.10765461251838293</v>
      </c>
      <c r="GI5" s="3">
        <f>IF(Trim_and_fill="Off",GH17,GH22)</f>
        <v>0.26912196659193743</v>
      </c>
      <c r="GK5" s="123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0.59488228924556419</v>
      </c>
      <c r="GM5" s="3">
        <f t="shared" si="81"/>
        <v>0.59488228924556419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30.458592460529751</v>
      </c>
      <c r="GO5" s="3">
        <f>IF(AND(Include_study?="Yes",Sufficient_data="Yes"),IF('Publication Bias Analysis'!L$38="Left",'Publication Bias Analysis'!E:E-GW$3,GW$3-'Publication Bias Analysis'!E:E),"")</f>
        <v>0.59488228924556419</v>
      </c>
      <c r="GP5" s="3">
        <f t="shared" si="82"/>
        <v>0.59488228924556419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30.458592460529751</v>
      </c>
      <c r="GR5" s="3">
        <f>IF(AND(Include_study?="Yes",Sufficient_data="Yes"),IF('Publication Bias Analysis'!L$38="Left",'Publication Bias Analysis'!E:E-GW$10,GW$10-'Publication Bias Analysis'!E:E),"")</f>
        <v>0.59488228924556419</v>
      </c>
      <c r="GS5" s="3">
        <f t="shared" si="83"/>
        <v>0.59488228924556419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30.458592460529751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52.833486630507949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3"/>
      <c r="HL5" s="3">
        <f t="shared" si="89"/>
        <v>5.7743951118348846E-2</v>
      </c>
      <c r="HM5" s="35">
        <f>IF(AND(Include_study?="Yes",Sufficient_data="Yes"),Z_score-('Publication Bias Analysis'!P$3+'Publication Bias Analysis'!P$4*Inverse_standard_error),"")</f>
        <v>-3.2348970803101054</v>
      </c>
      <c r="HO5" s="123"/>
      <c r="HP5" s="3">
        <f>IF(AND(Include_study?="Yes",Sufficient_data="Yes"),(GD:GD-SUMPRODUCT(Calculations!FT:FT,'Publication Bias Analysis'!E:E)/SUM(Calculations!FT:FT))/SQRT(Calculations!HQ:HQ),"")</f>
        <v>-3.7965284316256627</v>
      </c>
      <c r="HQ5" s="3">
        <f>IF(AND(Include_study?="Yes",Sufficient_data="Yes"),GE:GE^2-1/SUM(Calculations!FT:FT),"")</f>
        <v>2.4552106854268632E-2</v>
      </c>
      <c r="HR5" s="6">
        <f t="shared" si="90"/>
        <v>3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0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3</v>
      </c>
      <c r="HW5" s="123"/>
      <c r="HX5" s="20">
        <v>4</v>
      </c>
      <c r="HY5" s="3">
        <f t="shared" si="123"/>
        <v>-1.7999999999999998</v>
      </c>
      <c r="HZ5" s="35">
        <f>HZ6-HY14</f>
        <v>-0.6</v>
      </c>
      <c r="IB5" s="123"/>
      <c r="IC5" s="76">
        <f t="shared" si="92"/>
        <v>2.826379542395693E-2</v>
      </c>
      <c r="ID5" s="3">
        <f t="shared" si="93"/>
        <v>0.12147887323943662</v>
      </c>
      <c r="IE5" s="3">
        <f t="shared" si="94"/>
        <v>35.515683984968149</v>
      </c>
      <c r="IF5" s="35">
        <f t="shared" si="95"/>
        <v>30.458592460529751</v>
      </c>
      <c r="IH5" s="121" t="s">
        <v>287</v>
      </c>
      <c r="II5" s="121"/>
      <c r="IK5" s="123"/>
      <c r="IL5" s="3">
        <f>IF(AND(Include_study?="Yes",Sufficient_data="Yes"),'Publication Bias Analysis'!AV:AV,NA())</f>
        <v>-8.6040296152532818</v>
      </c>
      <c r="IM5" s="3">
        <f>IF(AND(Sufficient_data="Yes",Include_study?="Yes"),'Publication Bias Analysis'!AU:AU,NA())</f>
        <v>5.5189303728648138</v>
      </c>
      <c r="IN5" s="3">
        <f t="shared" si="96"/>
        <v>5.7743951118348846E-2</v>
      </c>
      <c r="IO5" s="35">
        <f>IF(AND(Include_study?="Yes",Sufficient_data="Yes"),Z_score-('Publication Bias Analysis'!AY$30+'Publication Bias Analysis'!AY$31*Inverse_standard_error),"")</f>
        <v>-3.2831139343966953</v>
      </c>
      <c r="IQ5" s="24" t="s">
        <v>243</v>
      </c>
      <c r="IR5" s="2" t="s">
        <v>240</v>
      </c>
      <c r="IS5" s="2" t="s">
        <v>241</v>
      </c>
      <c r="IU5" s="123"/>
      <c r="IV5" s="6">
        <f>IF('Publication Bias Analysis'!BG:BG&lt;&gt;"",RANK('Publication Bias Analysis'!BG:BG,'Publication Bias Analysis'!BG:BG,1)+COUNTIF('Publication Bias Analysis'!BG$2:BG4,'Publication Bias Analysis'!BG5),"")</f>
        <v>2</v>
      </c>
      <c r="IW5" s="3">
        <f t="shared" si="97"/>
        <v>0.38461538461538464</v>
      </c>
      <c r="IX5" s="3">
        <f>IF('Publication Bias Analysis'!BF5&lt;&gt;"",'Publication Bias Analysis'!BF5,NA())</f>
        <v>-0.29338123212119332</v>
      </c>
      <c r="IY5" s="3">
        <f>IF('Publication Bias Analysis'!BG5&lt;&gt;"",'Publication Bias Analysis'!BG5,NA())</f>
        <v>-8.6040296152532818</v>
      </c>
      <c r="IZ5" s="3">
        <f>IF(AND(Include_study?="Yes",Sufficient_data="Yes"),'Publication Bias Analysis'!BF:BF-AVERAGE('Publication Bias Analysis'!BF:BF),"")</f>
        <v>-0.29338123212119332</v>
      </c>
      <c r="JA5" s="35">
        <f>IF(AND(Include_study?="Yes",Sufficient_data="Yes"),'Publication Bias Analysis'!BG:BG-('Publication Bias Analysis'!BJ$30+'Publication Bias Analysis'!BJ$31*'Publication Bias Analysis'!BF:BF),"")</f>
        <v>-1.8556134104516024</v>
      </c>
      <c r="JC5" s="24" t="s">
        <v>288</v>
      </c>
      <c r="JD5" s="2" t="s">
        <v>240</v>
      </c>
      <c r="JE5" s="2" t="s">
        <v>241</v>
      </c>
      <c r="JG5" s="123"/>
      <c r="JH5" s="3">
        <f t="shared" si="98"/>
        <v>-8.6040296152532818</v>
      </c>
      <c r="JI5" s="10">
        <f t="shared" si="124"/>
        <v>0</v>
      </c>
      <c r="JJ5" s="35">
        <f t="shared" si="125"/>
        <v>-704.59103845617801</v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34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3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3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3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0.31679753462759774</v>
      </c>
      <c r="BD6" s="140"/>
      <c r="BE6" s="134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-3.7770778347220837</v>
      </c>
      <c r="BO6" s="123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0.1955156907740323</v>
      </c>
      <c r="CD6" s="123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0.71223672256823756</v>
      </c>
      <c r="CP6" s="123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2.2889480638557884E-2</v>
      </c>
      <c r="CU6" s="3">
        <f>IF(Model_effect_size_measure="Odds Ratio",PICES_LL_MH,"")</f>
        <v>3.2290211218838794E-2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40"/>
      <c r="FS6" s="134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23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0.54714113668160669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3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3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3"/>
      <c r="HX6" s="20">
        <v>5</v>
      </c>
      <c r="HY6" s="3">
        <f t="shared" si="123"/>
        <v>-0.6</v>
      </c>
      <c r="HZ6" s="35">
        <f>1/2*HY14</f>
        <v>0.6</v>
      </c>
      <c r="IB6" s="123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3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-3.1824463052837078</v>
      </c>
      <c r="IU6" s="123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-1.020076232786199</v>
      </c>
      <c r="JE6" s="3">
        <f>'Publication Bias Analysis'!BJ30</f>
        <v>-5.5864676954085812</v>
      </c>
      <c r="JG6" s="123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0"/>
      <c r="I7" s="134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3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3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3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4.7013739927349087</v>
      </c>
      <c r="BD7" s="140"/>
      <c r="BE7" s="134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1.6176165773881148</v>
      </c>
      <c r="BO7" s="123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-3.4329911529252399</v>
      </c>
      <c r="CD7" s="123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-5.9077965876513359</v>
      </c>
      <c r="CP7" s="123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5.0410610080010647</v>
      </c>
      <c r="CU7" s="3">
        <f>IF(Model_effect_size_measure="Odds Ratio",PICES_UL_MH,"")</f>
        <v>3.5976247620929325</v>
      </c>
      <c r="CV7" s="3" t="str">
        <f>IF(Model_effect_size_measure="Peto Odds Ratio",PICES_UL_Peto,"")</f>
        <v/>
      </c>
      <c r="CX7" s="14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4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-0.96412082076957961</v>
      </c>
      <c r="GI7" s="3">
        <v>0</v>
      </c>
      <c r="GK7" s="123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3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3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3"/>
      <c r="HX7" s="20">
        <v>6</v>
      </c>
      <c r="HY7" s="3">
        <f t="shared" si="123"/>
        <v>0.6</v>
      </c>
      <c r="HZ7" s="35">
        <f>HZ6+HY14</f>
        <v>1.7999999999999998</v>
      </c>
      <c r="IB7" s="123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0.12147887323943662</v>
      </c>
      <c r="II7" s="3">
        <f>EXP(SUMPRODUCT(LogRiskRatio,IE:IE)/SUM(IE:IE))*MAX('Publication Bias Analysis'!AH:AH)</f>
        <v>4.7649297993551269E-2</v>
      </c>
      <c r="IK7" s="123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6.0565660940510666</v>
      </c>
      <c r="IS7" s="3">
        <f>IR7*'Publication Bias Analysis'!AY31+IS6</f>
        <v>-9.0217077789254283</v>
      </c>
      <c r="IU7" s="123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1.020076232786199</v>
      </c>
      <c r="JE7" s="3">
        <f>'Publication Bias Analysis'!BJ30</f>
        <v>-5.5864676954085812</v>
      </c>
      <c r="JG7" s="123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34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3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3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3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0.25324675849511752</v>
      </c>
      <c r="BD8" s="140"/>
      <c r="BE8" s="134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3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1.280273839398453</v>
      </c>
      <c r="CD8" s="123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2.8165175338806234</v>
      </c>
      <c r="CP8" s="123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40"/>
      <c r="FS8" s="134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-0.96412082076957961</v>
      </c>
      <c r="GI8" s="3">
        <f>IF(Trim_and_fill="Off",GH17,GH22)</f>
        <v>0.26912196659193743</v>
      </c>
      <c r="GK8" s="123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3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3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3"/>
      <c r="HX8" s="20">
        <v>7</v>
      </c>
      <c r="HY8" s="3">
        <f t="shared" si="123"/>
        <v>1.7999999999999998</v>
      </c>
      <c r="HZ8" s="35">
        <f>HZ7+HY14</f>
        <v>3</v>
      </c>
      <c r="IB8" s="123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3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23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3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4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4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0.33968701526615563</v>
      </c>
      <c r="BO9" s="12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3"/>
      <c r="CQ9" s="52" t="str">
        <f t="shared" si="52"/>
        <v/>
      </c>
      <c r="CS9" s="121" t="s">
        <v>147</v>
      </c>
      <c r="CT9" s="121"/>
      <c r="CU9" s="121"/>
      <c r="CV9" s="121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4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1" t="s">
        <v>100</v>
      </c>
      <c r="GW9" s="121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3"/>
      <c r="HX9" s="20">
        <v>8</v>
      </c>
      <c r="HY9" s="3">
        <f t="shared" si="123"/>
        <v>3</v>
      </c>
      <c r="HZ9" s="35">
        <f>HZ8+HY14</f>
        <v>4.2</v>
      </c>
      <c r="IB9" s="12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3.1824463052837078</v>
      </c>
      <c r="IU9" s="12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0"/>
      <c r="I10" s="134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0"/>
      <c r="BE10" s="134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0.34083436366379699</v>
      </c>
      <c r="CD10" s="12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0.21317549615871059</v>
      </c>
      <c r="CP10" s="123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4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40"/>
      <c r="FS10" s="134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1" t="s">
        <v>54</v>
      </c>
      <c r="GH10" s="121"/>
      <c r="GK10" s="12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-0.96412082076957961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3"/>
      <c r="HX10" s="54">
        <v>9</v>
      </c>
      <c r="HY10" s="32">
        <f t="shared" si="123"/>
        <v>4.2</v>
      </c>
      <c r="HZ10" s="39"/>
      <c r="IB10" s="12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6.0565660940510666</v>
      </c>
      <c r="IS10" s="3">
        <f>IR10*'Publication Bias Analysis'!AY31+IS9</f>
        <v>-2.6568151683580132</v>
      </c>
      <c r="IU10" s="12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0"/>
      <c r="I11" s="134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3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3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3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0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0"/>
      <c r="BE11" s="134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9.5099723897420274E-2</v>
      </c>
      <c r="BO11" s="123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9.5537828087068621E-2</v>
      </c>
      <c r="CD11" s="123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2.2292259322915359E-2</v>
      </c>
      <c r="CP11" s="123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0.34793346300295241</v>
      </c>
      <c r="CU11" s="3">
        <f>IF(Model_effect_size_measure="Odds Ratio",CES_OddsRatio_MH/(1-MEDIAN(Control_group_risk)+(MEDIAN(Control_group_risk)*CES_OddsRatio_MH)),NA())</f>
        <v>0.34909393943199735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40"/>
      <c r="FS11" s="134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52.833486630507949</v>
      </c>
      <c r="GK11" s="123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1" t="s">
        <v>54</v>
      </c>
      <c r="GW11" s="121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3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3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3"/>
      <c r="IB11" s="123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3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3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3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0"/>
      <c r="I12" s="13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3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3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3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0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0"/>
      <c r="BE12" s="13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1.2133291623947553</v>
      </c>
      <c r="BO12" s="123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1.2159378727788888</v>
      </c>
      <c r="CD12" s="123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2.0385458245498889</v>
      </c>
      <c r="CP12" s="123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9.8292298734499878E-2</v>
      </c>
      <c r="CU12" s="3">
        <f>IF(Model_effect_size_measure="Odds Ratio",CICES_LL_MH/(1-MEDIAN(Control_group_risk)+(MEDIAN(Control_group_risk)*CICES_LL_MH)),"")</f>
        <v>9.874350554040405E-2</v>
      </c>
      <c r="CV12" s="3" t="str">
        <f>IF(Model_effect_size_measure="Peto Odds Ratio",CICES_LL_Peto/(1-MEDIAN(Control_group_risk)+(MEDIAN(Control_group_risk)*CICES_LL_Peto)),"")</f>
        <v/>
      </c>
      <c r="CX12" s="140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0.55834535686808395</v>
      </c>
      <c r="GK12" s="123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52.833486630507949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3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3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3"/>
      <c r="HX12" s="142" t="s">
        <v>306</v>
      </c>
      <c r="HY12" s="121"/>
      <c r="IB12" s="123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3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3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3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3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3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3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3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3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2.2889480638557884E-2</v>
      </c>
      <c r="BO13" s="123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3.2290211218838794E-2</v>
      </c>
      <c r="CD13" s="123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2.7181695421734189E-3</v>
      </c>
      <c r="CP13" s="123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1.204109035100126</v>
      </c>
      <c r="CU13" s="3">
        <f>IF(Model_effect_size_measure="Odds Ratio",CICES_UL_MH/(1-MEDIAN(Control_group_risk)+(MEDIAN(Control_group_risk)*CICES_UL_MH)),"")</f>
        <v>1.2065857994762672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3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0.54714113668160669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3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3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3"/>
      <c r="HX13" s="2" t="s">
        <v>309</v>
      </c>
      <c r="HY13" s="3">
        <f>MAX(MAX(Standardized_residual),ABS(MIN(Standardized_residual)))</f>
        <v>4.9564199814304892</v>
      </c>
      <c r="IB13" s="123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3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3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3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5.0410610080010647</v>
      </c>
      <c r="BO14" s="12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3.5976247620929325</v>
      </c>
      <c r="CD14" s="12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16.718527471312946</v>
      </c>
      <c r="CP14" s="123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2.3721446946113185E-2</v>
      </c>
      <c r="CU14" s="3">
        <f>IF(Model_effect_size_measure="Odds Ratio",PICES_LL_MH/(1-MEDIAN(Control_group_risk)+(MEDIAN(Control_group_risk)*PICES_LL_MH)),"")</f>
        <v>3.3452168837655678E-2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1" t="s">
        <v>312</v>
      </c>
      <c r="GH14" s="121"/>
      <c r="GK14" s="12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3"/>
      <c r="HX14" s="2" t="s">
        <v>306</v>
      </c>
      <c r="HY14" s="21">
        <f>ROUND(HY13/4,1)</f>
        <v>1.2</v>
      </c>
      <c r="IB14" s="12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0"/>
      <c r="I15" s="13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0"/>
      <c r="BE15" s="13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3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4.4024829863861408</v>
      </c>
      <c r="CU15" s="3">
        <f>IF(Model_effect_size_measure="Odds Ratio",PICES_UL_MH/(1-MEDIAN(Control_group_risk)+(MEDIAN(Control_group_risk)*PICES_UL_MH)),"")</f>
        <v>3.2907945898002957</v>
      </c>
      <c r="CV15" s="3" t="str">
        <f>IF(Model_effect_size_measure="Peto Odds Ratio",PICES_UL_Peto/(1-MEDIAN(Control_group_risk)+(MEDIAN(Control_group_risk)*PICES_UL_Peto)),"")</f>
        <v/>
      </c>
      <c r="CX15" s="14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0.2895737810440423</v>
      </c>
      <c r="GK15" s="12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3"/>
      <c r="IB15" s="12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-2.6990720066300753</v>
      </c>
      <c r="BO16" s="12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-2.6932327371875071</v>
      </c>
      <c r="CD16" s="12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-2.178558192827059</v>
      </c>
      <c r="CP16" s="123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1" t="s">
        <v>314</v>
      </c>
      <c r="EY16" s="121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2.3955698528656741</v>
      </c>
      <c r="GK16" s="12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1" t="s">
        <v>100</v>
      </c>
      <c r="GW16" s="121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3"/>
      <c r="IB16" s="12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3"/>
      <c r="CQ17" s="52" t="str">
        <f t="shared" si="52"/>
        <v/>
      </c>
      <c r="CS17" s="121" t="s">
        <v>166</v>
      </c>
      <c r="CT17" s="121"/>
      <c r="CU17" s="121"/>
      <c r="CV17" s="121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0.24669513604260934</v>
      </c>
      <c r="GK17" s="12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-0.96412082076957961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3"/>
      <c r="IB17" s="12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2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1" t="s">
        <v>54</v>
      </c>
      <c r="CB18" s="121"/>
      <c r="CD18" s="12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23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1" t="s">
        <v>54</v>
      </c>
      <c r="GW18" s="121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3"/>
      <c r="IB18" s="12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52.833486630507949</v>
      </c>
      <c r="BO19" s="12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53.704008609088248</v>
      </c>
      <c r="CD19" s="12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98.355349983513477</v>
      </c>
      <c r="CP19" s="123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-2.3405223207255708E-2</v>
      </c>
      <c r="CU19" s="3">
        <f>IF(Model_effect_size_measure="Odds Ratio",CU11*MEDIAN(Control_group_risk)-MEDIAN(Control_group_risk),NA())</f>
        <v>-2.3363569160762782E-2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1" t="s">
        <v>317</v>
      </c>
      <c r="GH19" s="121"/>
      <c r="GK19" s="12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52.833486630507949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3"/>
      <c r="IB19" s="12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0.55834535686808395</v>
      </c>
      <c r="BO20" s="12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0.38863212558433641</v>
      </c>
      <c r="CD20" s="12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1.375440157218252</v>
      </c>
      <c r="CP20" s="123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8.6715816212989023E-3</v>
      </c>
      <c r="CU20" s="3">
        <f>IF(Model_effect_size_measure="Odds Ratio",CU19/Z_value_MH,"")</f>
        <v>8.674916518785868E-3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0.2895737810440423</v>
      </c>
      <c r="GK20" s="12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0.54714113668160669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3"/>
      <c r="IB20" s="12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3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-5.1002066098924506E-2</v>
      </c>
      <c r="CU21" s="3">
        <f>IF(Model_effect_size_measure="Odds Ratio",CU19-CU20*ABS(TINV((1-Confidence_level),k_-1)),"")</f>
        <v>-5.097102518461747E-2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2.3955698528656741</v>
      </c>
      <c r="GK21" s="12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3"/>
      <c r="IB21" s="12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3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4.1916196844130893E-3</v>
      </c>
      <c r="CU22" s="3">
        <f>IF(Model_effect_size_measure="Odds Ratio",CU19+CU20*ABS(TINV((1-Confidence_level),k_-1)),"")</f>
        <v>4.2438868630919058E-3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0.26912196659193743</v>
      </c>
      <c r="GK22" s="12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3"/>
      <c r="IB22" s="12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3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-8.187537469599207E-2</v>
      </c>
      <c r="CU23" s="3">
        <f>IF(Model_effect_size_measure="Odds Ratio",CU19-((lnCES_OddsRatio_MH-PIlnCES_LL_MH)/SElnCES_MH)*CU20,"")</f>
        <v>-7.4516914715804433E-2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1" t="s">
        <v>322</v>
      </c>
      <c r="EY23" s="121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3"/>
      <c r="IB23" s="12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3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3.506492828148066E-2</v>
      </c>
      <c r="CU24" s="3">
        <f>IF(Model_effect_size_measure="Odds Ratio",CU19+((lnCES_OddsRatio_MH-PIlnCES_LL_MH)/SElnCES_MH)*CU20,"")</f>
        <v>2.7789776394278865E-2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3"/>
      <c r="IB24" s="12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3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3"/>
      <c r="IB25" s="12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3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3"/>
      <c r="IB26" s="12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3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3"/>
      <c r="IB27" s="12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3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3"/>
      <c r="IB28" s="12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3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3"/>
      <c r="IB29" s="12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3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3"/>
      <c r="IB30" s="12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3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3"/>
      <c r="IB31" s="12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3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3"/>
      <c r="IB32" s="12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3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1" t="s">
        <v>325</v>
      </c>
      <c r="EY33" s="121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3"/>
      <c r="IB33" s="12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3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3"/>
      <c r="IB34" s="12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3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3"/>
      <c r="IB35" s="12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3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3"/>
      <c r="IB36" s="12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3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1" t="s">
        <v>327</v>
      </c>
      <c r="EY37" s="121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3"/>
      <c r="IB37" s="12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3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3"/>
      <c r="IB38" s="12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3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3"/>
      <c r="IB39" s="12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3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3"/>
      <c r="IB40" s="12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3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1" t="s">
        <v>328</v>
      </c>
      <c r="EY41" s="121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3"/>
      <c r="IB41" s="12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3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3"/>
      <c r="IB42" s="12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3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3"/>
      <c r="IB43" s="12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3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3"/>
      <c r="IB44" s="12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3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3"/>
      <c r="IB45" s="12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3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3"/>
      <c r="IB46" s="12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3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3"/>
      <c r="IB47" s="12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3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3"/>
      <c r="IB48" s="12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3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3"/>
      <c r="IB49" s="12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3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3"/>
      <c r="IB50" s="12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3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3"/>
      <c r="IB51" s="12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3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3"/>
      <c r="IB52" s="12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3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3"/>
      <c r="IB53" s="12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3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3"/>
      <c r="IB54" s="12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3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3"/>
      <c r="IB55" s="12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3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3"/>
      <c r="IB56" s="12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3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3"/>
      <c r="IB57" s="12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3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3"/>
      <c r="IB58" s="12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3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3"/>
      <c r="IB59" s="12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3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3"/>
      <c r="IB60" s="12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3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3"/>
      <c r="IB61" s="12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3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3"/>
      <c r="IB62" s="12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3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3"/>
      <c r="IB63" s="12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3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3"/>
      <c r="IB64" s="12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3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3"/>
      <c r="IB65" s="12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3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3"/>
      <c r="IB66" s="12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3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3"/>
      <c r="IB67" s="12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3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3"/>
      <c r="IB68" s="12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3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3"/>
      <c r="IB69" s="12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3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3"/>
      <c r="IB70" s="12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3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3"/>
      <c r="IB71" s="12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3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3"/>
      <c r="IB72" s="12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3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3"/>
      <c r="IB73" s="12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3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3"/>
      <c r="IB74" s="12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3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3"/>
      <c r="IB75" s="12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3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3"/>
      <c r="IB76" s="12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3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3"/>
      <c r="IB77" s="12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3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3"/>
      <c r="IB78" s="12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3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3"/>
      <c r="IB79" s="12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3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3"/>
      <c r="IB80" s="12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3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3"/>
      <c r="IB81" s="12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3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3"/>
      <c r="IB82" s="12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3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3"/>
      <c r="IB83" s="12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3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3"/>
      <c r="IB84" s="12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3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3"/>
      <c r="IB85" s="12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3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3"/>
      <c r="IB86" s="12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3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3"/>
      <c r="IB87" s="12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3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3"/>
      <c r="IB88" s="12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3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3"/>
      <c r="IB89" s="12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3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3"/>
      <c r="IB90" s="12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3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3"/>
      <c r="IB91" s="12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3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3"/>
      <c r="IB92" s="12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3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3"/>
      <c r="IB93" s="12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3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3"/>
      <c r="IB94" s="12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3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3"/>
      <c r="IB95" s="12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3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3"/>
      <c r="IB96" s="12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3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3"/>
      <c r="IB97" s="12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3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3"/>
      <c r="IB98" s="12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3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3"/>
      <c r="IB99" s="12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3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3"/>
      <c r="IB100" s="12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3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3"/>
      <c r="IB101" s="12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3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3"/>
      <c r="IB102" s="12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3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3"/>
      <c r="IB103" s="12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3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3"/>
      <c r="IB104" s="12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3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3"/>
      <c r="IB105" s="12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3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3"/>
      <c r="IB106" s="12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3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3"/>
      <c r="IB107" s="12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3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3"/>
      <c r="IB108" s="12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3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3"/>
      <c r="IB109" s="12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3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3"/>
      <c r="IB110" s="12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3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3"/>
      <c r="IB111" s="12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3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3"/>
      <c r="IB112" s="12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3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3"/>
      <c r="IB113" s="12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3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3"/>
      <c r="IB114" s="12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3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3"/>
      <c r="IB115" s="12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3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3"/>
      <c r="IB116" s="12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3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3"/>
      <c r="IB117" s="12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3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3"/>
      <c r="IB118" s="12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3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3"/>
      <c r="IB119" s="12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3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3"/>
      <c r="IB120" s="12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3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3"/>
      <c r="IB121" s="12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3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3"/>
      <c r="IB122" s="12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3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3"/>
      <c r="IB123" s="12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3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3"/>
      <c r="IB124" s="12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3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3"/>
      <c r="IB125" s="12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3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3"/>
      <c r="IB126" s="12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3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3"/>
      <c r="IB127" s="12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3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3"/>
      <c r="IB128" s="12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3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3"/>
      <c r="IB129" s="12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3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3"/>
      <c r="IB130" s="12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3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3"/>
      <c r="IB131" s="12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3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3"/>
      <c r="IB132" s="12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3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3"/>
      <c r="IB133" s="12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3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3"/>
      <c r="IB134" s="12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3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3"/>
      <c r="IB135" s="12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3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3"/>
      <c r="IB136" s="12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3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3"/>
      <c r="IB137" s="12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3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3"/>
      <c r="IB138" s="12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3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3"/>
      <c r="IB139" s="12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3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3"/>
      <c r="IB140" s="12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3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3"/>
      <c r="IB141" s="12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3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3"/>
      <c r="IB142" s="12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3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3"/>
      <c r="IB143" s="12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3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3"/>
      <c r="IB144" s="12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3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3"/>
      <c r="IB145" s="12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3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3"/>
      <c r="IB146" s="12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3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3"/>
      <c r="IB147" s="12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3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3"/>
      <c r="IB148" s="12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3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3"/>
      <c r="IB149" s="12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3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3"/>
      <c r="IB150" s="12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3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3"/>
      <c r="IB151" s="12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3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3"/>
      <c r="IB152" s="12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3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3"/>
      <c r="IB153" s="12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3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3"/>
      <c r="IB154" s="12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3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3"/>
      <c r="IB155" s="12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3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3"/>
      <c r="IB156" s="12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3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3"/>
      <c r="IB157" s="12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3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3"/>
      <c r="IB158" s="12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3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3"/>
      <c r="IB159" s="12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3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3"/>
      <c r="IB160" s="12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3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3"/>
      <c r="IB161" s="12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3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3"/>
      <c r="IB162" s="12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3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3"/>
      <c r="IB163" s="12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3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3"/>
      <c r="IB164" s="12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3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3"/>
      <c r="IB165" s="12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3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3"/>
      <c r="IB166" s="12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3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3"/>
      <c r="IB167" s="12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3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3"/>
      <c r="IB168" s="12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3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3"/>
      <c r="IB169" s="12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3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3"/>
      <c r="IB170" s="12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3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3"/>
      <c r="IB171" s="12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3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3"/>
      <c r="IB172" s="12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3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3"/>
      <c r="IB173" s="12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3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3"/>
      <c r="IB174" s="12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3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3"/>
      <c r="IB175" s="12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3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3"/>
      <c r="IB176" s="12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3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3"/>
      <c r="IB177" s="12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3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3"/>
      <c r="IB178" s="12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3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3"/>
      <c r="IB179" s="12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3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3"/>
      <c r="IB180" s="12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3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3"/>
      <c r="IB181" s="12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3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3"/>
      <c r="IB182" s="12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3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3"/>
      <c r="IB183" s="12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3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3"/>
      <c r="IB184" s="12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3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3"/>
      <c r="IB185" s="12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3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3"/>
      <c r="IB186" s="12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3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3"/>
      <c r="IB187" s="12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3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3"/>
      <c r="IB188" s="12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3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3"/>
      <c r="IB189" s="12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3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3"/>
      <c r="IB190" s="12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3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3"/>
      <c r="IB191" s="12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3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3"/>
      <c r="IB192" s="12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3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3"/>
      <c r="IB193" s="12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3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3"/>
      <c r="IB194" s="12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3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3"/>
      <c r="IB195" s="12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3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3"/>
      <c r="IB196" s="12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3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3"/>
      <c r="IB197" s="12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3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3"/>
      <c r="IB198" s="12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3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3"/>
      <c r="IB199" s="12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3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3"/>
      <c r="IB200" s="12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4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4"/>
      <c r="IB201" s="12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2023-07-06T17:35:03Z</dcterms:modified>
  <cp:category/>
  <cp:contentStatus/>
</cp:coreProperties>
</file>