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B4" i="8" l="1"/>
  <c r="J2" i="1"/>
  <c r="A2" i="1" s="1"/>
  <c r="J3" i="1"/>
  <c r="B3" i="2" s="1"/>
  <c r="B4" i="2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M3" i="2" l="1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59" i="2" l="1"/>
  <c r="IW59" i="2" s="1"/>
  <c r="AY64" i="2"/>
  <c r="BI178" i="2"/>
  <c r="BY199" i="2"/>
  <c r="BY71" i="2"/>
  <c r="DR200" i="2"/>
  <c r="AX147" i="2"/>
  <c r="CJ116" i="2"/>
  <c r="CJ103" i="2"/>
  <c r="IV96" i="2"/>
  <c r="IW96" i="2" s="1"/>
  <c r="AX72" i="2"/>
  <c r="CK167" i="2"/>
  <c r="AX64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L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DU93" i="2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X200" i="2" l="1"/>
  <c r="DY200" i="2" s="1"/>
  <c r="ER23" i="2"/>
  <c r="EJ81" i="2"/>
  <c r="EB37" i="2"/>
  <c r="EB149" i="2"/>
  <c r="EB68" i="2"/>
  <c r="EN191" i="2"/>
  <c r="EF113" i="2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<sst xmlns="http://schemas.openxmlformats.org/spreadsheetml/2006/main" count="841" uniqueCount="335">
  <si>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</si>
  <si>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</si>
  <si>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</si>
  <si>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</si>
  <si>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</si>
  <si>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</si>
  <si>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</si>
  <si>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</si>
  <si>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</si>
  <si>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</si>
  <si>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</si>
  <si>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</si>
  <si>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</si>
  <si>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</si>
  <si>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</si>
  <si>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</si>
  <si>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</si>
  <si>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</si>
  <si>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</si>
  <si>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</si>
  <si>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</si>
  <si>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</si>
  <si>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</si>
  <si>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</si>
  <si>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</si>
  <si>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</si>
  <si>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</si>
  <si>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</si>
  <si>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</si>
  <si>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</si>
  <si>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</si>
  <si>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</si>
  <si>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</si>
  <si>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</si>
  <si>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</si>
  <si>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</si>
  <si>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</si>
  <si>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</si>
  <si>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</si>
  <si>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</si>
  <si>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</si>
  <si>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</si>
  <si>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</si>
  <si>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</si>
  <si>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</si>
  <si>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</si>
  <si>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</si>
  <si>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</si>
  <si>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</si>
  <si>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</si>
  <si>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</si>
  <si>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</si>
  <si>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</si>
  <si>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</si>
  <si>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</si>
  <si>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</si>
  <si>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</si>
  <si>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</si>
  <si>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</si>
  <si>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</si>
  <si>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</si>
  <si>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</si>
  <si>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</si>
  <si>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</si>
  <si>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</si>
  <si>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</si>
  <si>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</si>
  <si>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</si>
  <si>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</si>
  <si>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</si>
  <si>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</si>
  <si>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</si>
  <si>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</si>
  <si>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</si>
  <si>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</si>
  <si>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</si>
  <si>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</si>
  <si>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</si>
  <si>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</si>
  <si>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</si>
  <si>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</si>
  <si>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</si>
  <si>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</si>
  <si>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</si>
  <si>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</si>
  <si>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</si>
  <si>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</si>
  <si>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</si>
  <si>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</si>
  <si>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</si>
  <si>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</si>
  <si>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</si>
  <si>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</si>
  <si>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</si>
  <si>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</si>
  <si>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</si>
  <si>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</si>
  <si>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</si>
  <si>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</si>
  <si>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</si>
  <si>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</si>
  <si>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</si>
  <si>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</si>
  <si>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</si>
  <si>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</si>
  <si>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</si>
  <si>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</si>
  <si>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</si>
  <si>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</si>
  <si>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</si>
  <si>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</si>
  <si>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</si>
  <si>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</si>
  <si>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</si>
  <si>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</si>
  <si>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</si>
  <si>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</si>
  <si>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</si>
  <si>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</si>
  <si>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</si>
  <si>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</si>
  <si>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</si>
  <si>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</si>
  <si>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</si>
  <si>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</si>
  <si>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</si>
  <si>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</si>
  <si>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</si>
  <si>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</si>
  <si>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</si>
  <si>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</si>
  <si>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</si>
  <si>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</si>
  <si>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</si>
  <si>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</si>
  <si>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</si>
  <si>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</si>
  <si>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</si>
  <si>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</si>
  <si>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</si>
  <si>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</si>
  <si>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</si>
  <si>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</si>
  <si>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</si>
  <si>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</si>
  <si>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</si>
  <si>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</si>
  <si>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</si>
  <si>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</si>
  <si>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</si>
  <si>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</si>
  <si>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</si>
  <si>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</si>
  <si>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</si>
  <si>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</si>
  <si>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</si>
  <si>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</si>
  <si>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</si>
  <si>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</si>
  <si>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</si>
  <si>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</si>
  <si>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</si>
  <si>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</si>
  <si>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</si>
  <si>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</si>
  <si>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</si>
  <si>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</si>
  <si>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</si>
  <si>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</si>
  <si>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</si>
  <si>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</si>
  <si>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</si>
  <si>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</si>
  <si>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</si>
  <si>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</si>
  <si>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</si>
  <si>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</si>
  <si>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</si>
  <si>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</si>
  <si>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</si>
  <si>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</si>
  <si>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</si>
  <si>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</si>
  <si>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</si>
  <si>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</si>
  <si>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</si>
  <si>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</si>
  <si>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</si>
  <si>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</si>
  <si>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</si>
  <si>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</si>
  <si>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</si>
  <si>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</si>
  <si>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</si>
  <si>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</si>
  <si>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</si>
  <si>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</si>
  <si>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</si>
  <si>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</si>
  <si>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</si>
  <si>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</si>
  <si>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</si>
  <si>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</si>
  <si>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</si>
  <si>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</si>
  <si>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</si>
  <si>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</si>
  <si>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</si>
  <si>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</si>
  <si>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</si>
  <si>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</si>
  <si>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</si>
  <si>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</si>
  <si>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</si>
  <si>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</si>
  <si>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</si>
  <si>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</si>
  <si>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</si>
  <si>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</si>
  <si>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</si>
  <si>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</si>
  <si>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</si>
  <si>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</si>
  <si>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</si>
  <si>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</si>
  <si>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</si>
  <si>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</si>
  <si>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</si>
  <si>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</si>
  <si>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</si>
  <si>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</si>
  <si>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</si>
  <si>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</si>
  <si>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</si>
  <si>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</si>
  <si>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</si>
  <si>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</si>
  <si>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</si>
  <si>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</si>
  <si>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</si>
  <si>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</si>
  <si>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</si>
  <si>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</si>
  <si>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</si>
  <si>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</si>
  <si>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</si>
  <si>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</si>
  <si>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</si>
  <si>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</si>
  <si>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</si>
  <si>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</si>
  <si>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</si>
  <si>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</si>
  <si>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</si>
  <si>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</si>
  <si>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</si>
  <si>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</si>
  <si>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</si>
  <si>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</si>
  <si>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</si>
  <si>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</si>
  <si>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</si>
  <si>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</si>
  <si>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</si>
  <si>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</si>
  <si>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</si>
  <si>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</si>
  <si>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</si>
  <si>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</si>
  <si>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</si>
  <si>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</si>
  <si>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</si>
  <si>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</si>
  <si>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</si>
  <si>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</si>
  <si>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</si>
  <si>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</si>
  <si>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</si>
  <si>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</si>
  <si>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</si>
  <si>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</si>
  <si>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</si>
  <si>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</si>
  <si>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</si>
  <si>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</si>
  <si>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</si>
  <si>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</si>
  <si>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</si>
  <si>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</si>
  <si>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</si>
  <si>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</si>
  <si>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</si>
  <si>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</si>
  <si>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</si>
  <si>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</si>
  <si>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</si>
  <si>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</si>
  <si>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</si>
  <si>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</si>
  <si>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</si>
  <si>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</si>
  <si>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</si>
  <si>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</si>
  <si>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</si>
  <si>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</si>
  <si>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</si>
  <si>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</si>
  <si>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</si>
  <si>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</si>
  <si>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</si>
  <si>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</si>
  <si>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</si>
  <si>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</si>
  <si>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</si>
  <si>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</si>
  <si>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</si>
  <si>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</si>
  <si>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</si>
  <si>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</si>
  <si>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</si>
  <si>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</si>
  <si>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</si>
  <si>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</si>
  <si>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</si>
  <si>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</si>
  <si>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</si>
  <si>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</si>
  <si>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</si>
  <si>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</si>
  <si>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</si>
  <si>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</si>
  <si>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</si>
  <si>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</si>
  <si>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Law et al.</t>
  </si>
  <si>
    <t>Lubis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</si>
</sst>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0.29804609066307242</c:v>
                </c:pt>
                <c:pt idx="1">
                  <c:v>0.27887136372948795</c:v>
                </c:pt>
                <c:pt idx="2">
                  <c:v>0.42308254560743963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0.41241163024788074</c:v>
                  </c:pt>
                  <c:pt idx="1">
                    <c:v>0.44771816829681543</c:v>
                  </c:pt>
                  <c:pt idx="2">
                    <c:v>0.31750860447217333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0.27573646208051894</c:v>
                  </c:pt>
                  <c:pt idx="1">
                    <c:v>0.29526143483296396</c:v>
                  </c:pt>
                  <c:pt idx="2">
                    <c:v>0.22650384065715523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0.83202329560085742</c:v>
                </c:pt>
                <c:pt idx="1">
                  <c:v>0.86709131022703034</c:v>
                </c:pt>
                <c:pt idx="2">
                  <c:v>0.79025443657898586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0.29804609066307242</c:v>
                </c:pt>
                <c:pt idx="1">
                  <c:v>0.27887136372948795</c:v>
                </c:pt>
                <c:pt idx="2">
                  <c:v>0.42308254560743963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0.10269476733051741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9.1308350342417355E-2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0.82351540467450901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0.42308254560743963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0.10269476733051741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9.1308350342417355E-2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0.82351540467450901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0.42308254560743963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0.41241163024788074</c:v>
                  </c:pt>
                  <c:pt idx="1">
                    <c:v>0.44771816829681543</c:v>
                  </c:pt>
                  <c:pt idx="2">
                    <c:v>0.31750860447217333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0.27573646208051894</c:v>
                  </c:pt>
                  <c:pt idx="1">
                    <c:v>0.29526143483296396</c:v>
                  </c:pt>
                  <c:pt idx="2">
                    <c:v>0.22650384065715523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0.83202329560085742</c:v>
                </c:pt>
                <c:pt idx="1">
                  <c:v>0.86709131022703034</c:v>
                </c:pt>
                <c:pt idx="2">
                  <c:v>0.79025443657898586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0.29804609066307242</c:v>
                </c:pt>
                <c:pt idx="1">
                  <c:v>0.27887136372948795</c:v>
                </c:pt>
                <c:pt idx="2">
                  <c:v>0.42308254560743963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0.10269476733051741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9.1308350342417355E-2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0.82351540467450901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0.42308254560743963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0.10269476733051741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9.1308350342417355E-2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0.82351540467450901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0.42308254560743963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4.779437609841828E-2</c:v>
                </c:pt>
                <c:pt idx="1">
                  <c:v>6.8005354752342706E-2</c:v>
                </c:pt>
                <c:pt idx="2">
                  <c:v>1.1755725190839695E-2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4.0087873462214409E-2</c:v>
                </c:pt>
                <c:pt idx="1">
                  <c:v>5.9504685408299868E-2</c:v>
                </c:pt>
                <c:pt idx="2">
                  <c:v>9.3129770992366415E-3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23.728048072017788</c:v>
                </c:pt>
                <c:pt idx="1">
                  <c:v>22.20150953753911</c:v>
                </c:pt>
                <c:pt idx="2">
                  <c:v>33.682451456655855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5.6448367423059385E-2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5.8036584545143466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-1.1269139077050283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5.8036584545143466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-5.4295666374544904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5.8036584545143466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3.1757388220444334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4.8711444314470684</c:v>
                </c:pt>
                <c:pt idx="1">
                  <c:v>4.7118477837828241</c:v>
                </c:pt>
                <c:pt idx="2">
                  <c:v>5.8036584545143466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-0.89577832112573053</c:v>
                </c:pt>
                <c:pt idx="1">
                  <c:v>-0.67196127858592847</c:v>
                </c:pt>
                <c:pt idx="2">
                  <c:v>-1.3661830211255181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-0.18389483903264639</c:v>
                </c:pt>
                <c:pt idx="1">
                  <c:v>-0.14261099029953303</c:v>
                </c:pt>
                <c:pt idx="2">
                  <c:v>-0.23540031375603082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0.20529056653385463</c:v>
                </c:pt>
                <c:pt idx="1">
                  <c:v>0.21223096455742627</c:v>
                </c:pt>
                <c:pt idx="2">
                  <c:v>0.17230510855134057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-1.2899603899835759</c:v>
                </c:pt>
                <c:pt idx="1">
                  <c:v>-0.1941730231951303</c:v>
                </c:pt>
                <c:pt idx="2">
                  <c:v>0.90161434359331538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-0.1941730231951303</c:v>
                </c:pt>
                <c:pt idx="1">
                  <c:v>-0.1941730231951303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-0.1941730231951303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-0.1941730231951303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-0.1941730231951303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0.48222198161124663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-0.1941730231951303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</c:v>
                </c:pt>
                <c:pt idx="1">
                  <c:v>0.84162123357291341</c:v>
                </c:pt>
                <c:pt idx="2">
                  <c:v>-0.84162123357291452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-0.89577832112573053</c:v>
                </c:pt>
                <c:pt idx="1">
                  <c:v>-0.67196127858592847</c:v>
                </c:pt>
                <c:pt idx="2">
                  <c:v>-1.3661830211255181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-1.3250850782155208</c:v>
                </c:pt>
                <c:pt idx="1">
                  <c:v>-0.630863335675931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-0.97797420694572557</c:v>
                </c:pt>
                <c:pt idx="1">
                  <c:v>-0.97797420694572557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G10" sqref="G10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334</v>
      </c>
      <c r="C2" s="5" t="s">
        <v>12</v>
      </c>
      <c r="D2" s="27">
        <v>45.62</v>
      </c>
      <c r="E2" s="27"/>
      <c r="F2" s="27">
        <v>54.39</v>
      </c>
      <c r="G2" s="27"/>
      <c r="H2" s="27">
        <v>1138</v>
      </c>
      <c r="I2" s="93">
        <v>1138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334</v>
      </c>
      <c r="C3" s="5" t="s">
        <v>12</v>
      </c>
      <c r="D3" s="27">
        <v>44.45</v>
      </c>
      <c r="E3" s="27"/>
      <c r="F3" s="27">
        <v>50.8</v>
      </c>
      <c r="G3" s="27"/>
      <c r="H3" s="27">
        <v>747</v>
      </c>
      <c r="I3" s="27">
        <v>747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333</v>
      </c>
      <c r="C4" s="5" t="s">
        <v>12</v>
      </c>
      <c r="D4" s="27">
        <v>61</v>
      </c>
      <c r="E4" s="27"/>
      <c r="F4" s="27">
        <v>77</v>
      </c>
      <c r="G4" s="27"/>
      <c r="H4" s="27">
        <v>6550</v>
      </c>
      <c r="I4" s="93">
        <v>6550</v>
      </c>
      <c r="J4" s="3" t="s">
        <v>12</v>
      </c>
      <c r="K4" s="5"/>
      <c r="L4" s="27"/>
      <c r="N4" s="2"/>
      <c r="O4" s="3"/>
      <c r="P4" s="3"/>
      <c r="Q4" s="3"/>
      <c r="S4" s="92"/>
      <c r="T4" s="92"/>
    </row>
    <row r="5" spans="1:20" ht="9.5" customHeight="1" x14ac:dyDescent="0.3">
      <c r="A5" s="6"/>
      <c r="B5" s="143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hidden="1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18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18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18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18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18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18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18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18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18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4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19</v>
      </c>
      <c r="B1" s="110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Lubis et al.</v>
      </c>
      <c r="F2" s="4">
        <f>IF(Ranked_number&lt;=COUNT(Entry_number),INDEX(Lookup_table,MATCH(Number,Calculations!AK:AK,0),5),"")</f>
        <v>0.83202329560085742</v>
      </c>
      <c r="G2" s="4">
        <f>IF(Ranked_number&lt;=COUNT(Entry_number),INDEX(Lookup_table,MATCH(Number,Calculations!AK:AK,0),9),"")</f>
        <v>0.55628683352033848</v>
      </c>
      <c r="H2" s="4">
        <f>IF(Ranked_number&lt;=COUNT(Entry_number),INDEX(Lookup_table,MATCH(Number,Calculations!AK:AK,0),10),"")</f>
        <v>1.2444349258487382</v>
      </c>
      <c r="I2" s="8">
        <f>IF(D2&lt;=COUNT(Entry_number),INDEX(Lookup_table,MATCH(Number,Calculations!AK:AK,0),11),"")</f>
        <v>0.29804609066307242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11" t="s">
        <v>27</v>
      </c>
      <c r="O2" s="112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Lubis et al.</v>
      </c>
      <c r="F3" s="4">
        <f>IF(Ranked_number&lt;=COUNT(Entry_number),INDEX(Lookup_table,MATCH(Number,Calculations!AK:AK,0),5),"")</f>
        <v>0.86709131022703034</v>
      </c>
      <c r="G3" s="4">
        <f>IF(Ranked_number&lt;=COUNT(Entry_number),INDEX(Lookup_table,MATCH(Number,Calculations!AK:AK,0),9),"")</f>
        <v>0.57182987539406638</v>
      </c>
      <c r="H3" s="4">
        <f>IF(Ranked_number&lt;=COUNT(Entry_number),INDEX(Lookup_table,MATCH(Number,Calculations!AK:AK,0),10),"")</f>
        <v>1.3148094785238458</v>
      </c>
      <c r="I3" s="8">
        <f>IF(D3&lt;=COUNT(Entry_number),INDEX(Lookup_table,MATCH(Number,Calculations!AK:AK,0),11),"")</f>
        <v>0.27887136372948795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>Law et al.</v>
      </c>
      <c r="F4" s="4">
        <f>IF(Ranked_number&lt;=COUNT(Entry_number),INDEX(Lookup_table,MATCH(Number,Calculations!AK:AK,0),5),"")</f>
        <v>0.79025443657898586</v>
      </c>
      <c r="G4" s="4">
        <f>IF(Ranked_number&lt;=COUNT(Entry_number),INDEX(Lookup_table,MATCH(Number,Calculations!AK:AK,0),9),"")</f>
        <v>0.56375059592183063</v>
      </c>
      <c r="H4" s="4">
        <f>IF(Ranked_number&lt;=COUNT(Entry_number),INDEX(Lookup_table,MATCH(Number,Calculations!AK:AK,0),10),"")</f>
        <v>1.1077630410511592</v>
      </c>
      <c r="I4" s="8">
        <f>IF(D4&lt;=COUNT(Entry_number),INDEX(Lookup_table,MATCH(Number,Calculations!AK:AK,0),11),"")</f>
        <v>0.42308254560743963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11"/>
      <c r="O4" s="112"/>
    </row>
    <row r="5" spans="1:15" x14ac:dyDescent="0.3">
      <c r="A5" s="110" t="s">
        <v>31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11"/>
      <c r="O6" s="112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11"/>
      <c r="O7" s="112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40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44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0.82351540467450901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0.73220705433209166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0.92621017200502642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0.73220705433209166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0.92621017200502642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-7.1091453462873728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48</v>
      </c>
      <c r="B23" s="26">
        <f>IF(Valid_options="Yes",IF(B22&lt;&gt;"",1-NORMSDIST(ABS(B22)),""),"")</f>
        <v>5.8386628865036982E-13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49</v>
      </c>
      <c r="B24" s="26">
        <f>IF(Valid_options="Yes",IF(B22&lt;&gt;"",2*(1-NORMSDIST(ABS(B22))),""),"")</f>
        <v>1.1677325773007396E-12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50</v>
      </c>
      <c r="B26" s="7">
        <f>SUMIF(Sufficient_data,"Yes",Number_of_subjects)</f>
        <v>16870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51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52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0.11878225818494448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54</v>
      </c>
      <c r="B31" s="26">
        <f>IF(Valid_options="Yes",IF(B30&lt;&gt;"",CHIDIST(B30,k_-1),""),"")</f>
        <v>0.9423381212131795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56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33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57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58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59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60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19</v>
      </c>
      <c r="B1" s="110"/>
      <c r="C1" s="110"/>
      <c r="D1" s="110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17" t="s">
        <v>67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68</v>
      </c>
      <c r="U2" s="112" t="s">
        <v>69</v>
      </c>
      <c r="W2" s="112" t="s">
        <v>70</v>
      </c>
      <c r="Y2" s="112" t="s">
        <v>71</v>
      </c>
      <c r="AA2" s="112" t="s">
        <v>72</v>
      </c>
    </row>
    <row r="3" spans="1:27" x14ac:dyDescent="0.3">
      <c r="A3" s="3" t="s">
        <v>73</v>
      </c>
      <c r="B3" s="118" t="s">
        <v>36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39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74</v>
      </c>
      <c r="B6" s="118" t="s">
        <v>75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76</v>
      </c>
      <c r="B7" s="118" t="s">
        <v>77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29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44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21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22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45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46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50</v>
      </c>
      <c r="B17" s="123">
        <f>SUMIF(Sufficient_data,"Yes",Number_of_subjects)</f>
        <v>16870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51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78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56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67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57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58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85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19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56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67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57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58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85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4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10" t="s">
        <v>102</v>
      </c>
      <c r="P1" s="110"/>
      <c r="Q1" s="110"/>
      <c r="R1" s="110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Lubis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-0.18389483903264639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0.20529056653385463</v>
      </c>
      <c r="M2" s="112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12" t="s">
        <v>113</v>
      </c>
      <c r="V2" s="77" t="str">
        <f t="shared" ref="V2:V33" si="3">IF(AND(Include_study?="Yes",Sufficient_data="Yes"),Study_name,"")</f>
        <v>Lubis et al.</v>
      </c>
      <c r="W2" s="34">
        <f>IF(AND(Include_study?="Yes",Sufficient_data="Yes"),((E:E-I$29)*SQRT(Calculations!FU:FU))/SQRT(1-Calculations!FU:FU/SUM(Calculations!FU:FU)),"")</f>
        <v>5.975759399433677E-2</v>
      </c>
      <c r="AE2" s="112" t="s">
        <v>114</v>
      </c>
      <c r="AG2" s="77" t="str">
        <f t="shared" ref="AG2:AG33" si="4">IF(AND(Include_study?="Yes",Sufficient_data="Yes"),Study_name,"")</f>
        <v>Lubis et al.</v>
      </c>
      <c r="AH2" s="74">
        <f t="shared" ref="AH2:AH65" si="5">IF(AND(Sufficient_data="Yes",Include_study?="Yes"),c_/(c_+d_),"")</f>
        <v>4.779437609841828E-2</v>
      </c>
      <c r="AI2" s="34">
        <f t="shared" ref="AI2:AI65" si="6">IF(AND(Sufficient_data="Yes",Include_study?="Yes"),a_/(a_+b_),"")</f>
        <v>4.0087873462214409E-2</v>
      </c>
      <c r="AR2" s="112" t="s">
        <v>115</v>
      </c>
      <c r="AT2" s="77" t="str">
        <f t="shared" ref="AT2:AT33" si="7">IF(AND(Include_study?="Yes",Sufficient_data="Yes"),Study_name,"")</f>
        <v>Lubis et al.</v>
      </c>
      <c r="AU2" s="74">
        <f t="shared" ref="AU2:AU33" si="8">IF(AND(Include_study?="Yes",Sufficient_data="Yes"),IF(AND(Additional_valid_options="No",Additional_model="Random effects"),NA(),Inverse_standard_error),"")</f>
        <v>4.8711444314470684</v>
      </c>
      <c r="AV2" s="34">
        <f t="shared" ref="AV2:AV33" si="9">IF(AND(Include_study?="Yes",Sufficient_data="Yes"),IF(AND(Additional_valid_options="No",Additional_model="Random effects"),NA(),Z_score),"")</f>
        <v>-0.89577832112573053</v>
      </c>
      <c r="BC2" s="112" t="s">
        <v>116</v>
      </c>
      <c r="BE2" s="74" t="str">
        <f t="shared" ref="BE2:BE33" si="10">IF(AND(Include_study?="Yes",Sufficient_data="Yes"),Study_name,"")</f>
        <v>Lubis et al.</v>
      </c>
      <c r="BF2" s="74">
        <f>IF(AND(Include_study?="Yes",Sufficient_data="Yes"),NORMSINV(Calculations!IW2),"")</f>
        <v>0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-0.89577832112573053</v>
      </c>
      <c r="BP2" s="112" t="s">
        <v>117</v>
      </c>
      <c r="BR2" s="125" t="s">
        <v>118</v>
      </c>
      <c r="BS2" s="125"/>
      <c r="BT2" s="112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Lubis et al.</v>
      </c>
      <c r="E3" s="3">
        <f t="shared" si="1"/>
        <v>-0.14261099029953303</v>
      </c>
      <c r="F3" s="3">
        <f t="shared" si="2"/>
        <v>0.21223096455742627</v>
      </c>
      <c r="M3" s="112"/>
      <c r="O3" s="3" t="s">
        <v>94</v>
      </c>
      <c r="P3" s="4">
        <f>IF(Additional_valid_options="Yes",INTERCEPT(Z_score,Inverse_standard_error),NA())</f>
        <v>2.0503674720439165</v>
      </c>
      <c r="Q3" s="4">
        <f>IF(Additional_valid_options="Yes",Q4*SQRT(1/k_*SUMPRODUCT(Inverse_standard_error,Inverse_standard_error)),NA())</f>
        <v>0.57194184934776826</v>
      </c>
      <c r="R3" s="4">
        <f>P3-ABS(TINV((1-Additional_confidence_level),k_-1))*Q3</f>
        <v>-0.41049968731021425</v>
      </c>
      <c r="S3" s="4">
        <f>P3+ABS(TINV((1-Additional_confidence_level),k_-1))*Q3</f>
        <v>4.5112346313980467</v>
      </c>
      <c r="T3" s="112"/>
      <c r="V3" s="76" t="str">
        <f t="shared" si="3"/>
        <v>Lubis et al.</v>
      </c>
      <c r="W3" s="35">
        <f>IF(AND(Include_study?="Yes",Sufficient_data="Yes"),((E:E-I$29)*SQRT(Calculations!FU:FU))/SQRT(1-Calculations!FU:FU/SUM(Calculations!FU:FU)),"")</f>
        <v>0.28609805991678977</v>
      </c>
      <c r="AE3" s="112"/>
      <c r="AG3" s="76" t="str">
        <f t="shared" si="4"/>
        <v>Lubis et al.</v>
      </c>
      <c r="AH3" s="3">
        <f t="shared" si="5"/>
        <v>6.8005354752342706E-2</v>
      </c>
      <c r="AI3" s="35">
        <f t="shared" si="6"/>
        <v>5.9504685408299868E-2</v>
      </c>
      <c r="AR3" s="112"/>
      <c r="AT3" s="76" t="str">
        <f t="shared" si="7"/>
        <v>Lubis et al.</v>
      </c>
      <c r="AU3" s="3">
        <f t="shared" si="8"/>
        <v>4.7118477837828241</v>
      </c>
      <c r="AV3" s="35">
        <f t="shared" si="9"/>
        <v>-0.67196127858592847</v>
      </c>
      <c r="BC3" s="112"/>
      <c r="BE3" s="76" t="str">
        <f t="shared" si="10"/>
        <v>Lubis et al.</v>
      </c>
      <c r="BF3" s="3">
        <f>IF(AND(Include_study?="Yes",Sufficient_data="Yes"),NORMSINV(Calculations!IW3),"")</f>
        <v>0.84162123357291341</v>
      </c>
      <c r="BG3" s="35">
        <f t="shared" si="11"/>
        <v>-0.67196127858592847</v>
      </c>
      <c r="BP3" s="112"/>
      <c r="BR3" s="3" t="s">
        <v>120</v>
      </c>
      <c r="BS3" s="4">
        <f>SUM(Calculations!JH:JH)/SQRT(k_)</f>
        <v>-1.6939010149218767</v>
      </c>
      <c r="BT3" s="112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Law et al.</v>
      </c>
      <c r="E4" s="3">
        <f t="shared" si="1"/>
        <v>-0.23540031375603082</v>
      </c>
      <c r="F4" s="3">
        <f t="shared" si="2"/>
        <v>0.17230510855134057</v>
      </c>
      <c r="M4" s="112"/>
      <c r="O4" s="3" t="s">
        <v>121</v>
      </c>
      <c r="P4" s="4">
        <f>IF(Additional_valid_options="Yes",SLOPE(Z_score,Inverse_standard_error),NA())</f>
        <v>-0.59044851488267003</v>
      </c>
      <c r="Q4" s="4">
        <f>IF(Additional_valid_options="Yes",SQRT(((1/(k_-2))*SUMPRODUCT(Calculations!HM:HM,Calculations!HM:HM))/SUMPRODUCT(Calculations!HL:HL,Calculations!HL:HL)),NA())</f>
        <v>0.11102562094456127</v>
      </c>
      <c r="R4" s="4">
        <f>P4-ABS(TINV((1-Additional_confidence_level),k_-1))*Q4</f>
        <v>-1.0681532059119156</v>
      </c>
      <c r="S4" s="4">
        <f>P4+ABS(TINV((1-Additional_confidence_level),k_-1))*Q4</f>
        <v>-0.11274382385342446</v>
      </c>
      <c r="T4" s="112"/>
      <c r="V4" s="76" t="str">
        <f t="shared" si="3"/>
        <v>Law et al.</v>
      </c>
      <c r="W4" s="35">
        <f>IF(AND(Include_study?="Yes",Sufficient_data="Yes"),((E:E-I$29)*SQRT(Calculations!FU:FU))/SQRT(1-Calculations!FU:FU/SUM(Calculations!FU:FU)),"")</f>
        <v>-0.31501396065717729</v>
      </c>
      <c r="AE4" s="112"/>
      <c r="AG4" s="76" t="str">
        <f t="shared" si="4"/>
        <v>Law et al.</v>
      </c>
      <c r="AH4" s="3">
        <f t="shared" si="5"/>
        <v>1.1755725190839695E-2</v>
      </c>
      <c r="AI4" s="35">
        <f t="shared" si="6"/>
        <v>9.3129770992366415E-3</v>
      </c>
      <c r="AR4" s="112"/>
      <c r="AT4" s="76" t="str">
        <f t="shared" si="7"/>
        <v>Law et al.</v>
      </c>
      <c r="AU4" s="3">
        <f t="shared" si="8"/>
        <v>5.8036584545143466</v>
      </c>
      <c r="AV4" s="35">
        <f t="shared" si="9"/>
        <v>-1.3661830211255181</v>
      </c>
      <c r="BC4" s="112"/>
      <c r="BE4" s="76" t="str">
        <f t="shared" si="10"/>
        <v>Law et al.</v>
      </c>
      <c r="BF4" s="3">
        <f>IF(AND(Include_study?="Yes",Sufficient_data="Yes"),NORMSINV(Calculations!IW4),"")</f>
        <v>-0.84162123357291452</v>
      </c>
      <c r="BG4" s="35">
        <f t="shared" si="11"/>
        <v>-1.3661830211255181</v>
      </c>
      <c r="BP4" s="112"/>
      <c r="BR4" s="3" t="s">
        <v>122</v>
      </c>
      <c r="BS4" s="7">
        <f>MAX(0,ROUNDUP(k_*(BS3/NORMSINV((1-Additional_confidence_level)))^2-k_,0))</f>
        <v>1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123</v>
      </c>
      <c r="BS5" s="4" t="b">
        <f>BS4&lt;5*k_+10</f>
        <v>1</v>
      </c>
      <c r="BT5" s="112"/>
    </row>
    <row r="6" spans="1:72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124</v>
      </c>
      <c r="P6" s="4">
        <f>P3/Q3</f>
        <v>3.584922967924304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93</v>
      </c>
      <c r="P7" s="26">
        <f>TDIST(ABS(P6),k_-2,2)</f>
        <v>0.1731803655618265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125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126</v>
      </c>
      <c r="BS8" s="7">
        <f>MAX(0,ROUNDUP((k_*(1-MAX(Calculations!JI:JI))-1)/MAX(Calculations!JI:JI),0))</f>
        <v>5</v>
      </c>
      <c r="BT8" s="112"/>
    </row>
    <row r="9" spans="1:72" x14ac:dyDescent="0.3">
      <c r="A9" s="110" t="s">
        <v>56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127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67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128</v>
      </c>
      <c r="P10" s="4">
        <f>IF(Additional_valid_options="Yes",SUM(Calculations!HT:HT)/2-SUM(Calculations!HU:HU)/2,NA())</f>
        <v>3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129</v>
      </c>
      <c r="BS10" s="110"/>
      <c r="BT10" s="112"/>
    </row>
    <row r="11" spans="1:72" x14ac:dyDescent="0.3">
      <c r="A11" s="108" t="s">
        <v>57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130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98</v>
      </c>
      <c r="BS11" s="4">
        <f>I29</f>
        <v>-0.1941730231951303</v>
      </c>
      <c r="BT11" s="112"/>
    </row>
    <row r="12" spans="1:72" ht="13" x14ac:dyDescent="0.35">
      <c r="A12" s="108" t="s">
        <v>58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131</v>
      </c>
      <c r="P12" s="4">
        <f>P10/SQRT((k_*(k_-1)*(2*k_+5)/18))</f>
        <v>1.5666989036012806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132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81</v>
      </c>
      <c r="P13" s="26">
        <f>2*(1-NORMSDIST(ABS(P12)))</f>
        <v>0.11718508719813792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133</v>
      </c>
      <c r="BS13" s="5">
        <v>-0.69</v>
      </c>
      <c r="BT13" s="112"/>
    </row>
    <row r="14" spans="1:72" x14ac:dyDescent="0.3">
      <c r="A14" s="110" t="s">
        <v>85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122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134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122</v>
      </c>
      <c r="BS17" s="7">
        <f>MAX(0,ROUNDUP(-2*SUM(Calculations!JJ:JJ),0))</f>
        <v>12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135</v>
      </c>
      <c r="BS18" s="26">
        <f>CHIDIST(BS17,k_*2)</f>
        <v>6.196880441665896E-2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10" t="s">
        <v>52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137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137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-0.1941730231951303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0.11878225818494448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0.11207550594940201</v>
      </c>
      <c r="K30" s="3" t="s">
        <v>54</v>
      </c>
      <c r="L30" s="26">
        <f>IF(Additional_valid_options="Yes",CHIDIST(L29,k_-1+IF(Trim_and_fill="On",L39,0)),"")</f>
        <v>0.9423381212131795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-0.97797420694572557</v>
      </c>
      <c r="BK30" s="4">
        <f>BK31*SQRT(1/k_*SUMPRODUCT(BF:BF,BF:BF))</f>
        <v>5.8121268248953618E-2</v>
      </c>
      <c r="BL30" s="4">
        <f>BJ30-ABS(TINV((1-Additional_confidence_level),k_-1))*BK30</f>
        <v>-1.2280498404335867</v>
      </c>
      <c r="BM30" s="4">
        <f>BJ30+ABS(TINV((1-Additional_confidence_level),k_-1))*BK30</f>
        <v>-0.72789857345786457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-0.67639500480637693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</v>
      </c>
      <c r="AA31" s="4">
        <f>NORMSDIST(Calculations!HZ2)</f>
        <v>0.3631693488243809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-0.1941730231951303</v>
      </c>
      <c r="AZ31" s="4">
        <f>I30</f>
        <v>0.11207550594940201</v>
      </c>
      <c r="BA31" s="4">
        <f>AY31-ABS(TINV((1-Additional_confidence_level),k_-1))*AZ31</f>
        <v>-0.67639500480637693</v>
      </c>
      <c r="BB31" s="4">
        <f>AY31+ABS(TINV((1-Additional_confidence_level),k_-1))*AZ31</f>
        <v>0.28804895841611633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0.41243121896558338</v>
      </c>
      <c r="BK31" s="4">
        <f>SQRT(((1/(k_-2))*SUMPRODUCT(Calculations!JA:JA,Calculations!JA:JA))/SUMPRODUCT(Calculations!IZ:IZ,Calculations!IZ:IZ))</f>
        <v>8.4579288600510033E-2</v>
      </c>
      <c r="BL31" s="4">
        <f>BJ31-ABS(TINV((1-Additional_confidence_level),k_-1))*BK31</f>
        <v>4.8515911988331328E-2</v>
      </c>
      <c r="BM31" s="4">
        <f>BJ31+ABS(TINV((1-Additional_confidence_level),k_-1))*BK31</f>
        <v>0.77634652594283549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0.28804895841611633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0.33333333333333331</v>
      </c>
      <c r="AA32" s="4">
        <f>NORMSDIST(Calculations!HZ3)-(SUM(AA$31:AA31))</f>
        <v>3.8124325492695399E-2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98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-0.67639500480637693</v>
      </c>
      <c r="K33" s="3" t="s">
        <v>65</v>
      </c>
      <c r="L33" s="4">
        <f>IF(Additional_valid_options="Yes",SQRT(L32),"")</f>
        <v>0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142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0.28804895841611633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0.8300576863193968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</v>
      </c>
      <c r="AA35" s="4">
        <f>NORMSDIST(Calculations!HZ6)-(SUM(AA$31:AA34))</f>
        <v>3.9877611676744973E-2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0.33333333333333331</v>
      </c>
      <c r="AA36" s="4">
        <f>NORMSDIST(Calculations!HZ7)-(SUM(AA$31:AA35))</f>
        <v>3.9678886531870017E-2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-0.1941730231951303</v>
      </c>
      <c r="K37" s="3" t="s">
        <v>149</v>
      </c>
      <c r="L37" s="5" t="s">
        <v>150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0.11207550594940201</v>
      </c>
      <c r="K38" s="3" t="s">
        <v>151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0.33333333333333331</v>
      </c>
      <c r="AA38" s="4">
        <f>NORMSDIST(Calculations!HZ9)-(SUM(AA$31:AA37))</f>
        <v>3.8124325492695399E-2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-0.67639500480637693</v>
      </c>
      <c r="K39" s="3" t="s">
        <v>152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</v>
      </c>
      <c r="AA39" s="4">
        <f>1-(SUM(AA31:AA38))</f>
        <v>0.3631693488243809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0.28804895841611633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-0.67639500480637693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0.28804895841611633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N14" sqref="N14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328</v>
      </c>
      <c r="G4" s="103" t="s">
        <v>329</v>
      </c>
      <c r="H4" s="103" t="s">
        <v>330</v>
      </c>
      <c r="I4" s="104" t="s">
        <v>23</v>
      </c>
      <c r="M4" s="99" t="s">
        <v>1</v>
      </c>
      <c r="N4" s="106" t="s">
        <v>331</v>
      </c>
      <c r="O4" s="106" t="s">
        <v>332</v>
      </c>
    </row>
    <row r="5" spans="5:15" x14ac:dyDescent="0.3">
      <c r="E5" s="102" t="s">
        <v>334</v>
      </c>
      <c r="F5" s="105">
        <v>0.83202329560085742</v>
      </c>
      <c r="G5" s="105">
        <v>0.55628683352033848</v>
      </c>
      <c r="H5" s="105">
        <v>1.2444349258487382</v>
      </c>
      <c r="I5" s="107">
        <v>0.29804609066307242</v>
      </c>
      <c r="M5" s="102" t="s">
        <v>334</v>
      </c>
      <c r="N5" s="105">
        <v>-0.18389483903264639</v>
      </c>
      <c r="O5" s="105">
        <v>0.20529056653385463</v>
      </c>
    </row>
    <row r="6" spans="5:15" x14ac:dyDescent="0.3">
      <c r="E6" s="102" t="s">
        <v>334</v>
      </c>
      <c r="F6" s="105">
        <v>0.86709131022703034</v>
      </c>
      <c r="G6" s="105">
        <v>0.57182987539406638</v>
      </c>
      <c r="H6" s="105">
        <v>1.3148094785238458</v>
      </c>
      <c r="I6" s="107">
        <v>0.27887136372948795</v>
      </c>
      <c r="K6" s="97"/>
      <c r="M6" s="102" t="s">
        <v>334</v>
      </c>
      <c r="N6" s="105">
        <v>-0.14261099029953303</v>
      </c>
      <c r="O6" s="105">
        <v>0.21223096455742627</v>
      </c>
    </row>
    <row r="7" spans="5:15" x14ac:dyDescent="0.3">
      <c r="E7" s="102" t="s">
        <v>333</v>
      </c>
      <c r="F7" s="105">
        <v>0.79025443657898586</v>
      </c>
      <c r="G7" s="105">
        <v>0.56375059592183063</v>
      </c>
      <c r="H7" s="105">
        <v>1.1077630410511592</v>
      </c>
      <c r="I7" s="107">
        <v>0.42308254560743963</v>
      </c>
      <c r="M7" s="102" t="s">
        <v>333</v>
      </c>
      <c r="N7" s="105">
        <v>-0.23540031375603082</v>
      </c>
      <c r="O7" s="105">
        <v>0.17230510855134057</v>
      </c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10" t="s">
        <v>172</v>
      </c>
      <c r="AK1" s="110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10" t="s">
        <v>175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10" t="s">
        <v>44</v>
      </c>
      <c r="BM1" s="110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10" t="s">
        <v>44</v>
      </c>
      <c r="CB1" s="110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10" t="s">
        <v>44</v>
      </c>
      <c r="CN1" s="110"/>
      <c r="CP1" s="85"/>
      <c r="CQ1" s="1" t="s">
        <v>187</v>
      </c>
      <c r="CS1" s="110" t="s">
        <v>36</v>
      </c>
      <c r="CT1" s="110"/>
      <c r="CU1" s="110"/>
      <c r="CV1" s="110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217</v>
      </c>
      <c r="GH1" s="110"/>
      <c r="GI1" s="110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10" t="s">
        <v>227</v>
      </c>
      <c r="GW1" s="110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10" t="s">
        <v>244</v>
      </c>
      <c r="II1" s="110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10" t="s">
        <v>247</v>
      </c>
      <c r="IR1" s="110"/>
      <c r="IS1" s="110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10" t="s">
        <v>247</v>
      </c>
      <c r="JD1" s="110"/>
      <c r="JE1" s="110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45.62</v>
      </c>
      <c r="C2" s="6">
        <f>IF(AND(Include_study?="Yes",Sufficient_data="Yes"),IF(Input!b_&lt;&gt;"",Input!b_,Input!n1_-Input!a_),"")</f>
        <v>1092.3800000000001</v>
      </c>
      <c r="D2" s="6">
        <f>IF(AND(Include_study?="Yes",Sufficient_data="Yes"),IF(Input!c_&lt;&gt;"",Input!c_,Input!n2_-Input!d_),"")</f>
        <v>54.39</v>
      </c>
      <c r="E2" s="6">
        <f>IF(AND(Include_study?="Yes",Sufficient_data="Yes"),IF(Input!d_&lt;&gt;"",Input!d_,Input!n2_-Input!c_),"")</f>
        <v>1083.6099999999999</v>
      </c>
      <c r="F2" s="35" t="str">
        <f t="shared" ref="F2:F33" si="1">IF(AND(Include_study?="Yes",Sufficient_data="Yes"),IF(OR(a_=0,b_=0,c_=0,d_=0),"Yes","No"),"")</f>
        <v>No</v>
      </c>
      <c r="H2" s="128" t="s">
        <v>254</v>
      </c>
      <c r="I2" s="115" t="s">
        <v>36</v>
      </c>
      <c r="J2" s="77">
        <f t="shared" ref="J2:J65" si="2">IF(AND(Include_study?="Yes",Sufficient_data="Yes"),IF(Add_0_5="Yes",((a_+0.5)*(d_+0.5))/((b_+0.5)*(c_+0.5)),(a_*d_)/(b_*c_)),"")</f>
        <v>0.83202329560085742</v>
      </c>
      <c r="K2" s="74">
        <f t="shared" ref="K2:K33" si="3">IF(AND(Include_study?="Yes",Sufficient_data="Yes"),LN(OddsRatio),"")</f>
        <v>-0.18389483903264639</v>
      </c>
      <c r="L2" s="74">
        <f t="shared" ref="L2:L33" si="4">IF(AND(Include_study?="Yes",Sufficient_data="Yes"),SQRT(IF(Add_0_5="Yes",1/(a_+0.5)+1/(b_+0.5)+1/(c_+0.5)+1/(d_+0.5),1/a_+1/b_+1/c_+1/d_)),"")</f>
        <v>0.20529056653385463</v>
      </c>
      <c r="M2" s="74">
        <f t="shared" ref="M2:M33" si="5">IF(AND(Include_study?="Yes",Sufficient_data="Yes"),EXP(LogOddsRatio-ABS(TINV((1-Confidence_level),Number_of_subjects-2))*SELogOddsRatio),"")</f>
        <v>0.55628683352033848</v>
      </c>
      <c r="N2" s="34">
        <f t="shared" ref="N2:N33" si="6">IF(AND(Include_study?="Yes",Sufficient_data="Yes"),EXP(LogOddsRatio+ABS(TINV((1-Confidence_level),Number_of_subjects-2))*SELogOddsRatio),"")</f>
        <v>1.2444349258487382</v>
      </c>
      <c r="P2" s="112" t="s">
        <v>255</v>
      </c>
      <c r="Q2" s="77">
        <f t="shared" ref="Q2:Q33" si="7">IF(AND(Include_study?="Yes",Sufficient_data="Yes"),EXP(LogPetoOddsRatio),"")</f>
        <v>0.83246628068127371</v>
      </c>
      <c r="R2" s="74">
        <f t="shared" ref="R2:R33" si="8">IF(AND(Include_study?="Yes",Sufficient_data="Yes"),SQRT(VarLogPetoOddsRatio),"")</f>
        <v>0.20448927488386676</v>
      </c>
      <c r="S2" s="74">
        <f t="shared" ref="S2:S33" si="9">IF(AND(Include_study?="Yes",Sufficient_data="Yes"),EXP(LogPetoOddsRatio-ABS(TINV((1-Confidence_level),Number_of_subjects-2))*SELogPetoOddsRatio),"")</f>
        <v>0.55745827940370563</v>
      </c>
      <c r="T2" s="34">
        <f t="shared" ref="T2:T33" si="10">IF(AND(Include_study?="Yes",Sufficient_data="Yes"),EXP(LogPetoOddsRatio+ABS(TINV((1-Confidence_level),Number_of_subjects-2))*SELogPetoOddsRatio),"")</f>
        <v>1.243142552681417</v>
      </c>
      <c r="V2" s="112" t="s">
        <v>164</v>
      </c>
      <c r="W2" s="77">
        <f t="shared" ref="W2:W33" si="11">IF(AND(Include_study?="Yes",Sufficient_data="Yes"),a_/(a_+b_)-c_/(c_+d_),"")</f>
        <v>-7.7065026362038713E-3</v>
      </c>
      <c r="X2" s="74">
        <f t="shared" ref="X2:X33" si="12">IF(AND(Include_study?="Yes",Sufficient_data="Yes"),SQRT(a_*b_/(a_+b_)^3+c_*d_/(c_+d_)^3),"")</f>
        <v>8.5910255609658107E-3</v>
      </c>
      <c r="Y2" s="74">
        <f t="shared" ref="Y2:Y33" si="13">IF(AND(Include_study?="Yes",Sufficient_data="Yes"),Risk_Difference-SERiskDifference*ABS(TINV((1-Confidence_level),Number_of_subjects-2)),"")</f>
        <v>-2.4553570304958829E-2</v>
      </c>
      <c r="Z2" s="34">
        <f t="shared" ref="Z2:Z33" si="14">IF(AND(Include_study?="Yes",Sufficient_data="Yes"),Risk_Difference+SERiskDifference*ABS(TINV((1-Confidence_level),Number_of_subjects-2)),"")</f>
        <v>9.1405650325510866E-3</v>
      </c>
      <c r="AB2" s="112" t="s">
        <v>145</v>
      </c>
      <c r="AC2" s="77">
        <f t="shared" ref="AC2:AC33" si="15">IF(AND(Include_study?="Yes",Sufficient_data="Yes"),IF(Add_0_5="Yes",((a_+0.5)/(a_+0.5+b_+0.5))/((c_+0.5)/(c_+0.5+d_+0.5)),(a_/(a_+b_))/(c_/(c_+d_))),"")</f>
        <v>0.83875712447141004</v>
      </c>
      <c r="AD2" s="74">
        <f t="shared" ref="AD2:AD33" si="16">IF(AND(Include_study?="Yes",Sufficient_data="Yes"),LN(Risk_Ratio),"")</f>
        <v>-0.17583409657862759</v>
      </c>
      <c r="AE2" s="74">
        <f t="shared" ref="AE2:AE33" si="17">IF(AND(Include_study?="Yes",Sufficient_data="Yes"),IF(Add_0_5="Yes",SQRT(1/(a_+0.5)-1/(a_+0.5+b_+0.5)+1/(c_+0.5)-1/(c_+0.5+d_+0.5)),SQRT(1/a_-1/(a_+b_)+1/c_-1/(c_+d_))),"")</f>
        <v>0.19633765268327646</v>
      </c>
      <c r="AF2" s="74">
        <f t="shared" ref="AF2:AF33" si="18">IF(AND(Include_study?="Yes",Sufficient_data="Yes"),EXP(LN(Risk_Ratio)-ABS(TINV((1-Confidence_level),Number_of_subjects-2))*SELogRiskRatio),"")</f>
        <v>0.57072159978977177</v>
      </c>
      <c r="AG2" s="34">
        <f t="shared" ref="AG2:AG33" si="19">IF(AND(Include_study?="Yes",Sufficient_data="Yes"),EXP(LN(Risk_Ratio)+ABS(TINV((1-Confidence_level),Number_of_subjects-2))*SELogRiskRatio),"")</f>
        <v>1.2326737136121908</v>
      </c>
      <c r="AI2" s="128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Lubis et al.</v>
      </c>
      <c r="AN2" s="6">
        <f t="shared" ref="AN2:AN65" si="21">IF(AND(Sufficient_data="Yes",Include_study?="Yes"),(a_+b_+c_+d_),"")</f>
        <v>2276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0.83202329560085742</v>
      </c>
      <c r="AP2" s="3">
        <f t="shared" ref="AP2:AP33" si="23">IF(AND(Include_study?="Yes",Sufficient_data="Yes"),IF(Weighting_method="Inverse variance",Weightf,IF(Weighting_method="Mantel-Haenszel",Weightf_MH,Weightf_Peto)),"")</f>
        <v>23.728048072017788</v>
      </c>
      <c r="AQ2" s="3">
        <f t="shared" ref="AQ2:AQ33" si="24">IF(AND(Include_study?="Yes",Sufficient_data="Yes"),IF(Weighting_method="Inverse variance",Weight,IF(Weighting_method="Mantel-Haenszel",Weight_MH,Weight_Peto)),"")</f>
        <v>23.728048072017788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0.20529056653385463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0.55628683352033848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1.2444349258487382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0.29804609066307242</v>
      </c>
      <c r="AW2" s="43">
        <f t="shared" ref="AW2:AW33" si="29">IF(Effect_size_lookup&lt;&gt;"",Effect_size_lookup,NA())</f>
        <v>0.83202329560085742</v>
      </c>
      <c r="AX2" s="3">
        <f t="shared" ref="AX2:AX33" si="30">IF(Effect_size_lookup&lt;&gt;"",Effect_size_lookup-AS2,NA())</f>
        <v>0.27573646208051894</v>
      </c>
      <c r="AY2" s="34">
        <f t="shared" ref="AY2:AY33" si="31">IF(Effect_size_lookup&lt;&gt;"",AT2-Effect_size_lookup,NA())</f>
        <v>0.41241163024788074</v>
      </c>
      <c r="BA2" s="2" t="s">
        <v>257</v>
      </c>
      <c r="BB2" s="3">
        <f>'Forest Plot'!$B$16</f>
        <v>0.82351540467450901</v>
      </c>
      <c r="BD2" s="128" t="s">
        <v>258</v>
      </c>
      <c r="BE2" s="115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-0.18389483903264639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0.20529056653385463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23.728048072017788</v>
      </c>
      <c r="BI2" s="74">
        <f>IF(Weightf&lt;&gt;"",1/(IF(Model_effect_size_measure="Odds Ratio",SELogOddsRatio,IF(Model_effect_size_measure="Risk Ratio",SELogRiskRatio,SERiskDifference))^2+T2_),"")</f>
        <v>23.728048072017788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1.0278184162483911E-2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-0.1941730231951303</v>
      </c>
      <c r="BO2" s="112" t="s">
        <v>260</v>
      </c>
      <c r="BP2" s="3">
        <f t="shared" ref="BP2:BP33" si="36">IF(AND(Sufficient_data="Yes",Include_study?="Yes"),IF(Add_0_5="Yes",(a_+0.5)*(d_+0.5)/(Number_of_subjects+2),a_*d_/Number_of_subjects),"")</f>
        <v>21.719810281195077</v>
      </c>
      <c r="BQ2" s="3">
        <f t="shared" ref="BQ2:BQ33" si="37">IF(AND(Sufficient_data="Yes",Include_study?="Yes"),IF(Add_0_5="Yes",(b_+0.5)*(c_+0.5)/(Number_of_subjects+2),b_*c_/Number_of_subjects),"")</f>
        <v>26.104810281195082</v>
      </c>
      <c r="BR2" s="3">
        <f t="shared" ref="BR2:BR33" si="38">IF(AND(Sufficient_data="Yes",Include_study?="Yes"),IF(Add_0_5="Yes",(a_+d_+1)*(a_+0.5)*(d_+0.5)/(Number_of_subjects+2)^2,(a_+d_)*a_*d_/Number_of_subjects^2),"")</f>
        <v>10.776213253002597</v>
      </c>
      <c r="BS2" s="3">
        <f>IF(AND(Sufficient_data="Yes",Include_study?="Yes"),IF(Add_0_5="Yes",(a_+d_+1)*(ab_+0.5)*(c_+0.5)/(Number_of_subjects+2)^2,(a_+d_)*b_*c_/Number_of_subjects^2),"")</f>
        <v>12.951816745972721</v>
      </c>
      <c r="BT2" s="3">
        <f t="shared" ref="BT2:BT33" si="39">IF(AND(Sufficient_data="Yes",Include_study?="Yes"),IF(Add_0_5="Yes",(b_+c_+1)*(a_+0.5)*(d_+0.5)/(Number_of_subjects+2)^2,(b_+c_)*a_*d_/Number_of_subjects^2),"")</f>
        <v>10.94359702819248</v>
      </c>
      <c r="BU2" s="3">
        <f t="shared" ref="BU2:BU33" si="40">IF(AND(Sufficient_data="Yes",Include_study?="Yes"),IF(Add_0_5="Yes",(b_+c_+1)*(b_+0.5)*(c_+0.5)/(Number_of_subjects+2)^2,(b_+c_)*b_*c_/Number_of_subjects^2),"")</f>
        <v>13.152993535222359</v>
      </c>
      <c r="BV2" s="3">
        <f t="shared" ref="BV2:BV33" si="41">IF(AND(Sufficient_data="Yes",Include_study?="Yes"),IF(Add_0_5="Yes",(b_+0.5)*(c_+0.5)/(Number_of_subjects+2),b_*c_/Number_of_subjects),"")</f>
        <v>26.104810281195082</v>
      </c>
      <c r="BW2" s="3">
        <f t="shared" ref="BW2:BW33" si="42">IF(AND(Sufficient_data="Yes",Include_study?="Yes"),1/(SELogOddsRatio^2)*(LogOddsRatio-LN(SUMPRODUCT(Weightf_MH,OddsRatio)/SUM(Weightf_MH)))^2,"")</f>
        <v>2.5441493495822892E-3</v>
      </c>
      <c r="BX2" s="74">
        <f t="shared" ref="BX2:BX33" si="43">IF(Weithf_MH&lt;&gt;"",1/(SELogOddsRatio^2+T2_MH),"")</f>
        <v>23.728048072017788</v>
      </c>
      <c r="BY2" s="34">
        <f t="shared" ref="BY2:BY33" si="44">IF(Weithf_MH&lt;&gt;"",LogOddsRatio-lnCES_OddsRatio_MH,"")</f>
        <v>1.0278184162483883E-2</v>
      </c>
      <c r="CA2" s="3" t="s">
        <v>261</v>
      </c>
      <c r="CB2" s="3">
        <f>LN(CES_OddsRatio_MH)</f>
        <v>-0.19417302319513027</v>
      </c>
      <c r="CD2" s="112" t="s">
        <v>262</v>
      </c>
      <c r="CE2" s="77">
        <f t="shared" ref="CE2:CE33" si="45">IF(AND(Include_study?="Yes",Sufficient_data="Yes"),((a_+b_)*(a_+c_))/(Number_of_subjects),"")</f>
        <v>50.004999999999995</v>
      </c>
      <c r="CF2" s="74">
        <f t="shared" ref="CF2:CF33" si="46">IF(AND(Include_study?="Yes",Sufficient_data="Yes"),((a_+b_)*(c_+d_)*(a_+c_)*(b_+d_))/((Number_of_subjects)^2*(Number_of_subjects-1)),"")</f>
        <v>23.914369219780216</v>
      </c>
      <c r="CG2" s="74">
        <f t="shared" ref="CG2:CG33" si="47">IF(AND(Include_study?="Yes",Sufficient_data="Yes"),(a_-Expected)/VarExpected,"")</f>
        <v>-0.18336256163399228</v>
      </c>
      <c r="CH2" s="74">
        <f t="shared" ref="CH2:CH33" si="48">IF(AND(Include_study?="Yes",Sufficient_data="Yes"),1/VarExpected,"")</f>
        <v>4.181586354252962E-2</v>
      </c>
      <c r="CI2" s="74">
        <f t="shared" ref="CI2:CI33" si="49">IF(AND(Sufficient_data="Yes",Include_study?="Yes"),VarExpected,"")</f>
        <v>23.914369219780216</v>
      </c>
      <c r="CJ2" s="74">
        <f t="shared" ref="CJ2:CJ65" si="50">IF(Weightf_Peto&lt;&gt;"",1/(VarLogPetoOddsRatio+T2_Peto),"")</f>
        <v>23.914369219780216</v>
      </c>
      <c r="CK2" s="34">
        <f t="shared" ref="CK2:CK33" si="51">IF(Weightf_Peto&lt;&gt;"",LogPetoOddsRatio-lnCES_PetoOddsRatio,"")</f>
        <v>1.0259347740874281E-2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-0.19362190937486656</v>
      </c>
      <c r="CP2" s="112" t="s">
        <v>264</v>
      </c>
      <c r="CQ2" s="51">
        <f t="shared" ref="CQ2:CQ33" si="52">IF(AND(Sufficient_data="Yes",Include_study?="Yes"),c_/(c_+d_),"")</f>
        <v>4.779437609841828E-2</v>
      </c>
      <c r="CS2" s="2"/>
      <c r="CT2" s="2" t="s">
        <v>33</v>
      </c>
      <c r="CU2" s="2" t="s">
        <v>57</v>
      </c>
      <c r="CV2" s="2" t="s">
        <v>58</v>
      </c>
      <c r="CX2" s="128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28" t="s">
        <v>267</v>
      </c>
      <c r="FS2" s="115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23.728048072017788</v>
      </c>
      <c r="FU2" s="74">
        <f>IF(AND(Include_study?="Yes",Sufficient_data="Yes"),1/('Publication Bias Analysis'!F:F^2+IF(Additional_model="Fixed effect",0,Calculations!GH$12)),"")</f>
        <v>23.728048072017788</v>
      </c>
      <c r="FV2" s="74">
        <f>IF(AND(Include_study?="Yes",Sufficient_data="Yes"),1/('Publication Bias Analysis'!F:F^2+IF(Additional_model="Fixed effect",0,'Publication Bias Analysis'!L$32)),"")</f>
        <v>23.728048072017788</v>
      </c>
      <c r="FW2" s="74">
        <f>IF(AND(Include_study?="Yes",Sufficient_data="Yes"),'Publication Bias Analysis'!E:E-'Publication Bias Analysis'!I$37,"")</f>
        <v>1.0278184162483911E-2</v>
      </c>
      <c r="FX2" s="74">
        <f>IF(AND(Include_study?="Yes",Sufficient_data="Yes"),IF(Additional_model="Fixed effect",1/'Publication Bias Analysis'!F:F,1/SQRT('Publication Bias Analysis'!F:F^2+GH$12)),"")</f>
        <v>4.8711444314470684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-0.89577832112573053</v>
      </c>
      <c r="FZ2" s="37">
        <f t="shared" ref="FZ2:FZ33" si="80">IF(AND(Include_study?="Yes",Sufficient_data="Yes"),RANK(GM:GM,GM:GM,1)*IF(GL:GL&gt;0,1,-1),"")</f>
        <v>-1</v>
      </c>
      <c r="GA2" s="82">
        <f>IF(AND(Include_study?="Yes",Sufficient_data="Yes"),FZ:FZ,"")</f>
        <v>-1</v>
      </c>
      <c r="GB2" s="82">
        <f>IF(AND(Include_study?="Yes",Sufficient_data="Yes"),RANK(GP:GP,GP:GP,1)*IF(GO:GO&lt;0,-1,1),"")</f>
        <v>-1</v>
      </c>
      <c r="GC2" s="82">
        <f>IF(AND(Include_study?="Yes",Sufficient_data="Yes"),RANK(GS:GS,GS:GS,1)*IF(GR:GR&lt;0,-1,1),"")</f>
        <v>-1</v>
      </c>
      <c r="GD2" s="74">
        <f>IF(AND(Include_study?="Yes",Sufficient_data="Yes"),'Publication Bias Analysis'!E2,NA())</f>
        <v>-0.18389483903264639</v>
      </c>
      <c r="GE2" s="34">
        <f>IF(AND(Include_study?="Yes",Sufficient_data="Yes"),'Publication Bias Analysis'!F2,NA())</f>
        <v>0.20529056653385463</v>
      </c>
      <c r="GG2" s="24" t="s">
        <v>268</v>
      </c>
      <c r="GH2" s="2" t="s">
        <v>238</v>
      </c>
      <c r="GI2" s="2" t="s">
        <v>239</v>
      </c>
      <c r="GK2" s="112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-1.0278184162483911E-2</v>
      </c>
      <c r="GM2" s="74">
        <f t="shared" ref="GM2:GM33" si="81">IF(AND(Include_study?="Yes",Sufficient_data="Yes"),ABS(GL2),"")</f>
        <v>1.0278184162483911E-2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23.728048072017788</v>
      </c>
      <c r="GO2" s="74">
        <f>IF(AND(Include_study?="Yes",Sufficient_data="Yes"),IF('Publication Bias Analysis'!L$38="Left",'Publication Bias Analysis'!E:E-GW$3,GW$3-'Publication Bias Analysis'!E:E),"")</f>
        <v>-1.0278184162483911E-2</v>
      </c>
      <c r="GP2" s="74">
        <f t="shared" ref="GP2:GP33" si="82">IF(GO2&lt;&gt;"",ABS(GO2),"")</f>
        <v>1.0278184162483911E-2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23.728048072017788</v>
      </c>
      <c r="GR2" s="74">
        <f>IF(AND(Include_study?="Yes",Sufficient_data="Yes"),IF('Publication Bias Analysis'!L$38="Left",'Publication Bias Analysis'!E:E-GW$10,GW$10-'Publication Bias Analysis'!E:E),"")</f>
        <v>-1.0278184162483911E-2</v>
      </c>
      <c r="GS2" s="74">
        <f t="shared" ref="GS2:GS33" si="83">IF(GR2&lt;&gt;"",ABS(GR2),"")</f>
        <v>1.0278184162483911E-2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23.728048072017788</v>
      </c>
      <c r="GV2" s="125" t="s">
        <v>98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102</v>
      </c>
      <c r="HL2" s="3">
        <f t="shared" ref="HL2:HL65" si="89">IF(AND(Include_study?="Yes",Sufficient_data="Yes"),Inverse_standard_error-AVERAGE(Inverse_standard_error),"")</f>
        <v>-0.2577391251343446</v>
      </c>
      <c r="HM2" s="34">
        <f>IF(AND(Include_study?="Yes",Sufficient_data="Yes"),Z_score-('Publication Bias Analysis'!P$3+'Publication Bias Analysis'!P$4*Inverse_standard_error),"")</f>
        <v>-6.9985797842737285E-2</v>
      </c>
      <c r="HO2" s="112" t="s">
        <v>270</v>
      </c>
      <c r="HP2" s="3">
        <f>IF(AND(Include_study?="Yes",Sufficient_data="Yes"),(GD:GD-SUMPRODUCT(Calculations!FT:FT,'Publication Bias Analysis'!E:E)/SUM(Calculations!FT:FT))/SQRT(Calculations!HQ:HQ),"")</f>
        <v>5.975759399433677E-2</v>
      </c>
      <c r="HQ2" s="3">
        <f>IF(AND(Include_study?="Yes",Sufficient_data="Yes"),GE:GE^2-1/SUM(Calculations!FT:FT),"")</f>
        <v>2.958329767397655E-2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114</v>
      </c>
      <c r="HX2" s="20">
        <v>1</v>
      </c>
      <c r="HY2" s="3"/>
      <c r="HZ2" s="34">
        <f>HZ3-HY14</f>
        <v>-0.35</v>
      </c>
      <c r="IB2" s="112" t="s">
        <v>271</v>
      </c>
      <c r="IC2" s="77">
        <f t="shared" ref="IC2:IC33" si="92">IF(AND(Include_study?="Yes",Sufficient_data="Yes"),a_/(a_+b_),NA())</f>
        <v>4.0087873462214409E-2</v>
      </c>
      <c r="ID2" s="74">
        <f t="shared" ref="ID2:ID33" si="93">IF(AND(Include_study?="Yes",Sufficient_data="Yes"),c_/(c_+d_),NA())</f>
        <v>4.779437609841828E-2</v>
      </c>
      <c r="IE2" s="74">
        <f t="shared" ref="IE2:IE33" si="94">IF(AND(Include_study?="Yes",Sufficient_data="Yes"),1/SELogRiskRatio^2,"")</f>
        <v>25.941364205524938</v>
      </c>
      <c r="IF2" s="74">
        <f t="shared" ref="IF2:IF33" si="95">IF(AND(Include_study?="Yes",Sufficient_data="Yes"),IF(Additional_model="Fixed effect",Weightf,Weightr),"")</f>
        <v>23.728048072017788</v>
      </c>
      <c r="IH2" s="2" t="s">
        <v>238</v>
      </c>
      <c r="II2" s="2" t="s">
        <v>239</v>
      </c>
      <c r="IK2" s="112" t="s">
        <v>116</v>
      </c>
      <c r="IL2" s="3">
        <f>IF(AND(Include_study?="Yes",Sufficient_data="Yes"),'Publication Bias Analysis'!AV:AV,NA())</f>
        <v>-0.89577832112573053</v>
      </c>
      <c r="IM2" s="3">
        <f>IF(AND(Sufficient_data="Yes",Include_study?="Yes"),'Publication Bias Analysis'!AU:AU,NA())</f>
        <v>4.8711444314470684</v>
      </c>
      <c r="IN2" s="3">
        <f t="shared" ref="IN2:IN33" si="96">IF(AND(Include_study?="Yes",Sufficient_data="Yes"),Inverse_standard_error-AVERAGE(Inverse_standard_error),"")</f>
        <v>-0.2577391251343446</v>
      </c>
      <c r="IO2" s="34">
        <f>IF(AND(Include_study?="Yes",Sufficient_data="Yes"),Z_score-('Publication Bias Analysis'!AY$30+'Publication Bias Analysis'!AY$31*Inverse_standard_error),"")</f>
        <v>5.0066519548470856E-2</v>
      </c>
      <c r="IQ2" s="24" t="s">
        <v>272</v>
      </c>
      <c r="IR2" s="2" t="s">
        <v>238</v>
      </c>
      <c r="IS2" s="2" t="s">
        <v>239</v>
      </c>
      <c r="IU2" s="112" t="s">
        <v>117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0.5</v>
      </c>
      <c r="IX2" s="3">
        <f>IF('Publication Bias Analysis'!BF2&lt;&gt;"",'Publication Bias Analysis'!BF2,NA())</f>
        <v>0</v>
      </c>
      <c r="IY2" s="3">
        <f>IF('Publication Bias Analysis'!BG2&lt;&gt;"",'Publication Bias Analysis'!BG2,NA())</f>
        <v>-0.89577832112573053</v>
      </c>
      <c r="IZ2" s="3">
        <f>IF(AND(Include_study?="Yes",Sufficient_data="Yes"),'Publication Bias Analysis'!BF:BF-AVERAGE('Publication Bias Analysis'!BF:BF),"")</f>
        <v>3.7007434154171886E-16</v>
      </c>
      <c r="JA2" s="34">
        <f>IF(AND(Include_study?="Yes",Sufficient_data="Yes"),'Publication Bias Analysis'!BG:BG-('Publication Bias Analysis'!BJ$30+'Publication Bias Analysis'!BJ$31*'Publication Bias Analysis'!BF:BF),"")</f>
        <v>8.219588581999504E-2</v>
      </c>
      <c r="JC2" s="24" t="s">
        <v>273</v>
      </c>
      <c r="JD2" s="2" t="s">
        <v>238</v>
      </c>
      <c r="JE2" s="2" t="s">
        <v>239</v>
      </c>
      <c r="JG2" s="112" t="s">
        <v>119</v>
      </c>
      <c r="JH2" s="74">
        <f t="shared" ref="JH2:JH33" si="98">IF(AND(Include_study?="Yes",Sufficient_data="Yes"),IF(AND(Additional_valid_options="No",Additional_model="Random effects"),NA(),Z_score),"")</f>
        <v>-0.89577832112573053</v>
      </c>
      <c r="JI2" s="84">
        <f>IF(JH2&lt;&gt;"",1-NORMSDIST(ABS(JH2)),"")</f>
        <v>0.18518558522973028</v>
      </c>
      <c r="JJ2" s="34">
        <f>IF(JI2&lt;&gt;"",LN(MAX(10^-306,JI2)),"")</f>
        <v>-1.6863967933320185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44.45</v>
      </c>
      <c r="C3" s="6">
        <f>IF(AND(Include_study?="Yes",Sufficient_data="Yes"),IF(Input!b_&lt;&gt;"",Input!b_,Input!n1_-Input!a_),"")</f>
        <v>702.55</v>
      </c>
      <c r="D3" s="6">
        <f>IF(AND(Include_study?="Yes",Sufficient_data="Yes"),IF(Input!c_&lt;&gt;"",Input!c_,Input!n2_-Input!d_),"")</f>
        <v>50.8</v>
      </c>
      <c r="E3" s="6">
        <f>IF(AND(Include_study?="Yes",Sufficient_data="Yes"),IF(Input!d_&lt;&gt;"",Input!d_,Input!n2_-Input!c_),"")</f>
        <v>696.2</v>
      </c>
      <c r="F3" s="35" t="str">
        <f t="shared" si="1"/>
        <v>No</v>
      </c>
      <c r="H3" s="128"/>
      <c r="I3" s="115"/>
      <c r="J3" s="76">
        <f t="shared" si="2"/>
        <v>0.86709131022703034</v>
      </c>
      <c r="K3" s="3">
        <f t="shared" si="3"/>
        <v>-0.14261099029953303</v>
      </c>
      <c r="L3" s="3">
        <f t="shared" si="4"/>
        <v>0.21223096455742627</v>
      </c>
      <c r="M3" s="3">
        <f t="shared" si="5"/>
        <v>0.57182987539406638</v>
      </c>
      <c r="N3" s="35">
        <f t="shared" si="6"/>
        <v>1.3148094785238458</v>
      </c>
      <c r="P3" s="112"/>
      <c r="Q3" s="76">
        <f t="shared" si="7"/>
        <v>0.86734579106185328</v>
      </c>
      <c r="R3" s="3">
        <f t="shared" si="8"/>
        <v>0.21171779272579308</v>
      </c>
      <c r="S3" s="3">
        <f t="shared" si="9"/>
        <v>0.5725737718612014</v>
      </c>
      <c r="T3" s="35">
        <f t="shared" si="10"/>
        <v>1.3138721300965834</v>
      </c>
      <c r="V3" s="112"/>
      <c r="W3" s="76">
        <f t="shared" si="11"/>
        <v>-8.5006693440428382E-3</v>
      </c>
      <c r="X3" s="3">
        <f t="shared" si="12"/>
        <v>1.2639820647361641E-2</v>
      </c>
      <c r="Y3" s="3">
        <f t="shared" si="13"/>
        <v>-3.3294375860620729E-2</v>
      </c>
      <c r="Z3" s="35">
        <f t="shared" si="14"/>
        <v>1.6293037172535049E-2</v>
      </c>
      <c r="AB3" s="112"/>
      <c r="AC3" s="76">
        <f t="shared" si="15"/>
        <v>0.875</v>
      </c>
      <c r="AD3" s="3">
        <f t="shared" si="16"/>
        <v>-0.13353139262452263</v>
      </c>
      <c r="AE3" s="3">
        <f t="shared" si="17"/>
        <v>0.19875827291019918</v>
      </c>
      <c r="AF3" s="3">
        <f t="shared" si="18"/>
        <v>0.5924986254989002</v>
      </c>
      <c r="AG3" s="35">
        <f t="shared" si="19"/>
        <v>1.2921970905085605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Lubis et al.</v>
      </c>
      <c r="AN3" s="6">
        <f t="shared" si="21"/>
        <v>1494</v>
      </c>
      <c r="AO3" s="3">
        <f t="shared" si="22"/>
        <v>0.86709131022703034</v>
      </c>
      <c r="AP3" s="3">
        <f t="shared" si="23"/>
        <v>22.20150953753911</v>
      </c>
      <c r="AQ3" s="3">
        <f t="shared" si="24"/>
        <v>22.20150953753911</v>
      </c>
      <c r="AR3" s="3">
        <f t="shared" si="25"/>
        <v>0.21223096455742627</v>
      </c>
      <c r="AS3" s="3">
        <f t="shared" si="26"/>
        <v>0.57182987539406638</v>
      </c>
      <c r="AT3" s="3">
        <f t="shared" si="27"/>
        <v>1.3148094785238458</v>
      </c>
      <c r="AU3" s="80">
        <f t="shared" si="28"/>
        <v>0.27887136372948795</v>
      </c>
      <c r="AW3" s="44">
        <f t="shared" si="29"/>
        <v>0.86709131022703034</v>
      </c>
      <c r="AX3" s="3">
        <f t="shared" si="30"/>
        <v>0.29526143483296396</v>
      </c>
      <c r="AY3" s="35">
        <f t="shared" si="31"/>
        <v>0.44771816829681543</v>
      </c>
      <c r="BA3" s="2" t="s">
        <v>274</v>
      </c>
      <c r="BB3" s="6">
        <f>IF(BB2&lt;&gt;"",MAX(Entry_number)+1,"")</f>
        <v>4</v>
      </c>
      <c r="BD3" s="128"/>
      <c r="BE3" s="115"/>
      <c r="BF3" s="3">
        <f t="shared" si="32"/>
        <v>-0.14261099029953303</v>
      </c>
      <c r="BG3" s="3">
        <f t="shared" si="33"/>
        <v>0.21223096455742627</v>
      </c>
      <c r="BH3" s="3">
        <f t="shared" si="34"/>
        <v>22.20150953753911</v>
      </c>
      <c r="BI3" s="3">
        <f t="shared" ref="BI3:BI33" si="99">IF(Weightf&lt;&gt;"",1/(IF(Model_effect_size_measure="Odds Ratio",SELogOddsRatio,IF(Model_effect_size_measure="Risk Ratio",SELogRiskRatio,SERiskDifference))^2+T2_),"")</f>
        <v>22.20150953753911</v>
      </c>
      <c r="BJ3" s="35">
        <f t="shared" si="35"/>
        <v>5.1562032895597271E-2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2.7313131710907244E-2</v>
      </c>
      <c r="BO3" s="112"/>
      <c r="BP3" s="3">
        <f t="shared" si="36"/>
        <v>20.713580990629186</v>
      </c>
      <c r="BQ3" s="3">
        <f t="shared" si="37"/>
        <v>23.88858099062918</v>
      </c>
      <c r="BR3" s="3">
        <f t="shared" si="38"/>
        <v>10.2687508438484</v>
      </c>
      <c r="BS3" s="3">
        <f>IF(AND(Sufficient_data="Yes",Include_study?="Yes"),IF(Add_0_5="Yes",(a_+d_+1)*(ab_+0.5)*(c_+0.5)/(Number_of_subjects+2)^2,(a_+d_)*b_*c_/Number_of_subjects^2),"")</f>
        <v>11.842756031264729</v>
      </c>
      <c r="BT3" s="3">
        <f t="shared" si="39"/>
        <v>10.444830146780788</v>
      </c>
      <c r="BU3" s="3">
        <f t="shared" si="40"/>
        <v>12.045824959364451</v>
      </c>
      <c r="BV3" s="3">
        <f t="shared" si="41"/>
        <v>23.88858099062918</v>
      </c>
      <c r="BW3" s="3">
        <f t="shared" si="42"/>
        <v>5.9201358541694789E-2</v>
      </c>
      <c r="BX3" s="3">
        <f t="shared" si="43"/>
        <v>22.20150953753911</v>
      </c>
      <c r="BY3" s="35">
        <f t="shared" si="44"/>
        <v>5.1562032895597243E-2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7.4600716385736705E-4</v>
      </c>
      <c r="CD3" s="112"/>
      <c r="CE3" s="76">
        <f t="shared" si="45"/>
        <v>47.625</v>
      </c>
      <c r="CF3" s="3">
        <f t="shared" si="46"/>
        <v>22.30926615874079</v>
      </c>
      <c r="CG3" s="3">
        <f t="shared" si="47"/>
        <v>-0.14231754542746486</v>
      </c>
      <c r="CH3" s="3">
        <f t="shared" si="48"/>
        <v>4.4824423756681886E-2</v>
      </c>
      <c r="CI3" s="3">
        <f t="shared" si="49"/>
        <v>22.30926615874079</v>
      </c>
      <c r="CJ3" s="3">
        <f t="shared" si="50"/>
        <v>22.30926615874079</v>
      </c>
      <c r="CK3" s="35">
        <f t="shared" si="51"/>
        <v>5.1304363947401704E-2</v>
      </c>
      <c r="CM3" s="3" t="s">
        <v>275</v>
      </c>
      <c r="CN3" s="3">
        <f>IF(Meta_analysis_model="Fixed effect model",1/SUM(Weightf_Peto),SUMPRODUCT(Weight_Peto,CK:CK,CK:CK)/((k_-1)*SUM(Weight_Peto)))</f>
        <v>7.3308487569609079E-4</v>
      </c>
      <c r="CP3" s="112"/>
      <c r="CQ3" s="52">
        <f t="shared" si="52"/>
        <v>6.8005354752342706E-2</v>
      </c>
      <c r="CS3" s="2" t="s">
        <v>276</v>
      </c>
      <c r="CT3" s="3">
        <f>IF(Weighting_method="Inverse variance",IF(Model_effect_size_measure="Odds Ratio",CES_IV,NA()),NA())</f>
        <v>0.82351540467450901</v>
      </c>
      <c r="CU3" s="3">
        <f>IF(Model_effect_size_measure="Odds Ratio",CES_OddsRatio_MH,NA())</f>
        <v>0.82351540467450901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3" s="3">
        <f>IF(AND(Include_study?="Yes",Sufficient_data="Yes"),1/('Publication Bias Analysis'!F:F^2+IF(Additional_model="Fixed effect",0,Calculations!GH$12)),"")</f>
        <v>22.20150953753911</v>
      </c>
      <c r="FV3" s="3">
        <f>IF(AND(Include_study?="Yes",Sufficient_data="Yes"),1/('Publication Bias Analysis'!F:F^2+IF(Additional_model="Fixed effect",0,'Publication Bias Analysis'!L$32)),"")</f>
        <v>22.20150953753911</v>
      </c>
      <c r="FW3" s="3">
        <f>IF(AND(Include_study?="Yes",Sufficient_data="Yes"),'Publication Bias Analysis'!E:E-'Publication Bias Analysis'!I$37,"")</f>
        <v>5.1562032895597271E-2</v>
      </c>
      <c r="FX3" s="3">
        <f>IF(AND(Include_study?="Yes",Sufficient_data="Yes"),IF(Additional_model="Fixed effect",1/'Publication Bias Analysis'!F:F,1/SQRT('Publication Bias Analysis'!F:F^2+GH$12)),"")</f>
        <v>4.7118477837828241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3" s="6">
        <f t="shared" si="80"/>
        <v>-3</v>
      </c>
      <c r="GA3" s="83">
        <f>IF(AND(Include_study?="Yes",Sufficient_data="Yes"),FZ:FZ+IF(GL:GL&lt;0,-1,1)*COUNTIF(FZ$2:FZ2,FZ:FZ),"")</f>
        <v>-3</v>
      </c>
      <c r="GB3" s="83">
        <f>IF(AND(Include_study?="Yes",Sufficient_data="Yes"),RANK(GP:GP,GP:GP,1)*IF(GO:GO&lt;0,-1,1)+IF(GO:GO&lt;0,-1,1)*COUNTIF(FZ$2:FZ2,FZ:FZ),"")</f>
        <v>-3</v>
      </c>
      <c r="GC3" s="83">
        <f>IF(AND(Include_study?="Yes",Sufficient_data="Yes"),RANK(GS:GS,GS:GS,1)*IF(GR:GR&lt;0,-1,1)+IF(GR:GR&lt;0,-1,1)*COUNTIF(FZ$2:FZ2,FZ:FZ),"")</f>
        <v>-3</v>
      </c>
      <c r="GD3" s="3">
        <f>IF(AND(Include_study?="Yes",Sufficient_data="Yes"),'Publication Bias Analysis'!E3,NA())</f>
        <v>-0.14261099029953303</v>
      </c>
      <c r="GE3" s="35">
        <f>IF(AND(Include_study?="Yes",Sufficient_data="Yes"),'Publication Bias Analysis'!F3,NA())</f>
        <v>0.21223096455742627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-1.2899603899835759</v>
      </c>
      <c r="GI3" s="3">
        <f>IF(Trim_and_fill="Off",GH17,GH22)</f>
        <v>0.25467715746891151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-5.1562032895597271E-2</v>
      </c>
      <c r="GM3" s="3">
        <f t="shared" si="81"/>
        <v>5.1562032895597271E-2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3" s="3">
        <f>IF(AND(Include_study?="Yes",Sufficient_data="Yes"),IF('Publication Bias Analysis'!L$38="Left",'Publication Bias Analysis'!E:E-GW$3,GW$3-'Publication Bias Analysis'!E:E),"")</f>
        <v>-5.1562032895597271E-2</v>
      </c>
      <c r="GP3" s="3">
        <f t="shared" si="82"/>
        <v>5.1562032895597271E-2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3" s="3">
        <f>IF(AND(Include_study?="Yes",Sufficient_data="Yes"),IF('Publication Bias Analysis'!L$38="Left",'Publication Bias Analysis'!E:E-GW$10,GW$10-'Publication Bias Analysis'!E:E),"")</f>
        <v>-5.1562032895597271E-2</v>
      </c>
      <c r="GS3" s="3">
        <f t="shared" si="83"/>
        <v>5.1562032895597271E-2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-0.1941730231951303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-0.41703577279858894</v>
      </c>
      <c r="HM3" s="35">
        <f>IF(AND(Include_study?="Yes",Sufficient_data="Yes"),Z_score-('Publication Bias Analysis'!P$3+'Publication Bias Analysis'!P$4*Inverse_standard_error),"")</f>
        <v>5.9774775657923773E-2</v>
      </c>
      <c r="HO3" s="112"/>
      <c r="HP3" s="3">
        <f>IF(AND(Include_study?="Yes",Sufficient_data="Yes"),(GD:GD-SUMPRODUCT(Calculations!FT:FT,'Publication Bias Analysis'!E:E)/SUM(Calculations!FT:FT))/SQRT(Calculations!HQ:HQ),"")</f>
        <v>0.28609805991678977</v>
      </c>
      <c r="HQ3" s="3">
        <f>IF(AND(Include_study?="Yes",Sufficient_data="Yes"),GE:GE^2-1/SUM(Calculations!FT:FT),"")</f>
        <v>3.2481063283161075E-2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-0.35</v>
      </c>
      <c r="HZ3" s="35">
        <f>HZ4-HY14</f>
        <v>-0.25</v>
      </c>
      <c r="IB3" s="112"/>
      <c r="IC3" s="76">
        <f t="shared" si="92"/>
        <v>5.9504685408299868E-2</v>
      </c>
      <c r="ID3" s="3">
        <f t="shared" si="93"/>
        <v>6.8005354752342706E-2</v>
      </c>
      <c r="IE3" s="3">
        <f t="shared" si="94"/>
        <v>25.313346928662643</v>
      </c>
      <c r="IF3" s="35">
        <f t="shared" si="95"/>
        <v>22.20150953753911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-0.67196127858592847</v>
      </c>
      <c r="IM3" s="3">
        <f>IF(AND(Sufficient_data="Yes",Include_study?="Yes"),'Publication Bias Analysis'!AU:AU,NA())</f>
        <v>4.7118477837828241</v>
      </c>
      <c r="IN3" s="3">
        <f t="shared" si="96"/>
        <v>-0.41703577279858894</v>
      </c>
      <c r="IO3" s="35">
        <f>IF(AND(Include_study?="Yes",Sufficient_data="Yes"),Z_score-('Publication Bias Analysis'!AY$30+'Publication Bias Analysis'!AY$31*Inverse_standard_error),"")</f>
        <v>0.24295245042645719</v>
      </c>
      <c r="IQ3" s="2" t="s">
        <v>94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0.79999999999999993</v>
      </c>
      <c r="IX3" s="3">
        <f>IF('Publication Bias Analysis'!BF3&lt;&gt;"",'Publication Bias Analysis'!BF3,NA())</f>
        <v>0.84162123357291341</v>
      </c>
      <c r="IY3" s="3">
        <f>IF('Publication Bias Analysis'!BG3&lt;&gt;"",'Publication Bias Analysis'!BG3,NA())</f>
        <v>-0.67196127858592847</v>
      </c>
      <c r="IZ3" s="3">
        <f>IF(AND(Include_study?="Yes",Sufficient_data="Yes"),'Publication Bias Analysis'!BF:BF-AVERAGE('Publication Bias Analysis'!BF:BF),"")</f>
        <v>0.84162123357291374</v>
      </c>
      <c r="JA3" s="35">
        <f>IF(AND(Include_study?="Yes",Sufficient_data="Yes"),'Publication Bias Analysis'!BG:BG-('Publication Bias Analysis'!BJ$30+'Publication Bias Analysis'!BJ$31*'Publication Bias Analysis'!BF:BF),"")</f>
        <v>-4.1097942909997465E-2</v>
      </c>
      <c r="JC3" s="2" t="s">
        <v>241</v>
      </c>
      <c r="JD3" s="3">
        <f>MIN('Publication Bias Analysis'!BF:BF)</f>
        <v>-0.84162123357291452</v>
      </c>
      <c r="JE3" s="3">
        <f>'Publication Bias Analysis'!BJ$30+JD3*'Publication Bias Analysis'!BJ$31</f>
        <v>-1.3250850782155208</v>
      </c>
      <c r="JG3" s="112"/>
      <c r="JH3" s="3">
        <f t="shared" si="98"/>
        <v>-0.67196127858592847</v>
      </c>
      <c r="JI3" s="10">
        <f t="shared" ref="JI3:JI66" si="124">IF(JH3&lt;&gt;"",1-NORMSDIST(ABS(JH3)),"")</f>
        <v>0.25080417372125341</v>
      </c>
      <c r="JJ3" s="35">
        <f t="shared" ref="JJ3:JJ66" si="125">IF(JI3&lt;&gt;"",LN(MAX(10^-306,JI3)),"")</f>
        <v>-1.3830828287300498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61</v>
      </c>
      <c r="C4" s="6">
        <f>IF(AND(Include_study?="Yes",Sufficient_data="Yes"),IF(Input!b_&lt;&gt;"",Input!b_,Input!n1_-Input!a_),"")</f>
        <v>6489</v>
      </c>
      <c r="D4" s="6">
        <f>IF(AND(Include_study?="Yes",Sufficient_data="Yes"),IF(Input!c_&lt;&gt;"",Input!c_,Input!n2_-Input!d_),"")</f>
        <v>77</v>
      </c>
      <c r="E4" s="6">
        <f>IF(AND(Include_study?="Yes",Sufficient_data="Yes"),IF(Input!d_&lt;&gt;"",Input!d_,Input!n2_-Input!c_),"")</f>
        <v>6473</v>
      </c>
      <c r="F4" s="35" t="str">
        <f t="shared" si="1"/>
        <v>No</v>
      </c>
      <c r="H4" s="128"/>
      <c r="I4" s="115"/>
      <c r="J4" s="76">
        <f t="shared" si="2"/>
        <v>0.79025443657898586</v>
      </c>
      <c r="K4" s="3">
        <f t="shared" si="3"/>
        <v>-0.23540031375603082</v>
      </c>
      <c r="L4" s="3">
        <f t="shared" si="4"/>
        <v>0.17230510855134057</v>
      </c>
      <c r="M4" s="3">
        <f t="shared" si="5"/>
        <v>0.56375059592183063</v>
      </c>
      <c r="N4" s="35">
        <f t="shared" si="6"/>
        <v>1.1077630410511592</v>
      </c>
      <c r="P4" s="112"/>
      <c r="Q4" s="76">
        <f t="shared" si="7"/>
        <v>0.79109681479231753</v>
      </c>
      <c r="R4" s="3">
        <f t="shared" si="8"/>
        <v>0.17114866464024309</v>
      </c>
      <c r="S4" s="3">
        <f t="shared" si="9"/>
        <v>0.56563225238121961</v>
      </c>
      <c r="T4" s="35">
        <f t="shared" si="10"/>
        <v>1.1064329654822378</v>
      </c>
      <c r="V4" s="112"/>
      <c r="W4" s="76">
        <f t="shared" si="11"/>
        <v>-2.4427480916030531E-3</v>
      </c>
      <c r="X4" s="3">
        <f t="shared" si="12"/>
        <v>1.783887755037992E-3</v>
      </c>
      <c r="Y4" s="3">
        <f t="shared" si="13"/>
        <v>-5.9394269657924575E-3</v>
      </c>
      <c r="Z4" s="35">
        <f t="shared" si="14"/>
        <v>1.0539307825863514E-3</v>
      </c>
      <c r="AB4" s="112"/>
      <c r="AC4" s="76">
        <f t="shared" si="15"/>
        <v>0.79220779220779225</v>
      </c>
      <c r="AD4" s="3">
        <f t="shared" si="16"/>
        <v>-0.23293155768037255</v>
      </c>
      <c r="AE4" s="3">
        <f t="shared" si="17"/>
        <v>0.17051425775727211</v>
      </c>
      <c r="AF4" s="3">
        <f t="shared" si="18"/>
        <v>0.56713140481503288</v>
      </c>
      <c r="AG4" s="35">
        <f t="shared" si="19"/>
        <v>1.1066098274692282</v>
      </c>
      <c r="AI4" s="128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Law et al.</v>
      </c>
      <c r="AN4" s="6">
        <f t="shared" si="21"/>
        <v>13100</v>
      </c>
      <c r="AO4" s="3">
        <f t="shared" si="22"/>
        <v>0.79025443657898586</v>
      </c>
      <c r="AP4" s="3">
        <f t="shared" si="23"/>
        <v>33.682451456655855</v>
      </c>
      <c r="AQ4" s="3">
        <f t="shared" si="24"/>
        <v>33.682451456655855</v>
      </c>
      <c r="AR4" s="3">
        <f t="shared" si="25"/>
        <v>0.17230510855134057</v>
      </c>
      <c r="AS4" s="3">
        <f t="shared" si="26"/>
        <v>0.56375059592183063</v>
      </c>
      <c r="AT4" s="3">
        <f t="shared" si="27"/>
        <v>1.1077630410511592</v>
      </c>
      <c r="AU4" s="80">
        <f t="shared" si="28"/>
        <v>0.42308254560743963</v>
      </c>
      <c r="AW4" s="44">
        <f t="shared" si="29"/>
        <v>0.79025443657898586</v>
      </c>
      <c r="AX4" s="3">
        <f t="shared" si="30"/>
        <v>0.22650384065715523</v>
      </c>
      <c r="AY4" s="35">
        <f t="shared" si="31"/>
        <v>0.31750860447217333</v>
      </c>
      <c r="BA4" s="2" t="s">
        <v>279</v>
      </c>
      <c r="BB4" s="3">
        <f>'Forest Plot'!$B$16-CES_CI_Lower_limit</f>
        <v>9.1308350342417355E-2</v>
      </c>
      <c r="BD4" s="128"/>
      <c r="BE4" s="115"/>
      <c r="BF4" s="3">
        <f t="shared" si="32"/>
        <v>-0.23540031375603082</v>
      </c>
      <c r="BG4" s="3">
        <f t="shared" si="33"/>
        <v>0.17230510855134057</v>
      </c>
      <c r="BH4" s="3">
        <f t="shared" si="34"/>
        <v>33.682451456655855</v>
      </c>
      <c r="BI4" s="3">
        <f t="shared" si="99"/>
        <v>33.682451456655855</v>
      </c>
      <c r="BJ4" s="35">
        <f t="shared" si="35"/>
        <v>-4.122729056090052E-2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-0.31169194390907196</v>
      </c>
      <c r="BO4" s="112"/>
      <c r="BP4" s="3">
        <f t="shared" si="36"/>
        <v>30.141450381679391</v>
      </c>
      <c r="BQ4" s="3">
        <f t="shared" si="37"/>
        <v>38.141450381679391</v>
      </c>
      <c r="BR4" s="3">
        <f t="shared" si="38"/>
        <v>15.033911205640697</v>
      </c>
      <c r="BS4" s="3">
        <f>IF(AND(Sufficient_data="Yes",Include_study?="Yes"),IF(Add_0_5="Yes",(a_+d_+1)*(ab_+0.5)*(c_+0.5)/(Number_of_subjects+2)^2,(a_+d_)*b_*c_/Number_of_subjects^2),"")</f>
        <v>19.024140213274286</v>
      </c>
      <c r="BT4" s="3">
        <f t="shared" si="39"/>
        <v>15.107539176038692</v>
      </c>
      <c r="BU4" s="3">
        <f t="shared" si="40"/>
        <v>19.117310168405105</v>
      </c>
      <c r="BV4" s="3">
        <f t="shared" si="41"/>
        <v>38.141450381679391</v>
      </c>
      <c r="BW4" s="3">
        <f t="shared" si="42"/>
        <v>5.7037217201951367E-2</v>
      </c>
      <c r="BX4" s="3">
        <f t="shared" si="43"/>
        <v>33.682451456655855</v>
      </c>
      <c r="BY4" s="35">
        <f t="shared" si="44"/>
        <v>-4.1227290560900548E-2</v>
      </c>
      <c r="CA4" s="3" t="s">
        <v>280</v>
      </c>
      <c r="CB4" s="3">
        <f>SQRT(VarlnCES_MH)</f>
        <v>2.7313131710907247E-2</v>
      </c>
      <c r="CD4" s="112"/>
      <c r="CE4" s="76">
        <f t="shared" si="45"/>
        <v>69</v>
      </c>
      <c r="CF4" s="3">
        <f t="shared" si="46"/>
        <v>34.139170929078553</v>
      </c>
      <c r="CG4" s="3">
        <f t="shared" si="47"/>
        <v>-0.23433492326510716</v>
      </c>
      <c r="CH4" s="3">
        <f t="shared" si="48"/>
        <v>2.9291865408138395E-2</v>
      </c>
      <c r="CI4" s="3">
        <f t="shared" si="49"/>
        <v>34.139170929078553</v>
      </c>
      <c r="CJ4" s="3">
        <f t="shared" si="50"/>
        <v>34.139170929078553</v>
      </c>
      <c r="CK4" s="35">
        <f t="shared" si="51"/>
        <v>-4.0713013890240596E-2</v>
      </c>
      <c r="CM4" s="3" t="s">
        <v>280</v>
      </c>
      <c r="CN4" s="3">
        <f>SQRT(VarlnCES_Peto)</f>
        <v>2.7075540173671343E-2</v>
      </c>
      <c r="CP4" s="112"/>
      <c r="CQ4" s="52">
        <f t="shared" si="52"/>
        <v>1.1755725190839695E-2</v>
      </c>
      <c r="CS4" s="2" t="s">
        <v>90</v>
      </c>
      <c r="CT4" s="3">
        <f>IF(Weighting_method="Inverse variance",IF(Model_effect_size_measure="Odds Ratio",CICES_LL,""),"")</f>
        <v>0.73220705433209166</v>
      </c>
      <c r="CU4" s="3">
        <f>IF(Model_effect_size_measure="Odds Ratio",CICES_LL_MH,"")</f>
        <v>0.73220705433209166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28"/>
      <c r="FS4" s="115"/>
      <c r="FT4" s="76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4" s="3">
        <f>IF(AND(Include_study?="Yes",Sufficient_data="Yes"),1/('Publication Bias Analysis'!F:F^2+IF(Additional_model="Fixed effect",0,Calculations!GH$12)),"")</f>
        <v>33.682451456655855</v>
      </c>
      <c r="FV4" s="3">
        <f>IF(AND(Include_study?="Yes",Sufficient_data="Yes"),1/('Publication Bias Analysis'!F:F^2+IF(Additional_model="Fixed effect",0,'Publication Bias Analysis'!L$32)),"")</f>
        <v>33.682451456655855</v>
      </c>
      <c r="FW4" s="3">
        <f>IF(AND(Include_study?="Yes",Sufficient_data="Yes"),'Publication Bias Analysis'!E:E-'Publication Bias Analysis'!I$37,"")</f>
        <v>-4.122729056090052E-2</v>
      </c>
      <c r="FX4" s="3">
        <f>IF(AND(Include_study?="Yes",Sufficient_data="Yes"),IF(Additional_model="Fixed effect",1/'Publication Bias Analysis'!F:F,1/SQRT('Publication Bias Analysis'!F:F^2+GH$12)),"")</f>
        <v>5.8036584545143466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4" s="6">
        <f t="shared" si="80"/>
        <v>2</v>
      </c>
      <c r="GA4" s="83">
        <f>IF(AND(Include_study?="Yes",Sufficient_data="Yes"),FZ:FZ+IF(GL:GL&lt;0,-1,1)*COUNTIF(FZ$2:FZ3,FZ:FZ),"")</f>
        <v>2</v>
      </c>
      <c r="GB4" s="83">
        <f>IF(AND(Include_study?="Yes",Sufficient_data="Yes"),RANK(GP:GP,GP:GP,1)*IF(GO:GO&lt;0,-1,1)+IF(GO:GO&lt;0,-1,1)*COUNTIF(FZ$2:FZ3,FZ:FZ),"")</f>
        <v>2</v>
      </c>
      <c r="GC4" s="83">
        <f>IF(AND(Include_study?="Yes",Sufficient_data="Yes"),RANK(GS:GS,GS:GS,1)*IF(GR:GR&lt;0,-1,1)+IF(GR:GR&lt;0,-1,1)*COUNTIF(FZ$2:FZ3,FZ:FZ),"")</f>
        <v>2</v>
      </c>
      <c r="GD4" s="3">
        <f>IF(AND(Include_study?="Yes",Sufficient_data="Yes"),'Publication Bias Analysis'!E4,NA())</f>
        <v>-0.23540031375603082</v>
      </c>
      <c r="GE4" s="35">
        <f>IF(AND(Include_study?="Yes",Sufficient_data="Yes"),'Publication Bias Analysis'!F4,NA())</f>
        <v>0.17230510855134057</v>
      </c>
      <c r="GG4" s="2" t="s">
        <v>272</v>
      </c>
      <c r="GH4" s="3">
        <f>IF(Trim_and_fill="Off",'Publication Bias Analysis'!I29,'Publication Bias Analysis'!I37)</f>
        <v>-0.1941730231951303</v>
      </c>
      <c r="GI4" s="3">
        <v>0</v>
      </c>
      <c r="GK4" s="112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4.122729056090052E-2</v>
      </c>
      <c r="GM4" s="3">
        <f t="shared" si="81"/>
        <v>4.122729056090052E-2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4" s="3">
        <f>IF(AND(Include_study?="Yes",Sufficient_data="Yes"),IF('Publication Bias Analysis'!L$38="Left",'Publication Bias Analysis'!E:E-GW$3,GW$3-'Publication Bias Analysis'!E:E),"")</f>
        <v>4.122729056090052E-2</v>
      </c>
      <c r="GP4" s="3">
        <f t="shared" si="82"/>
        <v>4.122729056090052E-2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4" s="3">
        <f>IF(AND(Include_study?="Yes",Sufficient_data="Yes"),IF('Publication Bias Analysis'!L$38="Left",'Publication Bias Analysis'!E:E-GW$10,GW$10-'Publication Bias Analysis'!E:E),"")</f>
        <v>4.122729056090052E-2</v>
      </c>
      <c r="GS4" s="3">
        <f t="shared" si="83"/>
        <v>4.122729056090052E-2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4" s="110" t="s">
        <v>52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>
        <f t="shared" si="89"/>
        <v>0.67477489793293355</v>
      </c>
      <c r="HM4" s="35">
        <f>IF(AND(Include_study?="Yes",Sufficient_data="Yes"),Z_score-('Publication Bias Analysis'!P$3+'Publication Bias Analysis'!P$4*Inverse_standard_error),"")</f>
        <v>1.0211022184813512E-2</v>
      </c>
      <c r="HO4" s="112"/>
      <c r="HP4" s="3">
        <f>IF(AND(Include_study?="Yes",Sufficient_data="Yes"),(GD:GD-SUMPRODUCT(Calculations!FT:FT,'Publication Bias Analysis'!E:E)/SUM(Calculations!FT:FT))/SQRT(Calculations!HQ:HQ),"")</f>
        <v>-0.31501396065717729</v>
      </c>
      <c r="HQ4" s="3">
        <f>IF(AND(Include_study?="Yes",Sufficient_data="Yes"),GE:GE^2-1/SUM(Calculations!FT:FT),"")</f>
        <v>1.7128131399074813E-2</v>
      </c>
      <c r="HR4" s="6">
        <f t="shared" si="90"/>
        <v>3</v>
      </c>
      <c r="HS4" s="6">
        <f t="shared" si="91"/>
        <v>3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12"/>
      <c r="HX4" s="20">
        <v>3</v>
      </c>
      <c r="HY4" s="3">
        <f t="shared" si="123"/>
        <v>-0.25</v>
      </c>
      <c r="HZ4" s="35">
        <f>HZ5-HY14</f>
        <v>-0.15000000000000002</v>
      </c>
      <c r="IB4" s="112"/>
      <c r="IC4" s="76">
        <f t="shared" si="92"/>
        <v>9.3129770992366415E-3</v>
      </c>
      <c r="ID4" s="3">
        <f t="shared" si="93"/>
        <v>1.1755725190839695E-2</v>
      </c>
      <c r="IE4" s="3">
        <f t="shared" si="94"/>
        <v>34.393676509715974</v>
      </c>
      <c r="IF4" s="35">
        <f t="shared" si="95"/>
        <v>33.682451456655855</v>
      </c>
      <c r="IH4" s="3">
        <f>MAX('Publication Bias Analysis'!AH:AH)</f>
        <v>6.8005354752342706E-2</v>
      </c>
      <c r="II4" s="3">
        <f>MAX('Publication Bias Analysis'!AH:AH)</f>
        <v>6.8005354752342706E-2</v>
      </c>
      <c r="IK4" s="112"/>
      <c r="IL4" s="3">
        <f>IF(AND(Include_study?="Yes",Sufficient_data="Yes"),'Publication Bias Analysis'!AV:AV,NA())</f>
        <v>-1.3661830211255181</v>
      </c>
      <c r="IM4" s="3">
        <f>IF(AND(Sufficient_data="Yes",Include_study?="Yes"),'Publication Bias Analysis'!AU:AU,NA())</f>
        <v>5.8036584545143466</v>
      </c>
      <c r="IN4" s="3">
        <f t="shared" si="96"/>
        <v>0.67477489793293355</v>
      </c>
      <c r="IO4" s="35">
        <f>IF(AND(Include_study?="Yes",Sufficient_data="Yes"),Z_score-('Publication Bias Analysis'!AY$30+'Publication Bias Analysis'!AY$31*Inverse_standard_error),"")</f>
        <v>-0.23926911342048984</v>
      </c>
      <c r="IQ4" s="2" t="s">
        <v>281</v>
      </c>
      <c r="IR4" s="3">
        <f>MAX(Inverse_standard_error)</f>
        <v>5.8036584545143466</v>
      </c>
      <c r="IS4" s="3">
        <f>IR4*'Publication Bias Analysis'!AY31</f>
        <v>-1.1269139077050283</v>
      </c>
      <c r="IU4" s="112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0.2</v>
      </c>
      <c r="IX4" s="3">
        <f>IF('Publication Bias Analysis'!BF4&lt;&gt;"",'Publication Bias Analysis'!BF4,NA())</f>
        <v>-0.84162123357291452</v>
      </c>
      <c r="IY4" s="3">
        <f>IF('Publication Bias Analysis'!BG4&lt;&gt;"",'Publication Bias Analysis'!BG4,NA())</f>
        <v>-1.3661830211255181</v>
      </c>
      <c r="IZ4" s="3">
        <f>IF(AND(Include_study?="Yes",Sufficient_data="Yes"),'Publication Bias Analysis'!BF:BF-AVERAGE('Publication Bias Analysis'!BF:BF),"")</f>
        <v>-0.84162123357291418</v>
      </c>
      <c r="JA4" s="35">
        <f>IF(AND(Include_study?="Yes",Sufficient_data="Yes"),'Publication Bias Analysis'!BG:BG-('Publication Bias Analysis'!BJ$30+'Publication Bias Analysis'!BJ$31*'Publication Bias Analysis'!BF:BF),"")</f>
        <v>-4.1097942909997354E-2</v>
      </c>
      <c r="JC4" s="2" t="s">
        <v>242</v>
      </c>
      <c r="JD4" s="3">
        <f>MAX('Publication Bias Analysis'!BF:BF)</f>
        <v>0.84162123357291341</v>
      </c>
      <c r="JE4" s="3">
        <f>'Publication Bias Analysis'!BJ$30+JD4*'Publication Bias Analysis'!BJ$31</f>
        <v>-0.630863335675931</v>
      </c>
      <c r="JG4" s="112"/>
      <c r="JH4" s="3">
        <f t="shared" si="98"/>
        <v>-1.3661830211255181</v>
      </c>
      <c r="JI4" s="10">
        <f t="shared" si="124"/>
        <v>8.5940762662790493E-2</v>
      </c>
      <c r="JJ4" s="35">
        <f t="shared" si="125"/>
        <v>-2.454097026311266</v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282</v>
      </c>
      <c r="BB5" s="3">
        <f>CES_CI_Upper_limit-'Forest Plot'!$B$16</f>
        <v>0.10269476733051741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-7.665410248118866E-2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283</v>
      </c>
      <c r="CB5" s="3">
        <f>lnCES_OddsRatio_MH-ABS(TINV((1-Confidence_level),k_-1))*SElnCES_MH</f>
        <v>-0.31169194390907196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283</v>
      </c>
      <c r="CN5" s="3">
        <f>lnCES_PetoOddsRatio-ABS(TINV((1-Confidence_level),k_-1))*SElnCES_Peto</f>
        <v>-0.3101185562125548</v>
      </c>
      <c r="CP5" s="112"/>
      <c r="CQ5" s="52" t="str">
        <f t="shared" si="52"/>
        <v/>
      </c>
      <c r="CS5" s="2" t="s">
        <v>91</v>
      </c>
      <c r="CT5" s="3">
        <f>IF(Weighting_method="Inverse variance",IF(Model_effect_size_measure="Odds Ratio",CICES_UL,""),"")</f>
        <v>0.92621017200502642</v>
      </c>
      <c r="CU5" s="3">
        <f>IF(Model_effect_size_measure="Odds Ratio",CICES_UL_MH,"")</f>
        <v>0.92621017200502642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0.90161434359331538</v>
      </c>
      <c r="GI5" s="3">
        <f>IF(Trim_and_fill="Off",GH17,GH22)</f>
        <v>0.25467715746891151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0.11878225818494448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-0.15000000000000002</v>
      </c>
      <c r="HZ5" s="35">
        <f>HZ6-HY14</f>
        <v>-0.05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285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241</v>
      </c>
      <c r="IR5" s="2" t="s">
        <v>238</v>
      </c>
      <c r="IS5" s="2" t="s">
        <v>239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286</v>
      </c>
      <c r="JD5" s="2" t="s">
        <v>238</v>
      </c>
      <c r="JE5" s="2" t="s">
        <v>239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287</v>
      </c>
      <c r="BB6" s="3">
        <f>'Forest Plot'!$B$16-CES_PI_Lower_limit</f>
        <v>9.1308350342417355E-2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-0.31169194390907196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288</v>
      </c>
      <c r="CB6" s="3">
        <f>lnCES_OddsRatio_MH+ABS(TINV((1-Confidence_level),k_-1))*SElnCES_MH</f>
        <v>-7.6654102481188618E-2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288</v>
      </c>
      <c r="CN6" s="3">
        <f>lnCES_PetoOddsRatio+ABS(TINV((1-Confidence_level),k_-1))*SElnCES_Peto</f>
        <v>-7.7125262537178343E-2</v>
      </c>
      <c r="CP6" s="112"/>
      <c r="CQ6" s="52" t="str">
        <f t="shared" si="52"/>
        <v/>
      </c>
      <c r="CS6" s="2" t="s">
        <v>289</v>
      </c>
      <c r="CT6" s="3">
        <f>IF(Weighting_method="Inverse variance",IF(Model_effect_size_measure="Odds Ratio",PICES_LL,""),"")</f>
        <v>0.73220705433209166</v>
      </c>
      <c r="CU6" s="3">
        <f>IF(Model_effect_size_measure="Odds Ratio",PICES_LL_MH,"")</f>
        <v>0.73220705433209166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291</v>
      </c>
      <c r="GH6" s="2" t="s">
        <v>238</v>
      </c>
      <c r="GI6" s="2" t="s">
        <v>239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-0.05</v>
      </c>
      <c r="HZ6" s="35">
        <f>1/2*HY14</f>
        <v>0.05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94</v>
      </c>
      <c r="IR6" s="3">
        <v>0</v>
      </c>
      <c r="IS6" s="3">
        <f>ABS(TINV((1-Additional_confidence_level),k_-1))*-1</f>
        <v>-4.3026527297494619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278</v>
      </c>
      <c r="JD6" s="3">
        <f>MIN('Publication Bias Analysis'!BF:BF)</f>
        <v>-0.84162123357291452</v>
      </c>
      <c r="JE6" s="3">
        <f>'Publication Bias Analysis'!BJ30</f>
        <v>-0.97797420694572557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292</v>
      </c>
      <c r="BB7" s="3">
        <f>CES_PI_Upper_limit-'Forest Plot'!$B$16</f>
        <v>0.10269476733051741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-7.665410248118866E-2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293</v>
      </c>
      <c r="CB7" s="3">
        <f>lnCES_OddsRatio_MH-ABS(TINV((1-Confidence_level),k_-1))*SQRT(T2_MH+SElnCES_MH^2)</f>
        <v>-0.31169194390907196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293</v>
      </c>
      <c r="CN7" s="3">
        <f>lnCES_PetoOddsRatio-ABS(TINV((1-Confidence_level),k_-1))*SQRT(T2_Peto+SElnCES_Peto^2)</f>
        <v>-0.3101185562125548</v>
      </c>
      <c r="CP7" s="112"/>
      <c r="CQ7" s="52" t="str">
        <f t="shared" si="52"/>
        <v/>
      </c>
      <c r="CS7" s="2" t="s">
        <v>294</v>
      </c>
      <c r="CT7" s="3">
        <f>IF(Weighting_method="Inverse variance",IF(Model_effect_size_measure="Odds Ratio",PICES_UL,""),"")</f>
        <v>0.92621017200502642</v>
      </c>
      <c r="CU7" s="3">
        <f>IF(Model_effect_size_measure="Odds Ratio",PICES_UL_MH,"")</f>
        <v>0.92621017200502642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241</v>
      </c>
      <c r="GH7" s="3">
        <f>IF(Trim_and_fill="Off",'Publication Bias Analysis'!I29,'Publication Bias Analysis'!I37)</f>
        <v>-0.1941730231951303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0.05</v>
      </c>
      <c r="HZ7" s="35">
        <f>HZ6+HY14</f>
        <v>0.15000000000000002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6.8005354752342706E-2</v>
      </c>
      <c r="II7" s="3">
        <f>EXP(SUMPRODUCT(LogRiskRatio,IE:IE)/SUM(IE:IE))*MAX('Publication Bias Analysis'!AH:AH)</f>
        <v>5.6448367423059385E-2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281</v>
      </c>
      <c r="IR7" s="3">
        <f>MAX(Inverse_standard_error)</f>
        <v>5.8036584545143466</v>
      </c>
      <c r="IS7" s="3">
        <f>IR7*'Publication Bias Analysis'!AY31+IS6</f>
        <v>-5.4295666374544904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284</v>
      </c>
      <c r="JD7" s="3">
        <f>MAX('Publication Bias Analysis'!BF:BF)</f>
        <v>0.84162123357291341</v>
      </c>
      <c r="JE7" s="3">
        <f>'Publication Bias Analysis'!BJ30</f>
        <v>-0.97797420694572557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296</v>
      </c>
      <c r="BB8" s="9">
        <f>IF(BB2&lt;&gt;"",MAX(Weight_lookup),"")</f>
        <v>0.42308254560743963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297</v>
      </c>
      <c r="CB8" s="3">
        <f>lnCES_OddsRatio_MH+ABS(TINV((1-Confidence_level),k_-1))*SQRT(T2_MH+SElnCES_MH^2)</f>
        <v>-7.6654102481188618E-2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297</v>
      </c>
      <c r="CN8" s="3">
        <f>lnCES_PetoOddsRatio+ABS(TINV((1-Confidence_level),k_-1))*SQRT(T2_Peto+SElnCES_Peto^2)</f>
        <v>-7.7125262537178343E-2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242</v>
      </c>
      <c r="GH8" s="3">
        <f>IF(Trim_and_fill="Off",'Publication Bias Analysis'!I29,'Publication Bias Analysis'!I37)</f>
        <v>-0.1941730231951303</v>
      </c>
      <c r="GI8" s="3">
        <f>IF(Trim_and_fill="Off",GH17,GH22)</f>
        <v>0.25467715746891151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0.15000000000000002</v>
      </c>
      <c r="HZ8" s="35">
        <f>HZ7+HY14</f>
        <v>0.25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242</v>
      </c>
      <c r="IR8" s="2" t="s">
        <v>238</v>
      </c>
      <c r="IS8" s="2" t="s">
        <v>239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0.82351540467450901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145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98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0.25</v>
      </c>
      <c r="HZ9" s="35">
        <f>HZ8+HY14</f>
        <v>0.35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94</v>
      </c>
      <c r="IR9" s="3">
        <v>0</v>
      </c>
      <c r="IS9" s="3">
        <f>ABS(TINV((1-Additional_confidence_level),k_-1))</f>
        <v>4.3026527297494619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299</v>
      </c>
      <c r="CB10" s="3">
        <f>IF(Meta_analysis_model="Fixed effect model",SUMPRODUCT(Weightf_MH,OddsRatio)/SUM(Weightf_MH),EXP(SUMPRODUCT(Weight_MH,LogOddsRatio)/SUM(Weight_MH)))</f>
        <v>0.82351540467450901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300</v>
      </c>
      <c r="CN10" s="3">
        <f>EXP(lnCES_PetoOddsRatio)</f>
        <v>0.82396938047990509</v>
      </c>
      <c r="CP10" s="112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52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-0.1941730231951303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0.35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281</v>
      </c>
      <c r="IR10" s="3">
        <f>MAX(Inverse_standard_error)</f>
        <v>5.8036584545143466</v>
      </c>
      <c r="IS10" s="3">
        <f>IR10*'Publication Bias Analysis'!AY31+IS9</f>
        <v>3.1757388220444334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0.73220705433209166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0.73220705433209166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0.73336000668535528</v>
      </c>
      <c r="CP11" s="112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0.83052082384196479</v>
      </c>
      <c r="CU11" s="3">
        <f>IF(Model_effect_size_measure="Odds Ratio",CES_OddsRatio_MH/(1-MEDIAN(Control_group_risk)+(MEDIAN(Control_group_risk)*CES_OddsRatio_MH)),NA())</f>
        <v>0.83052082384196479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0.11878225818494448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52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0.92621017200502642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0.92621017200502642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0.92577388155791307</v>
      </c>
      <c r="CP12" s="112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0.74170007114081671</v>
      </c>
      <c r="CU12" s="3">
        <f>IF(Model_effect_size_measure="Odds Ratio",CICES_LL_MH/(1-MEDIAN(Control_group_risk)+(MEDIAN(Control_group_risk)*CICES_LL_MH)),"")</f>
        <v>0.74170007114081671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0.11878225818494448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304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0.73220705433209166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0.73220705433209166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0.73336000668535528</v>
      </c>
      <c r="CP13" s="112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0.92948823421681603</v>
      </c>
      <c r="CU13" s="3">
        <f>IF(Model_effect_size_measure="Odds Ratio",CICES_UL_MH/(1-MEDIAN(Control_group_risk)+(MEDIAN(Control_group_risk)*CICES_UL_MH)),"")</f>
        <v>0.92948823421681603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307</v>
      </c>
      <c r="HY13" s="3">
        <f>MAX(MAX(Standardized_residual),ABS(MIN(Standardized_residual)))</f>
        <v>0.31501396065717729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0.92621017200502642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0.92621017200502642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0.92577388155791307</v>
      </c>
      <c r="CP14" s="112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0.74170007114081671</v>
      </c>
      <c r="CU14" s="3">
        <f>IF(Model_effect_size_measure="Odds Ratio",PICES_LL_MH/(1-MEDIAN(Control_group_risk)+(MEDIAN(Control_group_risk)*PICES_LL_MH)),"")</f>
        <v>0.74170007114081671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310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304</v>
      </c>
      <c r="HY14" s="21">
        <f>ROUND(HY13/4,1)</f>
        <v>0.1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0.92948823421681603</v>
      </c>
      <c r="CU15" s="3">
        <f>IF(Model_effect_size_measure="Odds Ratio",PICES_UL_MH/(1-MEDIAN(Control_group_risk)+(MEDIAN(Control_group_risk)*PICES_UL_MH)),"")</f>
        <v>0.92948823421681603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0.48222198161124663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-7.1091453462873728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-7.109145346287371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-7.1511743859185266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312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0.48222198161124663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98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164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0.2334540610131689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-0.1941730231951303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52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12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52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0.11878225818494448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0.11878272509322844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0.11782551574519085</v>
      </c>
      <c r="CP19" s="112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-8.1001514861472196E-3</v>
      </c>
      <c r="CU19" s="3">
        <f>IF(Model_effect_size_measure="Odds Ratio",CU11*MEDIAN(Control_group_risk)-MEDIAN(Control_group_risk),NA())</f>
        <v>-8.1001514861472196E-3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315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0.11878225818494448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12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1.1393987732122234E-3</v>
      </c>
      <c r="CU20" s="3">
        <f>IF(Model_effect_size_measure="Odds Ratio",CU19/Z_value_MH,"")</f>
        <v>1.1393987732122236E-3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0.48222198161124663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-1.3002588727981981E-2</v>
      </c>
      <c r="CU21" s="3">
        <f>IF(Model_effect_size_measure="Odds Ratio",CU19-CU20*ABS(TINV((1-Confidence_level),k_-1)),"")</f>
        <v>-1.3002588727981983E-2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0.48222198161124663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-3.1977142443124582E-3</v>
      </c>
      <c r="CU22" s="3">
        <f>IF(Model_effect_size_measure="Odds Ratio",CU19+CU20*ABS(TINV((1-Confidence_level),k_-1)),"")</f>
        <v>-3.1977142443124574E-3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0.25467715746891151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-1.3002588727981983E-2</v>
      </c>
      <c r="CU23" s="3">
        <f>IF(Model_effect_size_measure="Odds Ratio",CU19-((lnCES_OddsRatio_MH-PIlnCES_LL_MH)/SElnCES_MH)*CU20,"")</f>
        <v>-1.3002588727981983E-2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320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-3.1977142443124574E-3</v>
      </c>
      <c r="CU24" s="3">
        <f>IF(Model_effect_size_measure="Odds Ratio",CU19+((lnCES_OddsRatio_MH-PIlnCES_LL_MH)/SElnCES_MH)*CU20,"")</f>
        <v>-3.1977142443124565E-3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323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325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326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2023-07-06T19:11:01Z</dcterms:modified>
  <cp:category/>
  <cp:contentStatus/>
</cp:coreProperties>
</file>