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Features\"/>
    </mc:Choice>
  </mc:AlternateContent>
  <bookViews>
    <workbookView xWindow="-110" yWindow="-110" windowWidth="19420" windowHeight="10300" tabRatio="789" activeTab="1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B4" i="2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FK15" i="2" s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GN34" i="2" s="1"/>
  <c r="J35" i="1"/>
  <c r="J36" i="1"/>
  <c r="J37" i="1"/>
  <c r="J38" i="1"/>
  <c r="J39" i="1"/>
  <c r="J40" i="1"/>
  <c r="FU37" i="2" s="1"/>
  <c r="J41" i="1"/>
  <c r="J42" i="1"/>
  <c r="J43" i="1"/>
  <c r="J44" i="1"/>
  <c r="J45" i="1"/>
  <c r="J46" i="1"/>
  <c r="J47" i="1"/>
  <c r="J48" i="1"/>
  <c r="FU45" i="2" s="1"/>
  <c r="J49" i="1"/>
  <c r="J50" i="1"/>
  <c r="FV50" i="2" s="1"/>
  <c r="J51" i="1"/>
  <c r="J52" i="1"/>
  <c r="J53" i="1"/>
  <c r="J54" i="1"/>
  <c r="J55" i="1"/>
  <c r="J56" i="1"/>
  <c r="FU53" i="2" s="1"/>
  <c r="J57" i="1"/>
  <c r="HR57" i="2" s="1"/>
  <c r="J58" i="1"/>
  <c r="GQ58" i="2" s="1"/>
  <c r="J59" i="1"/>
  <c r="J60" i="1"/>
  <c r="J61" i="1"/>
  <c r="J62" i="1"/>
  <c r="J63" i="1"/>
  <c r="J64" i="1"/>
  <c r="J65" i="1"/>
  <c r="W65" i="2" s="1"/>
  <c r="J66" i="1"/>
  <c r="GM66" i="2" s="1"/>
  <c r="J67" i="1"/>
  <c r="J68" i="1"/>
  <c r="J69" i="1"/>
  <c r="J70" i="1"/>
  <c r="J71" i="1"/>
  <c r="J72" i="1"/>
  <c r="FU69" i="2" s="1"/>
  <c r="J73" i="1"/>
  <c r="R73" i="2" s="1"/>
  <c r="J74" i="1"/>
  <c r="GN74" i="2" s="1"/>
  <c r="J75" i="1"/>
  <c r="J76" i="1"/>
  <c r="J77" i="1"/>
  <c r="J78" i="1"/>
  <c r="J79" i="1"/>
  <c r="J80" i="1"/>
  <c r="FU77" i="2" s="1"/>
  <c r="J81" i="1"/>
  <c r="JA81" i="2" s="1"/>
  <c r="J82" i="1"/>
  <c r="GO82" i="2" s="1"/>
  <c r="GP82" i="2" s="1"/>
  <c r="J83" i="1"/>
  <c r="J84" i="1"/>
  <c r="J85" i="1"/>
  <c r="J86" i="1"/>
  <c r="J87" i="1"/>
  <c r="J88" i="1"/>
  <c r="FU85" i="2" s="1"/>
  <c r="J89" i="1"/>
  <c r="J90" i="1"/>
  <c r="J91" i="1"/>
  <c r="J92" i="1"/>
  <c r="J93" i="1"/>
  <c r="J94" i="1"/>
  <c r="J95" i="1"/>
  <c r="J96" i="1"/>
  <c r="FU93" i="2" s="1"/>
  <c r="J97" i="1"/>
  <c r="HP97" i="2" s="1"/>
  <c r="J98" i="1"/>
  <c r="GR98" i="2" s="1"/>
  <c r="GS98" i="2" s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FU109" i="2" s="1"/>
  <c r="J113" i="1"/>
  <c r="DA113" i="2" s="1"/>
  <c r="J114" i="1"/>
  <c r="GL114" i="2" s="1"/>
  <c r="J115" i="1"/>
  <c r="J116" i="1"/>
  <c r="J117" i="1"/>
  <c r="J118" i="1"/>
  <c r="J119" i="1"/>
  <c r="J120" i="1"/>
  <c r="J121" i="1"/>
  <c r="IZ121" i="2" s="1"/>
  <c r="J122" i="1"/>
  <c r="FT122" i="2" s="1"/>
  <c r="J123" i="1"/>
  <c r="J124" i="1"/>
  <c r="J125" i="1"/>
  <c r="J126" i="1"/>
  <c r="J127" i="1"/>
  <c r="J128" i="1"/>
  <c r="J129" i="1"/>
  <c r="J130" i="1"/>
  <c r="GB130" i="2" s="1"/>
  <c r="J131" i="1"/>
  <c r="J132" i="1"/>
  <c r="J133" i="1"/>
  <c r="J134" i="1"/>
  <c r="J135" i="1"/>
  <c r="J136" i="1"/>
  <c r="J137" i="1"/>
  <c r="D137" i="10" s="1"/>
  <c r="J138" i="1"/>
  <c r="GM138" i="2" s="1"/>
  <c r="J139" i="1"/>
  <c r="J140" i="1"/>
  <c r="J141" i="1"/>
  <c r="J142" i="1"/>
  <c r="J143" i="1"/>
  <c r="J144" i="1"/>
  <c r="J145" i="1"/>
  <c r="J146" i="1"/>
  <c r="GQ146" i="2" s="1"/>
  <c r="J147" i="1"/>
  <c r="J148" i="1"/>
  <c r="J149" i="1"/>
  <c r="J150" i="1"/>
  <c r="J151" i="1"/>
  <c r="J152" i="1"/>
  <c r="J153" i="1"/>
  <c r="J154" i="1"/>
  <c r="GA154" i="2" s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GB173" i="2" s="1"/>
  <c r="J174" i="1"/>
  <c r="J175" i="1"/>
  <c r="J176" i="1"/>
  <c r="J177" i="1"/>
  <c r="J178" i="1"/>
  <c r="W178" i="8" s="1"/>
  <c r="J179" i="1"/>
  <c r="J180" i="1"/>
  <c r="J181" i="1"/>
  <c r="J182" i="1"/>
  <c r="J183" i="1"/>
  <c r="J184" i="1"/>
  <c r="GO181" i="2" s="1"/>
  <c r="GP181" i="2" s="1"/>
  <c r="J185" i="1"/>
  <c r="J186" i="1"/>
  <c r="FY186" i="2" s="1"/>
  <c r="J187" i="1"/>
  <c r="J188" i="1"/>
  <c r="J189" i="1"/>
  <c r="J190" i="1"/>
  <c r="J191" i="1"/>
  <c r="J192" i="1"/>
  <c r="J193" i="1"/>
  <c r="J194" i="1"/>
  <c r="GT194" i="2" s="1"/>
  <c r="J195" i="1"/>
  <c r="J196" i="1"/>
  <c r="J197" i="1"/>
  <c r="J198" i="1"/>
  <c r="J199" i="1"/>
  <c r="J200" i="1"/>
  <c r="FV197" i="2" s="1"/>
  <c r="J201" i="1"/>
  <c r="J202" i="1"/>
  <c r="J203" i="1"/>
  <c r="J204" i="1"/>
  <c r="E1" i="8"/>
  <c r="E37" i="8"/>
  <c r="E45" i="8"/>
  <c r="E50" i="8"/>
  <c r="E53" i="8"/>
  <c r="E69" i="8"/>
  <c r="E77" i="8"/>
  <c r="E85" i="8"/>
  <c r="E93" i="8"/>
  <c r="E101" i="8"/>
  <c r="E109" i="8"/>
  <c r="E114" i="8"/>
  <c r="E138" i="8"/>
  <c r="FV34" i="2"/>
  <c r="FV37" i="2"/>
  <c r="FV45" i="2"/>
  <c r="FV53" i="2"/>
  <c r="FV69" i="2"/>
  <c r="FV77" i="2"/>
  <c r="FV85" i="2"/>
  <c r="FV93" i="2"/>
  <c r="FV109" i="2"/>
  <c r="FV114" i="2"/>
  <c r="FV117" i="2"/>
  <c r="FV141" i="2"/>
  <c r="GM37" i="2"/>
  <c r="GM45" i="2"/>
  <c r="GM50" i="2"/>
  <c r="GM53" i="2"/>
  <c r="GM58" i="2"/>
  <c r="GM69" i="2"/>
  <c r="GM77" i="2"/>
  <c r="GM82" i="2"/>
  <c r="GM85" i="2"/>
  <c r="GM93" i="2"/>
  <c r="GM101" i="2"/>
  <c r="GM109" i="2"/>
  <c r="GM117" i="2"/>
  <c r="GA37" i="2"/>
  <c r="GA45" i="2"/>
  <c r="GA50" i="2"/>
  <c r="GA53" i="2"/>
  <c r="GA58" i="2"/>
  <c r="GA69" i="2"/>
  <c r="GA77" i="2"/>
  <c r="GA82" i="2"/>
  <c r="GA85" i="2"/>
  <c r="GA93" i="2"/>
  <c r="GA109" i="2"/>
  <c r="GA146" i="2"/>
  <c r="GN37" i="2"/>
  <c r="GN42" i="2"/>
  <c r="GN45" i="2"/>
  <c r="GN50" i="2"/>
  <c r="GN53" i="2"/>
  <c r="GN58" i="2"/>
  <c r="GN69" i="2"/>
  <c r="GN77" i="2"/>
  <c r="GN85" i="2"/>
  <c r="GN93" i="2"/>
  <c r="GN109" i="2"/>
  <c r="GN138" i="2"/>
  <c r="GN189" i="2"/>
  <c r="GO37" i="2"/>
  <c r="GP37" i="2" s="1"/>
  <c r="GO45" i="2"/>
  <c r="GP45" i="2" s="1"/>
  <c r="GO50" i="2"/>
  <c r="GP50" i="2" s="1"/>
  <c r="GO53" i="2"/>
  <c r="GP53" i="2" s="1"/>
  <c r="GO58" i="2"/>
  <c r="GP58" i="2" s="1"/>
  <c r="GO66" i="2"/>
  <c r="GP66" i="2" s="1"/>
  <c r="GO69" i="2"/>
  <c r="GP69" i="2" s="1"/>
  <c r="GO77" i="2"/>
  <c r="GP77" i="2" s="1"/>
  <c r="GO85" i="2"/>
  <c r="GP85" i="2" s="1"/>
  <c r="GO93" i="2"/>
  <c r="GP93" i="2" s="1"/>
  <c r="GO109" i="2"/>
  <c r="GP109" i="2" s="1"/>
  <c r="GO146" i="2"/>
  <c r="GP146" i="2" s="1"/>
  <c r="GO154" i="2"/>
  <c r="GP154" i="2" s="1"/>
  <c r="GB34" i="2"/>
  <c r="GB37" i="2"/>
  <c r="GB45" i="2"/>
  <c r="GB50" i="2"/>
  <c r="GB53" i="2"/>
  <c r="GB58" i="2"/>
  <c r="GB61" i="2"/>
  <c r="GB66" i="2"/>
  <c r="GB69" i="2"/>
  <c r="GB77" i="2"/>
  <c r="GB85" i="2"/>
  <c r="GB93" i="2"/>
  <c r="GB95" i="2"/>
  <c r="GB109" i="2"/>
  <c r="GB114" i="2"/>
  <c r="GB117" i="2"/>
  <c r="GB178" i="2"/>
  <c r="GQ31" i="2"/>
  <c r="GQ34" i="2"/>
  <c r="GQ37" i="2"/>
  <c r="GQ45" i="2"/>
  <c r="GQ50" i="2"/>
  <c r="GQ53" i="2"/>
  <c r="GQ61" i="2"/>
  <c r="GQ66" i="2"/>
  <c r="GQ69" i="2"/>
  <c r="GQ77" i="2"/>
  <c r="GQ82" i="2"/>
  <c r="GQ85" i="2"/>
  <c r="GQ93" i="2"/>
  <c r="GQ101" i="2"/>
  <c r="GQ109" i="2"/>
  <c r="GQ114" i="2"/>
  <c r="GQ125" i="2"/>
  <c r="GQ130" i="2"/>
  <c r="GQ138" i="2"/>
  <c r="GR34" i="2"/>
  <c r="GS34" i="2" s="1"/>
  <c r="GR37" i="2"/>
  <c r="GS37" i="2" s="1"/>
  <c r="GR45" i="2"/>
  <c r="GS45" i="2" s="1"/>
  <c r="GR50" i="2"/>
  <c r="GS50" i="2" s="1"/>
  <c r="GR53" i="2"/>
  <c r="GS53" i="2" s="1"/>
  <c r="GR58" i="2"/>
  <c r="GS58" i="2" s="1"/>
  <c r="GR61" i="2"/>
  <c r="GS61" i="2" s="1"/>
  <c r="GR69" i="2"/>
  <c r="GS69" i="2" s="1"/>
  <c r="GR77" i="2"/>
  <c r="GS77" i="2" s="1"/>
  <c r="GR82" i="2"/>
  <c r="GS82" i="2" s="1"/>
  <c r="GR85" i="2"/>
  <c r="GS85" i="2" s="1"/>
  <c r="GR90" i="2"/>
  <c r="GS90" i="2" s="1"/>
  <c r="GR93" i="2"/>
  <c r="GS93" i="2" s="1"/>
  <c r="GR109" i="2"/>
  <c r="GS109" i="2" s="1"/>
  <c r="GR114" i="2"/>
  <c r="GS114" i="2" s="1"/>
  <c r="GR130" i="2"/>
  <c r="GS130" i="2" s="1"/>
  <c r="GR135" i="2"/>
  <c r="GS135" i="2" s="1"/>
  <c r="GR138" i="2"/>
  <c r="GS138" i="2" s="1"/>
  <c r="GR146" i="2"/>
  <c r="GS146" i="2" s="1"/>
  <c r="GR149" i="2"/>
  <c r="GS149" i="2" s="1"/>
  <c r="GR194" i="2"/>
  <c r="GS194" i="2" s="1"/>
  <c r="GC34" i="2"/>
  <c r="GC37" i="2"/>
  <c r="GC45" i="2"/>
  <c r="GC50" i="2"/>
  <c r="GC53" i="2"/>
  <c r="GC58" i="2"/>
  <c r="GC69" i="2"/>
  <c r="GC77" i="2"/>
  <c r="GC82" i="2"/>
  <c r="GC85" i="2"/>
  <c r="GC90" i="2"/>
  <c r="GC93" i="2"/>
  <c r="GC101" i="2"/>
  <c r="GC109" i="2"/>
  <c r="GC114" i="2"/>
  <c r="GC125" i="2"/>
  <c r="GC130" i="2"/>
  <c r="GC138" i="2"/>
  <c r="GC146" i="2"/>
  <c r="GC162" i="2"/>
  <c r="GC186" i="2"/>
  <c r="GC189" i="2"/>
  <c r="GC191" i="2"/>
  <c r="GC194" i="2"/>
  <c r="GV3" i="2"/>
  <c r="HA1" i="2"/>
  <c r="BH34" i="2"/>
  <c r="BJ34" i="2" s="1"/>
  <c r="BH37" i="2"/>
  <c r="BJ37" i="2" s="1"/>
  <c r="BH42" i="2"/>
  <c r="BJ42" i="2" s="1"/>
  <c r="BH45" i="2"/>
  <c r="BJ45" i="2" s="1"/>
  <c r="BH50" i="2"/>
  <c r="BJ50" i="2" s="1"/>
  <c r="BH53" i="2"/>
  <c r="BI53" i="2" s="1"/>
  <c r="BH58" i="2"/>
  <c r="BI58" i="2" s="1"/>
  <c r="BH66" i="2"/>
  <c r="BI66" i="2" s="1"/>
  <c r="BH69" i="2"/>
  <c r="BI69" i="2" s="1"/>
  <c r="BH77" i="2"/>
  <c r="BI77" i="2" s="1"/>
  <c r="BH82" i="2"/>
  <c r="BI82" i="2" s="1"/>
  <c r="BH85" i="2"/>
  <c r="BI85" i="2" s="1"/>
  <c r="BH93" i="2"/>
  <c r="BI93" i="2" s="1"/>
  <c r="BH98" i="2"/>
  <c r="BJ98" i="2" s="1"/>
  <c r="BH109" i="2"/>
  <c r="BI109" i="2" s="1"/>
  <c r="BH114" i="2"/>
  <c r="BJ114" i="2" s="1"/>
  <c r="BH117" i="2"/>
  <c r="BI117" i="2" s="1"/>
  <c r="BH138" i="2"/>
  <c r="BI138" i="2" s="1"/>
  <c r="BH146" i="2"/>
  <c r="BI146" i="2" s="1"/>
  <c r="BH154" i="2"/>
  <c r="BI154" i="2" s="1"/>
  <c r="BH162" i="2"/>
  <c r="BJ162" i="2" s="1"/>
  <c r="BH170" i="2"/>
  <c r="BI170" i="2" s="1"/>
  <c r="BH194" i="2"/>
  <c r="BI194" i="2" s="1"/>
  <c r="FT34" i="2"/>
  <c r="FT37" i="2"/>
  <c r="FT42" i="2"/>
  <c r="FT45" i="2"/>
  <c r="FT50" i="2"/>
  <c r="FT53" i="2"/>
  <c r="FT58" i="2"/>
  <c r="FT66" i="2"/>
  <c r="FT69" i="2"/>
  <c r="FT77" i="2"/>
  <c r="FT82" i="2"/>
  <c r="FT85" i="2"/>
  <c r="FT90" i="2"/>
  <c r="FT93" i="2"/>
  <c r="FT109" i="2"/>
  <c r="FT114" i="2"/>
  <c r="FT130" i="2"/>
  <c r="FT138" i="2"/>
  <c r="FT146" i="2"/>
  <c r="FT154" i="2"/>
  <c r="FT162" i="2"/>
  <c r="FT170" i="2"/>
  <c r="FT173" i="2"/>
  <c r="FT178" i="2"/>
  <c r="FT186" i="2"/>
  <c r="FT194" i="2"/>
  <c r="W34" i="8"/>
  <c r="W37" i="8"/>
  <c r="W45" i="8"/>
  <c r="W50" i="8"/>
  <c r="W53" i="8"/>
  <c r="W58" i="8"/>
  <c r="W61" i="8"/>
  <c r="W66" i="8"/>
  <c r="W69" i="8"/>
  <c r="W77" i="8"/>
  <c r="W82" i="8"/>
  <c r="W85" i="8"/>
  <c r="W93" i="8"/>
  <c r="W98" i="8"/>
  <c r="W109" i="8"/>
  <c r="W114" i="8"/>
  <c r="W122" i="8"/>
  <c r="W125" i="8"/>
  <c r="W130" i="8"/>
  <c r="W138" i="8"/>
  <c r="W154" i="8"/>
  <c r="W162" i="8"/>
  <c r="W170" i="8"/>
  <c r="W194" i="8"/>
  <c r="EP1" i="2"/>
  <c r="GL34" i="2"/>
  <c r="GL37" i="2"/>
  <c r="GL42" i="2"/>
  <c r="GL45" i="2"/>
  <c r="GL50" i="2"/>
  <c r="GL53" i="2"/>
  <c r="GL58" i="2"/>
  <c r="GL66" i="2"/>
  <c r="GL69" i="2"/>
  <c r="GL77" i="2"/>
  <c r="GL82" i="2"/>
  <c r="GL85" i="2"/>
  <c r="GL93" i="2"/>
  <c r="GL101" i="2"/>
  <c r="GL109" i="2"/>
  <c r="GL122" i="2"/>
  <c r="GL130" i="2"/>
  <c r="GL138" i="2"/>
  <c r="GL146" i="2"/>
  <c r="GL154" i="2"/>
  <c r="GL162" i="2"/>
  <c r="GL170" i="2"/>
  <c r="GL186" i="2"/>
  <c r="GL194" i="2"/>
  <c r="GT34" i="2"/>
  <c r="GT37" i="2"/>
  <c r="GT42" i="2"/>
  <c r="GT45" i="2"/>
  <c r="GT50" i="2"/>
  <c r="GT53" i="2"/>
  <c r="GT58" i="2"/>
  <c r="GT66" i="2"/>
  <c r="GT69" i="2"/>
  <c r="GT74" i="2"/>
  <c r="GT77" i="2"/>
  <c r="GT82" i="2"/>
  <c r="GT85" i="2"/>
  <c r="GT93" i="2"/>
  <c r="GT101" i="2"/>
  <c r="GT109" i="2"/>
  <c r="GT114" i="2"/>
  <c r="GT122" i="2"/>
  <c r="GT130" i="2"/>
  <c r="GT138" i="2"/>
  <c r="GT146" i="2"/>
  <c r="GT162" i="2"/>
  <c r="GT170" i="2"/>
  <c r="GT178" i="2"/>
  <c r="GT186" i="2"/>
  <c r="GT189" i="2"/>
  <c r="GT197" i="2"/>
  <c r="B4" i="9"/>
  <c r="DD34" i="2"/>
  <c r="DD37" i="2"/>
  <c r="DD42" i="2"/>
  <c r="DD45" i="2"/>
  <c r="DD50" i="2"/>
  <c r="DD53" i="2"/>
  <c r="DD58" i="2"/>
  <c r="DD66" i="2"/>
  <c r="DD69" i="2"/>
  <c r="DD77" i="2"/>
  <c r="DD82" i="2"/>
  <c r="DD85" i="2"/>
  <c r="DD93" i="2"/>
  <c r="DD98" i="2"/>
  <c r="DD101" i="2"/>
  <c r="DD109" i="2"/>
  <c r="DD114" i="2"/>
  <c r="DD122" i="2"/>
  <c r="DD130" i="2"/>
  <c r="DD138" i="2"/>
  <c r="DD146" i="2"/>
  <c r="DD154" i="2"/>
  <c r="DD162" i="2"/>
  <c r="DD165" i="2"/>
  <c r="DD170" i="2"/>
  <c r="DD178" i="2"/>
  <c r="DD186" i="2"/>
  <c r="DD194" i="2"/>
  <c r="DB1" i="2"/>
  <c r="DB34" i="2"/>
  <c r="DL34" i="2" s="1"/>
  <c r="DB37" i="2"/>
  <c r="DL37" i="2" s="1"/>
  <c r="DB42" i="2"/>
  <c r="DL42" i="2" s="1"/>
  <c r="DB45" i="2"/>
  <c r="DL45" i="2" s="1"/>
  <c r="DB50" i="2"/>
  <c r="DL50" i="2" s="1"/>
  <c r="DB53" i="2"/>
  <c r="DL53" i="2" s="1"/>
  <c r="DB58" i="2"/>
  <c r="DL58" i="2" s="1"/>
  <c r="DB66" i="2"/>
  <c r="DL66" i="2" s="1"/>
  <c r="DB69" i="2"/>
  <c r="DL69" i="2" s="1"/>
  <c r="DB71" i="2"/>
  <c r="DL71" i="2" s="1"/>
  <c r="DB77" i="2"/>
  <c r="DL77" i="2" s="1"/>
  <c r="DB82" i="2"/>
  <c r="DL82" i="2" s="1"/>
  <c r="DB85" i="2"/>
  <c r="DL85" i="2" s="1"/>
  <c r="DB93" i="2"/>
  <c r="DL93" i="2" s="1"/>
  <c r="DB101" i="2"/>
  <c r="DL101" i="2" s="1"/>
  <c r="DB109" i="2"/>
  <c r="DL109" i="2" s="1"/>
  <c r="DB114" i="2"/>
  <c r="DL114" i="2" s="1"/>
  <c r="DB122" i="2"/>
  <c r="DL122" i="2" s="1"/>
  <c r="DB130" i="2"/>
  <c r="DL130" i="2" s="1"/>
  <c r="DB138" i="2"/>
  <c r="DL138" i="2" s="1"/>
  <c r="DB146" i="2"/>
  <c r="DL146" i="2" s="1"/>
  <c r="DB154" i="2"/>
  <c r="DL154" i="2" s="1"/>
  <c r="DB162" i="2"/>
  <c r="DL162" i="2" s="1"/>
  <c r="DB170" i="2"/>
  <c r="DL170" i="2" s="1"/>
  <c r="DB186" i="2"/>
  <c r="DL186" i="2" s="1"/>
  <c r="DE34" i="2"/>
  <c r="DE37" i="2"/>
  <c r="DE42" i="2"/>
  <c r="DE45" i="2"/>
  <c r="DE50" i="2"/>
  <c r="DE53" i="2"/>
  <c r="DE58" i="2"/>
  <c r="DE61" i="2"/>
  <c r="DE66" i="2"/>
  <c r="DE69" i="2"/>
  <c r="DE77" i="2"/>
  <c r="DE82" i="2"/>
  <c r="DE85" i="2"/>
  <c r="DE93" i="2"/>
  <c r="DE101" i="2"/>
  <c r="DE109" i="2"/>
  <c r="DE114" i="2"/>
  <c r="DE122" i="2"/>
  <c r="DE130" i="2"/>
  <c r="DE138" i="2"/>
  <c r="DE146" i="2"/>
  <c r="DE154" i="2"/>
  <c r="DE162" i="2"/>
  <c r="DE170" i="2"/>
  <c r="DE178" i="2"/>
  <c r="DE181" i="2"/>
  <c r="DE186" i="2"/>
  <c r="DE194" i="2"/>
  <c r="B21" i="9"/>
  <c r="J32" i="10"/>
  <c r="DQ29" i="2"/>
  <c r="DS29" i="2" s="1"/>
  <c r="DQ34" i="2"/>
  <c r="DS34" i="2" s="1"/>
  <c r="DQ37" i="2"/>
  <c r="DS37" i="2" s="1"/>
  <c r="DQ42" i="2"/>
  <c r="DS42" i="2" s="1"/>
  <c r="DQ45" i="2"/>
  <c r="DS45" i="2" s="1"/>
  <c r="DQ50" i="2"/>
  <c r="DS50" i="2" s="1"/>
  <c r="DQ53" i="2"/>
  <c r="DS53" i="2" s="1"/>
  <c r="DQ58" i="2"/>
  <c r="DS58" i="2" s="1"/>
  <c r="DQ61" i="2"/>
  <c r="DS61" i="2" s="1"/>
  <c r="DQ66" i="2"/>
  <c r="DS66" i="2" s="1"/>
  <c r="DQ69" i="2"/>
  <c r="DS69" i="2" s="1"/>
  <c r="DQ77" i="2"/>
  <c r="DS77" i="2" s="1"/>
  <c r="DQ82" i="2"/>
  <c r="DS82" i="2" s="1"/>
  <c r="DQ85" i="2"/>
  <c r="DS85" i="2" s="1"/>
  <c r="DQ93" i="2"/>
  <c r="DS93" i="2" s="1"/>
  <c r="DQ101" i="2"/>
  <c r="DS101" i="2" s="1"/>
  <c r="DQ109" i="2"/>
  <c r="DP109" i="2" s="1"/>
  <c r="DQ114" i="2"/>
  <c r="DS114" i="2" s="1"/>
  <c r="DQ122" i="2"/>
  <c r="DS122" i="2" s="1"/>
  <c r="DQ130" i="2"/>
  <c r="DS130" i="2" s="1"/>
  <c r="DQ138" i="2"/>
  <c r="DS138" i="2" s="1"/>
  <c r="DQ141" i="2"/>
  <c r="DS141" i="2" s="1"/>
  <c r="DQ146" i="2"/>
  <c r="DS146" i="2" s="1"/>
  <c r="DQ154" i="2"/>
  <c r="DR154" i="2" s="1"/>
  <c r="DQ162" i="2"/>
  <c r="DS162" i="2" s="1"/>
  <c r="DQ170" i="2"/>
  <c r="DS170" i="2" s="1"/>
  <c r="DQ178" i="2"/>
  <c r="DS178" i="2" s="1"/>
  <c r="DQ186" i="2"/>
  <c r="DP186" i="2" s="1"/>
  <c r="DQ194" i="2"/>
  <c r="DS194" i="2" s="1"/>
  <c r="DA13" i="2"/>
  <c r="DJ34" i="2"/>
  <c r="DJ37" i="2"/>
  <c r="DJ42" i="2"/>
  <c r="DJ45" i="2"/>
  <c r="DJ50" i="2"/>
  <c r="DJ53" i="2"/>
  <c r="DJ58" i="2"/>
  <c r="DJ66" i="2"/>
  <c r="DJ69" i="2"/>
  <c r="DJ77" i="2"/>
  <c r="DJ82" i="2"/>
  <c r="DJ85" i="2"/>
  <c r="DJ93" i="2"/>
  <c r="DJ101" i="2"/>
  <c r="DJ109" i="2"/>
  <c r="DJ114" i="2"/>
  <c r="DJ122" i="2"/>
  <c r="DJ130" i="2"/>
  <c r="DJ138" i="2"/>
  <c r="DJ146" i="2"/>
  <c r="DJ154" i="2"/>
  <c r="DJ162" i="2"/>
  <c r="DJ167" i="2"/>
  <c r="DJ170" i="2"/>
  <c r="DJ173" i="2"/>
  <c r="DJ178" i="2"/>
  <c r="DJ186" i="2"/>
  <c r="EG1" i="2"/>
  <c r="EE1" i="2"/>
  <c r="EF1" i="2"/>
  <c r="DG1" i="2"/>
  <c r="DI34" i="2"/>
  <c r="DI37" i="2"/>
  <c r="DI42" i="2"/>
  <c r="DI45" i="2"/>
  <c r="DI50" i="2"/>
  <c r="DI53" i="2"/>
  <c r="DI58" i="2"/>
  <c r="DI66" i="2"/>
  <c r="DI69" i="2"/>
  <c r="DI74" i="2"/>
  <c r="DI77" i="2"/>
  <c r="DI82" i="2"/>
  <c r="DI85" i="2"/>
  <c r="DI93" i="2"/>
  <c r="DI101" i="2"/>
  <c r="DI109" i="2"/>
  <c r="DI114" i="2"/>
  <c r="DI122" i="2"/>
  <c r="DI130" i="2"/>
  <c r="DI138" i="2"/>
  <c r="DI146" i="2"/>
  <c r="DI154" i="2"/>
  <c r="DI162" i="2"/>
  <c r="DI170" i="2"/>
  <c r="DI178" i="2"/>
  <c r="DI181" i="2"/>
  <c r="DI186" i="2"/>
  <c r="DH34" i="2"/>
  <c r="DH37" i="2"/>
  <c r="DH42" i="2"/>
  <c r="DH45" i="2"/>
  <c r="DH50" i="2"/>
  <c r="DH53" i="2"/>
  <c r="DH58" i="2"/>
  <c r="DH66" i="2"/>
  <c r="DH69" i="2"/>
  <c r="DH77" i="2"/>
  <c r="DH82" i="2"/>
  <c r="DH85" i="2"/>
  <c r="DH93" i="2"/>
  <c r="DH101" i="2"/>
  <c r="DH109" i="2"/>
  <c r="DH114" i="2"/>
  <c r="DH122" i="2"/>
  <c r="DH125" i="2"/>
  <c r="DH130" i="2"/>
  <c r="DH138" i="2"/>
  <c r="DH146" i="2"/>
  <c r="DH154" i="2"/>
  <c r="DH162" i="2"/>
  <c r="DH170" i="2"/>
  <c r="DH178" i="2"/>
  <c r="DH186" i="2"/>
  <c r="DH194" i="2"/>
  <c r="DH197" i="2"/>
  <c r="DZ1" i="2"/>
  <c r="B9" i="5"/>
  <c r="IF194" i="2"/>
  <c r="FX194" i="2"/>
  <c r="AU194" i="2"/>
  <c r="FY189" i="2"/>
  <c r="IF186" i="2"/>
  <c r="FX186" i="2"/>
  <c r="AU186" i="2"/>
  <c r="IF181" i="2"/>
  <c r="IF178" i="2"/>
  <c r="FY178" i="2"/>
  <c r="FX178" i="2"/>
  <c r="AU178" i="2"/>
  <c r="IF170" i="2"/>
  <c r="FY170" i="2"/>
  <c r="FX170" i="2"/>
  <c r="AU170" i="2"/>
  <c r="IF162" i="2"/>
  <c r="FY162" i="2"/>
  <c r="FX162" i="2"/>
  <c r="AU162" i="2"/>
  <c r="FX157" i="2"/>
  <c r="IF154" i="2"/>
  <c r="FY154" i="2"/>
  <c r="FX154" i="2"/>
  <c r="AU154" i="2"/>
  <c r="IF146" i="2"/>
  <c r="FY146" i="2"/>
  <c r="FX146" i="2"/>
  <c r="AU146" i="2"/>
  <c r="IF138" i="2"/>
  <c r="FY138" i="2"/>
  <c r="FX138" i="2"/>
  <c r="AU138" i="2"/>
  <c r="IF130" i="2"/>
  <c r="FY130" i="2"/>
  <c r="FX130" i="2"/>
  <c r="AU130" i="2"/>
  <c r="AU125" i="2"/>
  <c r="IF122" i="2"/>
  <c r="FY122" i="2"/>
  <c r="FX122" i="2"/>
  <c r="AU122" i="2"/>
  <c r="FX117" i="2"/>
  <c r="IF114" i="2"/>
  <c r="FY114" i="2"/>
  <c r="FX114" i="2"/>
  <c r="AU114" i="2"/>
  <c r="FX111" i="2"/>
  <c r="IF109" i="2"/>
  <c r="FY109" i="2"/>
  <c r="FX109" i="2"/>
  <c r="AU109" i="2"/>
  <c r="FX103" i="2"/>
  <c r="IF101" i="2"/>
  <c r="FY101" i="2"/>
  <c r="FX101" i="2"/>
  <c r="AU101" i="2"/>
  <c r="FY98" i="2"/>
  <c r="FY95" i="2"/>
  <c r="IF93" i="2"/>
  <c r="FY93" i="2"/>
  <c r="FX93" i="2"/>
  <c r="AU93" i="2"/>
  <c r="IF90" i="2"/>
  <c r="IF87" i="2"/>
  <c r="IF85" i="2"/>
  <c r="FY85" i="2"/>
  <c r="FX85" i="2"/>
  <c r="AU85" i="2"/>
  <c r="IF82" i="2"/>
  <c r="FY82" i="2"/>
  <c r="FX82" i="2"/>
  <c r="AU82" i="2"/>
  <c r="AU79" i="2"/>
  <c r="IF77" i="2"/>
  <c r="FY77" i="2"/>
  <c r="FX77" i="2"/>
  <c r="AU77" i="2"/>
  <c r="AU74" i="2"/>
  <c r="FX71" i="2"/>
  <c r="IF69" i="2"/>
  <c r="FY69" i="2"/>
  <c r="FX69" i="2"/>
  <c r="AU69" i="2"/>
  <c r="IF66" i="2"/>
  <c r="FY66" i="2"/>
  <c r="FX66" i="2"/>
  <c r="AU66" i="2"/>
  <c r="AU61" i="2"/>
  <c r="IF58" i="2"/>
  <c r="FY58" i="2"/>
  <c r="FX58" i="2"/>
  <c r="AU58" i="2"/>
  <c r="IF53" i="2"/>
  <c r="FY53" i="2"/>
  <c r="FX53" i="2"/>
  <c r="AU53" i="2"/>
  <c r="IF50" i="2"/>
  <c r="FY50" i="2"/>
  <c r="FX50" i="2"/>
  <c r="AU50" i="2"/>
  <c r="IF45" i="2"/>
  <c r="FY45" i="2"/>
  <c r="FX45" i="2"/>
  <c r="AU45" i="2"/>
  <c r="IF42" i="2"/>
  <c r="FY42" i="2"/>
  <c r="FX42" i="2"/>
  <c r="AU42" i="2"/>
  <c r="IF37" i="2"/>
  <c r="FY37" i="2"/>
  <c r="FX37" i="2"/>
  <c r="AU37" i="2"/>
  <c r="IF34" i="2"/>
  <c r="FY34" i="2"/>
  <c r="FX34" i="2"/>
  <c r="AU34" i="2"/>
  <c r="AU31" i="2"/>
  <c r="BF34" i="2"/>
  <c r="BF37" i="2"/>
  <c r="BF42" i="2"/>
  <c r="BF45" i="2"/>
  <c r="BF50" i="2"/>
  <c r="BF53" i="2"/>
  <c r="BF58" i="2"/>
  <c r="BF61" i="2"/>
  <c r="BF66" i="2"/>
  <c r="BF69" i="2"/>
  <c r="BF77" i="2"/>
  <c r="BF82" i="2"/>
  <c r="BF85" i="2"/>
  <c r="BF90" i="2"/>
  <c r="BF93" i="2"/>
  <c r="BF98" i="2"/>
  <c r="BF101" i="2"/>
  <c r="BF103" i="2"/>
  <c r="BF109" i="2"/>
  <c r="BF114" i="2"/>
  <c r="BF122" i="2"/>
  <c r="BF130" i="2"/>
  <c r="BF138" i="2"/>
  <c r="BF141" i="2"/>
  <c r="BF146" i="2"/>
  <c r="BF154" i="2"/>
  <c r="BF162" i="2"/>
  <c r="BF170" i="2"/>
  <c r="BF178" i="2"/>
  <c r="BF181" i="2"/>
  <c r="BF186" i="2"/>
  <c r="BF194" i="2"/>
  <c r="BF1" i="2"/>
  <c r="AQ34" i="2"/>
  <c r="AQ37" i="2"/>
  <c r="AQ42" i="2"/>
  <c r="AQ45" i="2"/>
  <c r="AQ50" i="2"/>
  <c r="AQ53" i="2"/>
  <c r="AQ58" i="2"/>
  <c r="AQ66" i="2"/>
  <c r="AQ69" i="2"/>
  <c r="AQ77" i="2"/>
  <c r="AQ79" i="2"/>
  <c r="AQ82" i="2"/>
  <c r="AQ85" i="2"/>
  <c r="AQ90" i="2"/>
  <c r="AQ93" i="2"/>
  <c r="AQ101" i="2"/>
  <c r="AQ103" i="2"/>
  <c r="AQ109" i="2"/>
  <c r="AQ114" i="2"/>
  <c r="AQ122" i="2"/>
  <c r="AQ130" i="2"/>
  <c r="AQ138" i="2"/>
  <c r="AQ146" i="2"/>
  <c r="AQ154" i="2"/>
  <c r="AQ162" i="2"/>
  <c r="AQ170" i="2"/>
  <c r="AQ178" i="2"/>
  <c r="AQ186" i="2"/>
  <c r="AQ194" i="2"/>
  <c r="BV34" i="2"/>
  <c r="BX34" i="2" s="1"/>
  <c r="BV37" i="2"/>
  <c r="BX37" i="2" s="1"/>
  <c r="BV42" i="2"/>
  <c r="BX42" i="2" s="1"/>
  <c r="BV45" i="2"/>
  <c r="BX45" i="2" s="1"/>
  <c r="BV50" i="2"/>
  <c r="BX50" i="2" s="1"/>
  <c r="BV53" i="2"/>
  <c r="BX53" i="2" s="1"/>
  <c r="BV58" i="2"/>
  <c r="BY58" i="2" s="1"/>
  <c r="BV66" i="2"/>
  <c r="BY66" i="2" s="1"/>
  <c r="BV69" i="2"/>
  <c r="BY69" i="2" s="1"/>
  <c r="BV77" i="2"/>
  <c r="BX77" i="2" s="1"/>
  <c r="BV82" i="2"/>
  <c r="BY82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14" i="2"/>
  <c r="BY114" i="2" s="1"/>
  <c r="BV122" i="2"/>
  <c r="BX122" i="2" s="1"/>
  <c r="BV125" i="2"/>
  <c r="BX125" i="2" s="1"/>
  <c r="BV130" i="2"/>
  <c r="BY130" i="2" s="1"/>
  <c r="BV138" i="2"/>
  <c r="BX138" i="2" s="1"/>
  <c r="BV146" i="2"/>
  <c r="BX146" i="2" s="1"/>
  <c r="BV154" i="2"/>
  <c r="BX154" i="2" s="1"/>
  <c r="BV162" i="2"/>
  <c r="BY162" i="2" s="1"/>
  <c r="BV170" i="2"/>
  <c r="BX170" i="2" s="1"/>
  <c r="BV178" i="2"/>
  <c r="BX178" i="2" s="1"/>
  <c r="BV186" i="2"/>
  <c r="BX186" i="2" s="1"/>
  <c r="BV194" i="2"/>
  <c r="BY194" i="2" s="1"/>
  <c r="J34" i="2"/>
  <c r="J37" i="2"/>
  <c r="J42" i="2"/>
  <c r="J45" i="2"/>
  <c r="J50" i="2"/>
  <c r="J53" i="2"/>
  <c r="J58" i="2"/>
  <c r="J66" i="2"/>
  <c r="J69" i="2"/>
  <c r="J74" i="2"/>
  <c r="J77" i="2"/>
  <c r="J79" i="2"/>
  <c r="J82" i="2"/>
  <c r="J85" i="2"/>
  <c r="J93" i="2"/>
  <c r="J98" i="2"/>
  <c r="J101" i="2"/>
  <c r="J103" i="2"/>
  <c r="J109" i="2"/>
  <c r="J114" i="2"/>
  <c r="J117" i="2"/>
  <c r="J122" i="2"/>
  <c r="J125" i="2"/>
  <c r="J127" i="2"/>
  <c r="J130" i="2"/>
  <c r="J133" i="2"/>
  <c r="J138" i="2"/>
  <c r="J141" i="2"/>
  <c r="J146" i="2"/>
  <c r="J149" i="2"/>
  <c r="J154" i="2"/>
  <c r="J157" i="2"/>
  <c r="J162" i="2"/>
  <c r="J165" i="2"/>
  <c r="J170" i="2"/>
  <c r="J173" i="2"/>
  <c r="J178" i="2"/>
  <c r="J181" i="2"/>
  <c r="J186" i="2"/>
  <c r="J189" i="2"/>
  <c r="J194" i="2"/>
  <c r="J197" i="2"/>
  <c r="BW34" i="2"/>
  <c r="BW37" i="2"/>
  <c r="BW42" i="2"/>
  <c r="BW45" i="2"/>
  <c r="BW50" i="2"/>
  <c r="BW53" i="2"/>
  <c r="BW58" i="2"/>
  <c r="BW61" i="2"/>
  <c r="BW66" i="2"/>
  <c r="BW69" i="2"/>
  <c r="BW74" i="2"/>
  <c r="BW77" i="2"/>
  <c r="BW82" i="2"/>
  <c r="BW85" i="2"/>
  <c r="BW87" i="2"/>
  <c r="BW93" i="2"/>
  <c r="BW101" i="2"/>
  <c r="BW109" i="2"/>
  <c r="BW114" i="2"/>
  <c r="BW117" i="2"/>
  <c r="BW122" i="2"/>
  <c r="BW125" i="2"/>
  <c r="BW130" i="2"/>
  <c r="BW133" i="2"/>
  <c r="BW138" i="2"/>
  <c r="BW141" i="2"/>
  <c r="BW146" i="2"/>
  <c r="BW149" i="2"/>
  <c r="BW154" i="2"/>
  <c r="BW157" i="2"/>
  <c r="BW162" i="2"/>
  <c r="BW165" i="2"/>
  <c r="BW170" i="2"/>
  <c r="BW173" i="2"/>
  <c r="BW178" i="2"/>
  <c r="BW181" i="2"/>
  <c r="BW186" i="2"/>
  <c r="BW189" i="2"/>
  <c r="BW194" i="2"/>
  <c r="BW197" i="2"/>
  <c r="K34" i="2"/>
  <c r="K37" i="2"/>
  <c r="K42" i="2"/>
  <c r="K45" i="2"/>
  <c r="K50" i="2"/>
  <c r="K53" i="2"/>
  <c r="K58" i="2"/>
  <c r="K66" i="2"/>
  <c r="K69" i="2"/>
  <c r="K76" i="2"/>
  <c r="K77" i="2"/>
  <c r="K82" i="2"/>
  <c r="K85" i="2"/>
  <c r="K93" i="2"/>
  <c r="K101" i="2"/>
  <c r="K109" i="2"/>
  <c r="K114" i="2"/>
  <c r="K117" i="2"/>
  <c r="K119" i="2"/>
  <c r="K122" i="2"/>
  <c r="K125" i="2"/>
  <c r="K130" i="2"/>
  <c r="K133" i="2"/>
  <c r="K138" i="2"/>
  <c r="K141" i="2"/>
  <c r="K146" i="2"/>
  <c r="K149" i="2"/>
  <c r="K154" i="2"/>
  <c r="K157" i="2"/>
  <c r="K162" i="2"/>
  <c r="K165" i="2"/>
  <c r="K170" i="2"/>
  <c r="K173" i="2"/>
  <c r="K175" i="2"/>
  <c r="K178" i="2"/>
  <c r="K181" i="2"/>
  <c r="K186" i="2"/>
  <c r="K189" i="2"/>
  <c r="K194" i="2"/>
  <c r="K197" i="2"/>
  <c r="K199" i="2"/>
  <c r="BM10" i="2"/>
  <c r="CI34" i="2"/>
  <c r="CJ34" i="2" s="1"/>
  <c r="CI37" i="2"/>
  <c r="CK37" i="2" s="1"/>
  <c r="CI42" i="2"/>
  <c r="CJ42" i="2" s="1"/>
  <c r="CI45" i="2"/>
  <c r="CJ45" i="2" s="1"/>
  <c r="CI50" i="2"/>
  <c r="CJ50" i="2" s="1"/>
  <c r="CI53" i="2"/>
  <c r="CK53" i="2" s="1"/>
  <c r="CI58" i="2"/>
  <c r="CK58" i="2" s="1"/>
  <c r="CI61" i="2"/>
  <c r="CJ61" i="2" s="1"/>
  <c r="CI66" i="2"/>
  <c r="CJ66" i="2" s="1"/>
  <c r="CI69" i="2"/>
  <c r="CK69" i="2" s="1"/>
  <c r="CI77" i="2"/>
  <c r="CK77" i="2" s="1"/>
  <c r="CI82" i="2"/>
  <c r="CJ82" i="2" s="1"/>
  <c r="CI85" i="2"/>
  <c r="CK85" i="2" s="1"/>
  <c r="CI90" i="2"/>
  <c r="CJ90" i="2" s="1"/>
  <c r="CI93" i="2"/>
  <c r="CJ93" i="2" s="1"/>
  <c r="CI98" i="2"/>
  <c r="CJ98" i="2" s="1"/>
  <c r="CI101" i="2"/>
  <c r="CK101" i="2" s="1"/>
  <c r="CI109" i="2"/>
  <c r="CJ109" i="2" s="1"/>
  <c r="CI111" i="2"/>
  <c r="CJ111" i="2" s="1"/>
  <c r="CI114" i="2"/>
  <c r="CJ114" i="2" s="1"/>
  <c r="CI117" i="2"/>
  <c r="CK117" i="2" s="1"/>
  <c r="CI122" i="2"/>
  <c r="CK122" i="2" s="1"/>
  <c r="CI125" i="2"/>
  <c r="CJ125" i="2" s="1"/>
  <c r="CI130" i="2"/>
  <c r="CJ130" i="2" s="1"/>
  <c r="CI133" i="2"/>
  <c r="CK133" i="2" s="1"/>
  <c r="CI138" i="2"/>
  <c r="CK138" i="2" s="1"/>
  <c r="CI141" i="2"/>
  <c r="CK141" i="2" s="1"/>
  <c r="CI146" i="2"/>
  <c r="CJ146" i="2" s="1"/>
  <c r="CI149" i="2"/>
  <c r="CK149" i="2" s="1"/>
  <c r="CI154" i="2"/>
  <c r="CJ154" i="2" s="1"/>
  <c r="CI157" i="2"/>
  <c r="CJ157" i="2" s="1"/>
  <c r="CI162" i="2"/>
  <c r="CJ162" i="2" s="1"/>
  <c r="CI165" i="2"/>
  <c r="CK165" i="2" s="1"/>
  <c r="CI170" i="2"/>
  <c r="CJ170" i="2" s="1"/>
  <c r="CI173" i="2"/>
  <c r="CJ173" i="2" s="1"/>
  <c r="CI178" i="2"/>
  <c r="CJ178" i="2" s="1"/>
  <c r="CI181" i="2"/>
  <c r="CK181" i="2" s="1"/>
  <c r="CI186" i="2"/>
  <c r="CJ186" i="2" s="1"/>
  <c r="CI189" i="2"/>
  <c r="CJ189" i="2" s="1"/>
  <c r="CI194" i="2"/>
  <c r="CJ194" i="2" s="1"/>
  <c r="CI197" i="2"/>
  <c r="CK197" i="2" s="1"/>
  <c r="CI199" i="2"/>
  <c r="CJ199" i="2" s="1"/>
  <c r="CG34" i="2"/>
  <c r="CG37" i="2"/>
  <c r="CG42" i="2"/>
  <c r="CG45" i="2"/>
  <c r="CG50" i="2"/>
  <c r="CG52" i="2"/>
  <c r="CG53" i="2"/>
  <c r="CG58" i="2"/>
  <c r="CG61" i="2"/>
  <c r="CG66" i="2"/>
  <c r="CG69" i="2"/>
  <c r="CG77" i="2"/>
  <c r="CG82" i="2"/>
  <c r="CG85" i="2"/>
  <c r="CG93" i="2"/>
  <c r="CG101" i="2"/>
  <c r="CG109" i="2"/>
  <c r="CG114" i="2"/>
  <c r="CG117" i="2"/>
  <c r="CG122" i="2"/>
  <c r="CG125" i="2"/>
  <c r="CG130" i="2"/>
  <c r="CG133" i="2"/>
  <c r="CG138" i="2"/>
  <c r="CG141" i="2"/>
  <c r="CG146" i="2"/>
  <c r="CG149" i="2"/>
  <c r="CG154" i="2"/>
  <c r="CG157" i="2"/>
  <c r="CG162" i="2"/>
  <c r="CG165" i="2"/>
  <c r="CG170" i="2"/>
  <c r="CG173" i="2"/>
  <c r="CG178" i="2"/>
  <c r="CG181" i="2"/>
  <c r="CG186" i="2"/>
  <c r="CG189" i="2"/>
  <c r="CG194" i="2"/>
  <c r="CG197" i="2"/>
  <c r="B4" i="10"/>
  <c r="G197" i="10"/>
  <c r="G194" i="10"/>
  <c r="G189" i="10"/>
  <c r="G186" i="10"/>
  <c r="G181" i="10"/>
  <c r="G178" i="10"/>
  <c r="G173" i="10"/>
  <c r="G170" i="10"/>
  <c r="G165" i="10"/>
  <c r="G162" i="10"/>
  <c r="G157" i="10"/>
  <c r="G154" i="10"/>
  <c r="G149" i="10"/>
  <c r="G146" i="10"/>
  <c r="G141" i="10"/>
  <c r="G138" i="10"/>
  <c r="G133" i="10"/>
  <c r="G130" i="10"/>
  <c r="G125" i="10"/>
  <c r="G122" i="10"/>
  <c r="G117" i="10"/>
  <c r="G116" i="10"/>
  <c r="G114" i="10"/>
  <c r="G109" i="10"/>
  <c r="G101" i="10"/>
  <c r="G93" i="10"/>
  <c r="G85" i="10"/>
  <c r="G82" i="10"/>
  <c r="G77" i="10"/>
  <c r="G69" i="10"/>
  <c r="G66" i="10"/>
  <c r="G61" i="10"/>
  <c r="G58" i="10"/>
  <c r="G53" i="10"/>
  <c r="G50" i="10"/>
  <c r="G45" i="10"/>
  <c r="G42" i="10"/>
  <c r="FE34" i="2"/>
  <c r="FE37" i="2"/>
  <c r="FE42" i="2"/>
  <c r="FE45" i="2"/>
  <c r="FE50" i="2"/>
  <c r="FE53" i="2"/>
  <c r="FE58" i="2"/>
  <c r="FE66" i="2"/>
  <c r="FE69" i="2"/>
  <c r="FE71" i="2"/>
  <c r="FE77" i="2"/>
  <c r="FE82" i="2"/>
  <c r="FE85" i="2"/>
  <c r="FE93" i="2"/>
  <c r="FE95" i="2"/>
  <c r="FE101" i="2"/>
  <c r="FE109" i="2"/>
  <c r="FE114" i="2"/>
  <c r="FE117" i="2"/>
  <c r="FE119" i="2"/>
  <c r="FE122" i="2"/>
  <c r="FE125" i="2"/>
  <c r="FE130" i="2"/>
  <c r="FE133" i="2"/>
  <c r="FE138" i="2"/>
  <c r="FE141" i="2"/>
  <c r="FE146" i="2"/>
  <c r="FE149" i="2"/>
  <c r="FE154" i="2"/>
  <c r="FE157" i="2"/>
  <c r="FE162" i="2"/>
  <c r="FE165" i="2"/>
  <c r="FE170" i="2"/>
  <c r="FE173" i="2"/>
  <c r="FE178" i="2"/>
  <c r="FE181" i="2"/>
  <c r="FE186" i="2"/>
  <c r="FE189" i="2"/>
  <c r="FE194" i="2"/>
  <c r="FE197" i="2"/>
  <c r="F34" i="10"/>
  <c r="F37" i="10"/>
  <c r="F42" i="10"/>
  <c r="F45" i="10"/>
  <c r="F50" i="10"/>
  <c r="F53" i="10"/>
  <c r="F58" i="10"/>
  <c r="F61" i="10"/>
  <c r="F63" i="10"/>
  <c r="F66" i="10"/>
  <c r="F69" i="10"/>
  <c r="F76" i="10"/>
  <c r="F77" i="10"/>
  <c r="F82" i="10"/>
  <c r="F85" i="10"/>
  <c r="F90" i="10"/>
  <c r="F93" i="10"/>
  <c r="F98" i="10"/>
  <c r="F101" i="10"/>
  <c r="F103" i="10"/>
  <c r="F109" i="10"/>
  <c r="F114" i="10"/>
  <c r="F117" i="10"/>
  <c r="F122" i="10"/>
  <c r="F125" i="10"/>
  <c r="F130" i="10"/>
  <c r="F133" i="10"/>
  <c r="F138" i="10"/>
  <c r="F141" i="10"/>
  <c r="F143" i="10"/>
  <c r="F146" i="10"/>
  <c r="F149" i="10"/>
  <c r="F154" i="10"/>
  <c r="F157" i="10"/>
  <c r="F162" i="10"/>
  <c r="F165" i="10"/>
  <c r="F170" i="10"/>
  <c r="F173" i="10"/>
  <c r="F178" i="10"/>
  <c r="F181" i="10"/>
  <c r="F186" i="10"/>
  <c r="F189" i="10"/>
  <c r="F194" i="10"/>
  <c r="F197" i="10"/>
  <c r="F199" i="10"/>
  <c r="F1" i="10"/>
  <c r="FF34" i="2"/>
  <c r="FF37" i="2"/>
  <c r="FF39" i="2"/>
  <c r="FF42" i="2"/>
  <c r="FF45" i="2"/>
  <c r="FF50" i="2"/>
  <c r="FF53" i="2"/>
  <c r="FF58" i="2"/>
  <c r="FF61" i="2"/>
  <c r="FF66" i="2"/>
  <c r="FF69" i="2"/>
  <c r="FF74" i="2"/>
  <c r="FF77" i="2"/>
  <c r="FF82" i="2"/>
  <c r="FF85" i="2"/>
  <c r="FF90" i="2"/>
  <c r="FF93" i="2"/>
  <c r="FF95" i="2"/>
  <c r="FF98" i="2"/>
  <c r="FF101" i="2"/>
  <c r="FF109" i="2"/>
  <c r="FF114" i="2"/>
  <c r="FF117" i="2"/>
  <c r="FF122" i="2"/>
  <c r="FF125" i="2"/>
  <c r="FF130" i="2"/>
  <c r="FF133" i="2"/>
  <c r="FF135" i="2"/>
  <c r="FF138" i="2"/>
  <c r="FF141" i="2"/>
  <c r="FF146" i="2"/>
  <c r="FF149" i="2"/>
  <c r="FF154" i="2"/>
  <c r="FF157" i="2"/>
  <c r="FF162" i="2"/>
  <c r="FF165" i="2"/>
  <c r="FF170" i="2"/>
  <c r="FF173" i="2"/>
  <c r="FF178" i="2"/>
  <c r="FF181" i="2"/>
  <c r="FF186" i="2"/>
  <c r="FF189" i="2"/>
  <c r="FF191" i="2"/>
  <c r="FF194" i="2"/>
  <c r="FF197" i="2"/>
  <c r="E11" i="10"/>
  <c r="FB11" i="2" s="1"/>
  <c r="E13" i="10"/>
  <c r="FG31" i="2"/>
  <c r="FG34" i="2"/>
  <c r="FG37" i="2"/>
  <c r="FG42" i="2"/>
  <c r="FG45" i="2"/>
  <c r="FG50" i="2"/>
  <c r="FG53" i="2"/>
  <c r="FG58" i="2"/>
  <c r="FG60" i="2"/>
  <c r="FG61" i="2"/>
  <c r="FG66" i="2"/>
  <c r="FG69" i="2"/>
  <c r="FG71" i="2"/>
  <c r="FG77" i="2"/>
  <c r="FG82" i="2"/>
  <c r="FG85" i="2"/>
  <c r="FG90" i="2"/>
  <c r="FG93" i="2"/>
  <c r="FG98" i="2"/>
  <c r="FG101" i="2"/>
  <c r="FG109" i="2"/>
  <c r="FG114" i="2"/>
  <c r="FG117" i="2"/>
  <c r="FG122" i="2"/>
  <c r="FG125" i="2"/>
  <c r="FG130" i="2"/>
  <c r="FG133" i="2"/>
  <c r="FG138" i="2"/>
  <c r="FG141" i="2"/>
  <c r="FG146" i="2"/>
  <c r="FG149" i="2"/>
  <c r="FG154" i="2"/>
  <c r="FG157" i="2"/>
  <c r="FG162" i="2"/>
  <c r="FG165" i="2"/>
  <c r="FG170" i="2"/>
  <c r="FG173" i="2"/>
  <c r="FG175" i="2"/>
  <c r="FG178" i="2"/>
  <c r="FG181" i="2"/>
  <c r="FG186" i="2"/>
  <c r="FG189" i="2"/>
  <c r="FG194" i="2"/>
  <c r="FG197" i="2"/>
  <c r="FH18" i="2"/>
  <c r="FH34" i="2"/>
  <c r="FH37" i="2"/>
  <c r="FH42" i="2"/>
  <c r="FH45" i="2"/>
  <c r="FH50" i="2"/>
  <c r="FH52" i="2"/>
  <c r="FH53" i="2"/>
  <c r="FH58" i="2"/>
  <c r="FH61" i="2"/>
  <c r="FH66" i="2"/>
  <c r="FH69" i="2"/>
  <c r="FH74" i="2"/>
  <c r="FH77" i="2"/>
  <c r="FH79" i="2"/>
  <c r="FH82" i="2"/>
  <c r="FH85" i="2"/>
  <c r="FH90" i="2"/>
  <c r="FH93" i="2"/>
  <c r="FH98" i="2"/>
  <c r="FH101" i="2"/>
  <c r="FH108" i="2"/>
  <c r="FH109" i="2"/>
  <c r="FH114" i="2"/>
  <c r="FH117" i="2"/>
  <c r="FH122" i="2"/>
  <c r="FH125" i="2"/>
  <c r="FH130" i="2"/>
  <c r="FH133" i="2"/>
  <c r="FH135" i="2"/>
  <c r="FH138" i="2"/>
  <c r="FH141" i="2"/>
  <c r="FH146" i="2"/>
  <c r="FH149" i="2"/>
  <c r="FH154" i="2"/>
  <c r="FH157" i="2"/>
  <c r="FH162" i="2"/>
  <c r="FH165" i="2"/>
  <c r="FH170" i="2"/>
  <c r="FH173" i="2"/>
  <c r="FH178" i="2"/>
  <c r="FH180" i="2"/>
  <c r="FH181" i="2"/>
  <c r="FH186" i="2"/>
  <c r="FH189" i="2"/>
  <c r="FH194" i="2"/>
  <c r="FH197" i="2"/>
  <c r="FJ18" i="2"/>
  <c r="FJ34" i="2"/>
  <c r="FJ37" i="2"/>
  <c r="FJ42" i="2"/>
  <c r="FJ45" i="2"/>
  <c r="FJ50" i="2"/>
  <c r="FJ53" i="2"/>
  <c r="FJ58" i="2"/>
  <c r="FJ61" i="2"/>
  <c r="FJ66" i="2"/>
  <c r="FJ69" i="2"/>
  <c r="FJ77" i="2"/>
  <c r="FJ82" i="2"/>
  <c r="FJ85" i="2"/>
  <c r="FJ90" i="2"/>
  <c r="FJ93" i="2"/>
  <c r="FJ95" i="2"/>
  <c r="FJ98" i="2"/>
  <c r="FJ101" i="2"/>
  <c r="FJ109" i="2"/>
  <c r="FJ114" i="2"/>
  <c r="FJ117" i="2"/>
  <c r="FJ122" i="2"/>
  <c r="FJ125" i="2"/>
  <c r="FJ130" i="2"/>
  <c r="FJ132" i="2"/>
  <c r="FJ133" i="2"/>
  <c r="FJ138" i="2"/>
  <c r="FJ141" i="2"/>
  <c r="FJ146" i="2"/>
  <c r="FJ149" i="2"/>
  <c r="FJ151" i="2"/>
  <c r="FJ154" i="2"/>
  <c r="FJ157" i="2"/>
  <c r="FJ162" i="2"/>
  <c r="FJ165" i="2"/>
  <c r="FJ170" i="2"/>
  <c r="FJ173" i="2"/>
  <c r="FJ178" i="2"/>
  <c r="FJ181" i="2"/>
  <c r="FJ186" i="2"/>
  <c r="FJ189" i="2"/>
  <c r="FJ194" i="2"/>
  <c r="FJ197" i="2"/>
  <c r="E29" i="10"/>
  <c r="E31" i="10"/>
  <c r="E34" i="10"/>
  <c r="E37" i="10"/>
  <c r="E42" i="10"/>
  <c r="E45" i="10"/>
  <c r="E50" i="10"/>
  <c r="E53" i="10"/>
  <c r="E58" i="10"/>
  <c r="E61" i="10"/>
  <c r="E66" i="10"/>
  <c r="E69" i="10"/>
  <c r="E77" i="10"/>
  <c r="E82" i="10"/>
  <c r="E85" i="10"/>
  <c r="E90" i="10"/>
  <c r="E93" i="10"/>
  <c r="E98" i="10"/>
  <c r="E101" i="10"/>
  <c r="E109" i="10"/>
  <c r="E111" i="10"/>
  <c r="E114" i="10"/>
  <c r="E117" i="10"/>
  <c r="E122" i="10"/>
  <c r="E125" i="10"/>
  <c r="E130" i="10"/>
  <c r="E133" i="10"/>
  <c r="E138" i="10"/>
  <c r="E141" i="10"/>
  <c r="E146" i="10"/>
  <c r="E149" i="10"/>
  <c r="E154" i="10"/>
  <c r="E156" i="10"/>
  <c r="E157" i="10"/>
  <c r="E162" i="10"/>
  <c r="E165" i="10"/>
  <c r="E170" i="10"/>
  <c r="E173" i="10"/>
  <c r="E178" i="10"/>
  <c r="E181" i="10"/>
  <c r="E186" i="10"/>
  <c r="E189" i="10"/>
  <c r="E194" i="10"/>
  <c r="E197" i="10"/>
  <c r="G37" i="10"/>
  <c r="FK34" i="2"/>
  <c r="FK37" i="2"/>
  <c r="FK42" i="2"/>
  <c r="FK45" i="2"/>
  <c r="FK50" i="2"/>
  <c r="FK53" i="2"/>
  <c r="FK58" i="2"/>
  <c r="FK61" i="2"/>
  <c r="FK63" i="2"/>
  <c r="FK66" i="2"/>
  <c r="FK69" i="2"/>
  <c r="FK77" i="2"/>
  <c r="FK82" i="2"/>
  <c r="FK85" i="2"/>
  <c r="FK90" i="2"/>
  <c r="FK93" i="2"/>
  <c r="FK98" i="2"/>
  <c r="FK101" i="2"/>
  <c r="FK103" i="2"/>
  <c r="FK109" i="2"/>
  <c r="FK114" i="2"/>
  <c r="FK117" i="2"/>
  <c r="FK122" i="2"/>
  <c r="FK125" i="2"/>
  <c r="FK130" i="2"/>
  <c r="FK133" i="2"/>
  <c r="FK138" i="2"/>
  <c r="FK141" i="2"/>
  <c r="FK143" i="2"/>
  <c r="FK146" i="2"/>
  <c r="FK149" i="2"/>
  <c r="FK154" i="2"/>
  <c r="FK157" i="2"/>
  <c r="FK162" i="2"/>
  <c r="FK165" i="2"/>
  <c r="FK170" i="2"/>
  <c r="FK173" i="2"/>
  <c r="FK178" i="2"/>
  <c r="FK181" i="2"/>
  <c r="FK186" i="2"/>
  <c r="FK189" i="2"/>
  <c r="FK194" i="2"/>
  <c r="FK197" i="2"/>
  <c r="FM34" i="2"/>
  <c r="FM37" i="2"/>
  <c r="FM39" i="2"/>
  <c r="FM42" i="2"/>
  <c r="FM45" i="2"/>
  <c r="FM50" i="2"/>
  <c r="FM53" i="2"/>
  <c r="FM55" i="2"/>
  <c r="FM58" i="2"/>
  <c r="FM61" i="2"/>
  <c r="FM66" i="2"/>
  <c r="FM69" i="2"/>
  <c r="FM77" i="2"/>
  <c r="FM79" i="2"/>
  <c r="FM82" i="2"/>
  <c r="FM85" i="2"/>
  <c r="FM90" i="2"/>
  <c r="FM93" i="2"/>
  <c r="FM98" i="2"/>
  <c r="FM101" i="2"/>
  <c r="FM109" i="2"/>
  <c r="FM114" i="2"/>
  <c r="FM117" i="2"/>
  <c r="FM119" i="2"/>
  <c r="FM122" i="2"/>
  <c r="FM125" i="2"/>
  <c r="FM130" i="2"/>
  <c r="FM133" i="2"/>
  <c r="FM138" i="2"/>
  <c r="FM141" i="2"/>
  <c r="FM146" i="2"/>
  <c r="FM149" i="2"/>
  <c r="FM154" i="2"/>
  <c r="FM157" i="2"/>
  <c r="FM162" i="2"/>
  <c r="FM165" i="2"/>
  <c r="FM170" i="2"/>
  <c r="FM173" i="2"/>
  <c r="FM178" i="2"/>
  <c r="FM181" i="2"/>
  <c r="FM186" i="2"/>
  <c r="FM189" i="2"/>
  <c r="FM191" i="2"/>
  <c r="FM194" i="2"/>
  <c r="FM197" i="2"/>
  <c r="G34" i="10"/>
  <c r="G31" i="10"/>
  <c r="FL34" i="2"/>
  <c r="FL37" i="2"/>
  <c r="FL42" i="2"/>
  <c r="FL45" i="2"/>
  <c r="FL47" i="2"/>
  <c r="FL50" i="2"/>
  <c r="FL53" i="2"/>
  <c r="FL58" i="2"/>
  <c r="FL61" i="2"/>
  <c r="FL66" i="2"/>
  <c r="FL69" i="2"/>
  <c r="FL77" i="2"/>
  <c r="FL79" i="2"/>
  <c r="FL82" i="2"/>
  <c r="FL85" i="2"/>
  <c r="FL90" i="2"/>
  <c r="FL92" i="2"/>
  <c r="FL93" i="2"/>
  <c r="FL95" i="2"/>
  <c r="FL98" i="2"/>
  <c r="FL101" i="2"/>
  <c r="FL109" i="2"/>
  <c r="FL114" i="2"/>
  <c r="FL117" i="2"/>
  <c r="FL122" i="2"/>
  <c r="FL125" i="2"/>
  <c r="FL130" i="2"/>
  <c r="FL133" i="2"/>
  <c r="FL138" i="2"/>
  <c r="FL141" i="2"/>
  <c r="FL146" i="2"/>
  <c r="FL149" i="2"/>
  <c r="FL154" i="2"/>
  <c r="FL157" i="2"/>
  <c r="FL159" i="2"/>
  <c r="FL162" i="2"/>
  <c r="FL165" i="2"/>
  <c r="FL170" i="2"/>
  <c r="FL173" i="2"/>
  <c r="FL175" i="2"/>
  <c r="FL178" i="2"/>
  <c r="FL181" i="2"/>
  <c r="FL186" i="2"/>
  <c r="FL189" i="2"/>
  <c r="FL194" i="2"/>
  <c r="FL197" i="2"/>
  <c r="FL199" i="2"/>
  <c r="K8" i="5"/>
  <c r="J1" i="5"/>
  <c r="CV22" i="2"/>
  <c r="CV21" i="2"/>
  <c r="HB1" i="2"/>
  <c r="HI1" i="2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FW90" i="2"/>
  <c r="AF90" i="2"/>
  <c r="Y90" i="2"/>
  <c r="S90" i="2"/>
  <c r="N90" i="2"/>
  <c r="AG90" i="2"/>
  <c r="Z90" i="2"/>
  <c r="T90" i="2"/>
  <c r="M90" i="2"/>
  <c r="FW82" i="2"/>
  <c r="AF82" i="2"/>
  <c r="Y82" i="2"/>
  <c r="S82" i="2"/>
  <c r="N82" i="2"/>
  <c r="AG82" i="2"/>
  <c r="Z82" i="2"/>
  <c r="T82" i="2"/>
  <c r="M82" i="2"/>
  <c r="FW58" i="2"/>
  <c r="AF58" i="2"/>
  <c r="AG58" i="2"/>
  <c r="Y58" i="2"/>
  <c r="S58" i="2"/>
  <c r="N58" i="2"/>
  <c r="Z58" i="2"/>
  <c r="T58" i="2"/>
  <c r="M58" i="2"/>
  <c r="FW34" i="2"/>
  <c r="AF34" i="2"/>
  <c r="AG34" i="2"/>
  <c r="Y34" i="2"/>
  <c r="S34" i="2"/>
  <c r="N34" i="2"/>
  <c r="Z34" i="2"/>
  <c r="T34" i="2"/>
  <c r="M34" i="2"/>
  <c r="AG199" i="2"/>
  <c r="M199" i="2"/>
  <c r="FW194" i="2"/>
  <c r="AF194" i="2"/>
  <c r="Y194" i="2"/>
  <c r="T194" i="2"/>
  <c r="N194" i="2"/>
  <c r="AG194" i="2"/>
  <c r="Z194" i="2"/>
  <c r="S194" i="2"/>
  <c r="M194" i="2"/>
  <c r="FW186" i="2"/>
  <c r="AF186" i="2"/>
  <c r="Y186" i="2"/>
  <c r="T186" i="2"/>
  <c r="N186" i="2"/>
  <c r="AG186" i="2"/>
  <c r="Z186" i="2"/>
  <c r="S186" i="2"/>
  <c r="M186" i="2"/>
  <c r="FW178" i="2"/>
  <c r="AF178" i="2"/>
  <c r="Y178" i="2"/>
  <c r="T178" i="2"/>
  <c r="N178" i="2"/>
  <c r="AG178" i="2"/>
  <c r="Z178" i="2"/>
  <c r="S178" i="2"/>
  <c r="M178" i="2"/>
  <c r="FW170" i="2"/>
  <c r="AF170" i="2"/>
  <c r="Y170" i="2"/>
  <c r="S170" i="2"/>
  <c r="N170" i="2"/>
  <c r="AG170" i="2"/>
  <c r="Z170" i="2"/>
  <c r="M170" i="2"/>
  <c r="T170" i="2"/>
  <c r="FW162" i="2"/>
  <c r="AF162" i="2"/>
  <c r="Y162" i="2"/>
  <c r="S162" i="2"/>
  <c r="N162" i="2"/>
  <c r="AG162" i="2"/>
  <c r="Z162" i="2"/>
  <c r="M162" i="2"/>
  <c r="T162" i="2"/>
  <c r="FW122" i="2"/>
  <c r="AF122" i="2"/>
  <c r="Y122" i="2"/>
  <c r="S122" i="2"/>
  <c r="N122" i="2"/>
  <c r="AG122" i="2"/>
  <c r="Z122" i="2"/>
  <c r="M122" i="2"/>
  <c r="T122" i="2"/>
  <c r="FW114" i="2"/>
  <c r="AF114" i="2"/>
  <c r="Y114" i="2"/>
  <c r="S114" i="2"/>
  <c r="N114" i="2"/>
  <c r="AG114" i="2"/>
  <c r="Z114" i="2"/>
  <c r="M114" i="2"/>
  <c r="T114" i="2"/>
  <c r="AG106" i="2"/>
  <c r="Z106" i="2"/>
  <c r="FW66" i="2"/>
  <c r="AF66" i="2"/>
  <c r="Y66" i="2"/>
  <c r="S66" i="2"/>
  <c r="N66" i="2"/>
  <c r="AG66" i="2"/>
  <c r="Z66" i="2"/>
  <c r="T66" i="2"/>
  <c r="M66" i="2"/>
  <c r="FW50" i="2"/>
  <c r="AF50" i="2"/>
  <c r="AG50" i="2"/>
  <c r="Y50" i="2"/>
  <c r="S50" i="2"/>
  <c r="N50" i="2"/>
  <c r="Z50" i="2"/>
  <c r="T50" i="2"/>
  <c r="M50" i="2"/>
  <c r="FW42" i="2"/>
  <c r="AF42" i="2"/>
  <c r="AG42" i="2"/>
  <c r="Y42" i="2"/>
  <c r="S42" i="2"/>
  <c r="N42" i="2"/>
  <c r="Z42" i="2"/>
  <c r="T42" i="2"/>
  <c r="M42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FW154" i="2"/>
  <c r="AF154" i="2"/>
  <c r="Y154" i="2"/>
  <c r="S154" i="2"/>
  <c r="N154" i="2"/>
  <c r="AG154" i="2"/>
  <c r="Z154" i="2"/>
  <c r="M154" i="2"/>
  <c r="T154" i="2"/>
  <c r="FW146" i="2"/>
  <c r="AF146" i="2"/>
  <c r="Y146" i="2"/>
  <c r="S146" i="2"/>
  <c r="N146" i="2"/>
  <c r="AG146" i="2"/>
  <c r="Z146" i="2"/>
  <c r="M146" i="2"/>
  <c r="T146" i="2"/>
  <c r="FW138" i="2"/>
  <c r="AF138" i="2"/>
  <c r="Y138" i="2"/>
  <c r="S138" i="2"/>
  <c r="N138" i="2"/>
  <c r="AG138" i="2"/>
  <c r="Z138" i="2"/>
  <c r="M138" i="2"/>
  <c r="T138" i="2"/>
  <c r="FW130" i="2"/>
  <c r="AF130" i="2"/>
  <c r="Y130" i="2"/>
  <c r="S130" i="2"/>
  <c r="N130" i="2"/>
  <c r="AG130" i="2"/>
  <c r="Z130" i="2"/>
  <c r="M130" i="2"/>
  <c r="T130" i="2"/>
  <c r="FW98" i="2"/>
  <c r="AF98" i="2"/>
  <c r="Y98" i="2"/>
  <c r="S98" i="2"/>
  <c r="N98" i="2"/>
  <c r="AG98" i="2"/>
  <c r="Z98" i="2"/>
  <c r="T98" i="2"/>
  <c r="M98" i="2"/>
  <c r="FW74" i="2"/>
  <c r="AF74" i="2"/>
  <c r="Y74" i="2"/>
  <c r="S74" i="2"/>
  <c r="N74" i="2"/>
  <c r="AG74" i="2"/>
  <c r="Z74" i="2"/>
  <c r="T74" i="2"/>
  <c r="M74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A202" i="1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A194" i="1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A186" i="1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A178" i="1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A170" i="1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A162" i="1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A154" i="1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A146" i="1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A138" i="1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A130" i="1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A122" i="1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A114" i="1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A106" i="1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A98" i="1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A90" i="1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A82" i="1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A74" i="1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A66" i="1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A58" i="1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A50" i="1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42" i="1"/>
  <c r="A38" i="1"/>
  <c r="E31" i="2"/>
  <c r="D31" i="2"/>
  <c r="B31" i="2"/>
  <c r="C31" i="2"/>
  <c r="A34" i="1"/>
  <c r="A198" i="1"/>
  <c r="D194" i="2"/>
  <c r="E194" i="2"/>
  <c r="B194" i="2"/>
  <c r="C194" i="2"/>
  <c r="A197" i="1"/>
  <c r="F194" i="2"/>
  <c r="BG194" i="8"/>
  <c r="IY194" i="2" s="1"/>
  <c r="JH194" i="2"/>
  <c r="JI194" i="2" s="1"/>
  <c r="JJ194" i="2" s="1"/>
  <c r="AV194" i="8"/>
  <c r="IM194" i="2"/>
  <c r="IL194" i="2"/>
  <c r="AU194" i="8"/>
  <c r="CY194" i="2"/>
  <c r="F194" i="8"/>
  <c r="FD194" i="2"/>
  <c r="DF194" i="2"/>
  <c r="AR194" i="2"/>
  <c r="DC194" i="2"/>
  <c r="AO194" i="2"/>
  <c r="AY194" i="2" s="1"/>
  <c r="DG194" i="2"/>
  <c r="C186" i="2"/>
  <c r="D186" i="2"/>
  <c r="E186" i="2"/>
  <c r="B186" i="2"/>
  <c r="A189" i="1"/>
  <c r="F186" i="2"/>
  <c r="BG186" i="8"/>
  <c r="IV186" i="2" s="1"/>
  <c r="IW186" i="2" s="1"/>
  <c r="JH186" i="2"/>
  <c r="JI186" i="2" s="1"/>
  <c r="JJ186" i="2" s="1"/>
  <c r="IM186" i="2"/>
  <c r="AV186" i="8"/>
  <c r="IL186" i="2"/>
  <c r="AU186" i="8"/>
  <c r="CY186" i="2"/>
  <c r="F186" i="8"/>
  <c r="FD186" i="2"/>
  <c r="DF186" i="2"/>
  <c r="AR186" i="2"/>
  <c r="DC186" i="2"/>
  <c r="AO186" i="2"/>
  <c r="AX186" i="2" s="1"/>
  <c r="DG186" i="2"/>
  <c r="E178" i="2"/>
  <c r="B178" i="2"/>
  <c r="C178" i="2"/>
  <c r="D178" i="2"/>
  <c r="A181" i="1"/>
  <c r="F178" i="2"/>
  <c r="BG178" i="8"/>
  <c r="IV178" i="2" s="1"/>
  <c r="IW178" i="2" s="1"/>
  <c r="JH178" i="2"/>
  <c r="JI178" i="2" s="1"/>
  <c r="JJ178" i="2" s="1"/>
  <c r="AV178" i="8"/>
  <c r="IM178" i="2"/>
  <c r="IL178" i="2"/>
  <c r="AU178" i="8"/>
  <c r="CY178" i="2"/>
  <c r="F178" i="8"/>
  <c r="FD178" i="2"/>
  <c r="DF178" i="2"/>
  <c r="AR178" i="2"/>
  <c r="DC178" i="2"/>
  <c r="AO178" i="2"/>
  <c r="AW178" i="2" s="1"/>
  <c r="DG178" i="2"/>
  <c r="E170" i="2"/>
  <c r="B170" i="2"/>
  <c r="C170" i="2"/>
  <c r="D170" i="2"/>
  <c r="A173" i="1"/>
  <c r="F170" i="2"/>
  <c r="BG170" i="8"/>
  <c r="IY170" i="2" s="1"/>
  <c r="JH170" i="2"/>
  <c r="JI170" i="2" s="1"/>
  <c r="JJ170" i="2" s="1"/>
  <c r="IM170" i="2"/>
  <c r="AV170" i="8"/>
  <c r="IL170" i="2"/>
  <c r="AU170" i="8"/>
  <c r="CY170" i="2"/>
  <c r="F170" i="8"/>
  <c r="FD170" i="2"/>
  <c r="DF170" i="2"/>
  <c r="AR170" i="2"/>
  <c r="DC170" i="2"/>
  <c r="AO170" i="2"/>
  <c r="DG170" i="2"/>
  <c r="E162" i="2"/>
  <c r="B162" i="2"/>
  <c r="C162" i="2"/>
  <c r="D162" i="2"/>
  <c r="A165" i="1"/>
  <c r="F162" i="2"/>
  <c r="BG162" i="8"/>
  <c r="IV162" i="2" s="1"/>
  <c r="IW162" i="2" s="1"/>
  <c r="JH162" i="2"/>
  <c r="JI162" i="2" s="1"/>
  <c r="JJ162" i="2" s="1"/>
  <c r="AV162" i="8"/>
  <c r="IM162" i="2"/>
  <c r="IL162" i="2"/>
  <c r="AU162" i="8"/>
  <c r="CY162" i="2"/>
  <c r="F162" i="8"/>
  <c r="FD162" i="2"/>
  <c r="DF162" i="2"/>
  <c r="AO162" i="2"/>
  <c r="AW162" i="2" s="1"/>
  <c r="DC162" i="2"/>
  <c r="AR162" i="2"/>
  <c r="DG162" i="2"/>
  <c r="E154" i="2"/>
  <c r="B154" i="2"/>
  <c r="C154" i="2"/>
  <c r="D154" i="2"/>
  <c r="A157" i="1"/>
  <c r="F154" i="2"/>
  <c r="BG154" i="8"/>
  <c r="IY154" i="2" s="1"/>
  <c r="JH154" i="2"/>
  <c r="JI154" i="2" s="1"/>
  <c r="JJ154" i="2" s="1"/>
  <c r="IM154" i="2"/>
  <c r="AV154" i="8"/>
  <c r="IL154" i="2"/>
  <c r="AU154" i="8"/>
  <c r="CY154" i="2"/>
  <c r="F154" i="8"/>
  <c r="FD154" i="2"/>
  <c r="DF154" i="2"/>
  <c r="DC154" i="2"/>
  <c r="AO154" i="2"/>
  <c r="AX154" i="2" s="1"/>
  <c r="AR154" i="2"/>
  <c r="DG154" i="2"/>
  <c r="E146" i="2"/>
  <c r="B146" i="2"/>
  <c r="C146" i="2"/>
  <c r="D146" i="2"/>
  <c r="A149" i="1"/>
  <c r="F146" i="2"/>
  <c r="BG146" i="8"/>
  <c r="IY146" i="2" s="1"/>
  <c r="JH146" i="2"/>
  <c r="JI146" i="2" s="1"/>
  <c r="JJ146" i="2" s="1"/>
  <c r="AV146" i="8"/>
  <c r="IM146" i="2"/>
  <c r="IL146" i="2"/>
  <c r="AU146" i="8"/>
  <c r="CY146" i="2"/>
  <c r="F146" i="8"/>
  <c r="FD146" i="2"/>
  <c r="DF146" i="2"/>
  <c r="AR146" i="2"/>
  <c r="DC146" i="2"/>
  <c r="AO146" i="2"/>
  <c r="AW146" i="2" s="1"/>
  <c r="DG146" i="2"/>
  <c r="E138" i="2"/>
  <c r="B138" i="2"/>
  <c r="C138" i="2"/>
  <c r="D138" i="2"/>
  <c r="A141" i="1"/>
  <c r="F138" i="2"/>
  <c r="BG138" i="8"/>
  <c r="IY138" i="2" s="1"/>
  <c r="JH138" i="2"/>
  <c r="JI138" i="2" s="1"/>
  <c r="JJ138" i="2" s="1"/>
  <c r="AV138" i="8"/>
  <c r="IM138" i="2"/>
  <c r="IL138" i="2"/>
  <c r="AU138" i="8"/>
  <c r="CY138" i="2"/>
  <c r="F138" i="8"/>
  <c r="FD138" i="2"/>
  <c r="DF138" i="2"/>
  <c r="AR138" i="2"/>
  <c r="DC138" i="2"/>
  <c r="AO138" i="2"/>
  <c r="AY138" i="2" s="1"/>
  <c r="DG138" i="2"/>
  <c r="F134" i="2"/>
  <c r="E130" i="2"/>
  <c r="B130" i="2"/>
  <c r="C130" i="2"/>
  <c r="D130" i="2"/>
  <c r="A133" i="1"/>
  <c r="F130" i="2"/>
  <c r="BG130" i="8"/>
  <c r="IV130" i="2" s="1"/>
  <c r="IW130" i="2" s="1"/>
  <c r="JH130" i="2"/>
  <c r="JI130" i="2" s="1"/>
  <c r="JJ130" i="2" s="1"/>
  <c r="AV130" i="8"/>
  <c r="IM130" i="2"/>
  <c r="IL130" i="2"/>
  <c r="AU130" i="8"/>
  <c r="CY130" i="2"/>
  <c r="F130" i="8"/>
  <c r="FD130" i="2"/>
  <c r="DF130" i="2"/>
  <c r="AR130" i="2"/>
  <c r="DC130" i="2"/>
  <c r="AO130" i="2"/>
  <c r="AY130" i="2" s="1"/>
  <c r="DG130" i="2"/>
  <c r="E122" i="2"/>
  <c r="B122" i="2"/>
  <c r="C122" i="2"/>
  <c r="D122" i="2"/>
  <c r="A125" i="1"/>
  <c r="F122" i="2"/>
  <c r="BG122" i="8"/>
  <c r="IV122" i="2" s="1"/>
  <c r="IW122" i="2" s="1"/>
  <c r="JH122" i="2"/>
  <c r="JI122" i="2" s="1"/>
  <c r="JJ122" i="2" s="1"/>
  <c r="AV122" i="8"/>
  <c r="IM122" i="2"/>
  <c r="IL122" i="2"/>
  <c r="AU122" i="8"/>
  <c r="CY122" i="2"/>
  <c r="F122" i="8"/>
  <c r="FD122" i="2"/>
  <c r="DF122" i="2"/>
  <c r="AR122" i="2"/>
  <c r="DC122" i="2"/>
  <c r="AO122" i="2"/>
  <c r="AX122" i="2" s="1"/>
  <c r="DG122" i="2"/>
  <c r="E114" i="2"/>
  <c r="B114" i="2"/>
  <c r="C114" i="2"/>
  <c r="D114" i="2"/>
  <c r="A117" i="1"/>
  <c r="F114" i="2"/>
  <c r="BG114" i="8"/>
  <c r="IY114" i="2" s="1"/>
  <c r="JH114" i="2"/>
  <c r="JI114" i="2" s="1"/>
  <c r="JJ114" i="2" s="1"/>
  <c r="AV114" i="8"/>
  <c r="IM114" i="2"/>
  <c r="IL114" i="2"/>
  <c r="AU114" i="8"/>
  <c r="CY114" i="2"/>
  <c r="F114" i="8"/>
  <c r="FD114" i="2"/>
  <c r="DF114" i="2"/>
  <c r="AR114" i="2"/>
  <c r="DC114" i="2"/>
  <c r="AO114" i="2"/>
  <c r="AY114" i="2" s="1"/>
  <c r="DG114" i="2"/>
  <c r="C106" i="2"/>
  <c r="D106" i="2"/>
  <c r="IL106" i="2"/>
  <c r="AU106" i="8"/>
  <c r="AR106" i="2"/>
  <c r="DG106" i="2"/>
  <c r="B98" i="2"/>
  <c r="E98" i="2"/>
  <c r="D98" i="2"/>
  <c r="C98" i="2"/>
  <c r="A101" i="1"/>
  <c r="F98" i="2"/>
  <c r="BG98" i="8"/>
  <c r="IY98" i="2" s="1"/>
  <c r="JH98" i="2"/>
  <c r="JI98" i="2" s="1"/>
  <c r="JJ98" i="2" s="1"/>
  <c r="AV98" i="8"/>
  <c r="IM98" i="2"/>
  <c r="IL98" i="2"/>
  <c r="AU98" i="8"/>
  <c r="CY98" i="2"/>
  <c r="F98" i="8"/>
  <c r="FD98" i="2"/>
  <c r="DF98" i="2"/>
  <c r="AO98" i="2"/>
  <c r="AY98" i="2" s="1"/>
  <c r="DC98" i="2"/>
  <c r="AR98" i="2"/>
  <c r="DG98" i="2"/>
  <c r="B90" i="2"/>
  <c r="D90" i="2"/>
  <c r="E90" i="2"/>
  <c r="C90" i="2"/>
  <c r="A93" i="1"/>
  <c r="F90" i="2"/>
  <c r="BG90" i="8"/>
  <c r="IY90" i="2" s="1"/>
  <c r="JH90" i="2"/>
  <c r="JI90" i="2" s="1"/>
  <c r="JJ90" i="2" s="1"/>
  <c r="AV90" i="8"/>
  <c r="IM90" i="2"/>
  <c r="IL90" i="2"/>
  <c r="AU90" i="8"/>
  <c r="CY90" i="2"/>
  <c r="F90" i="8"/>
  <c r="FD90" i="2"/>
  <c r="DF90" i="2"/>
  <c r="DC90" i="2"/>
  <c r="AO90" i="2"/>
  <c r="AW90" i="2" s="1"/>
  <c r="AR90" i="2"/>
  <c r="DG90" i="2"/>
  <c r="B82" i="2"/>
  <c r="C82" i="2"/>
  <c r="D82" i="2"/>
  <c r="E82" i="2"/>
  <c r="A85" i="1"/>
  <c r="F82" i="2"/>
  <c r="BG82" i="8"/>
  <c r="IY82" i="2" s="1"/>
  <c r="JH82" i="2"/>
  <c r="JI82" i="2" s="1"/>
  <c r="JJ82" i="2" s="1"/>
  <c r="AV82" i="8"/>
  <c r="IL82" i="2"/>
  <c r="IM82" i="2"/>
  <c r="AU82" i="8"/>
  <c r="CY82" i="2"/>
  <c r="F82" i="8"/>
  <c r="FD82" i="2"/>
  <c r="DF82" i="2"/>
  <c r="AO82" i="2"/>
  <c r="AX82" i="2" s="1"/>
  <c r="DC82" i="2"/>
  <c r="AR82" i="2"/>
  <c r="DG82" i="2"/>
  <c r="IL78" i="2"/>
  <c r="B74" i="2"/>
  <c r="C74" i="2"/>
  <c r="D74" i="2"/>
  <c r="E74" i="2"/>
  <c r="A77" i="1"/>
  <c r="F74" i="2"/>
  <c r="BG74" i="8"/>
  <c r="IY74" i="2" s="1"/>
  <c r="JH74" i="2"/>
  <c r="JI74" i="2" s="1"/>
  <c r="JJ74" i="2" s="1"/>
  <c r="AV74" i="8"/>
  <c r="IL74" i="2"/>
  <c r="IM74" i="2"/>
  <c r="AU74" i="8"/>
  <c r="CY74" i="2"/>
  <c r="F74" i="8"/>
  <c r="FD74" i="2"/>
  <c r="DF74" i="2"/>
  <c r="DC74" i="2"/>
  <c r="AR74" i="2"/>
  <c r="AO74" i="2"/>
  <c r="AX74" i="2" s="1"/>
  <c r="DG74" i="2"/>
  <c r="AR70" i="2"/>
  <c r="B66" i="2"/>
  <c r="C66" i="2"/>
  <c r="D66" i="2"/>
  <c r="E66" i="2"/>
  <c r="A69" i="1"/>
  <c r="F66" i="2"/>
  <c r="BG66" i="8"/>
  <c r="IV66" i="2" s="1"/>
  <c r="IW66" i="2" s="1"/>
  <c r="JH66" i="2"/>
  <c r="JI66" i="2" s="1"/>
  <c r="JJ66" i="2" s="1"/>
  <c r="AV66" i="8"/>
  <c r="IL66" i="2"/>
  <c r="IM66" i="2"/>
  <c r="AU66" i="8"/>
  <c r="CY66" i="2"/>
  <c r="F66" i="8"/>
  <c r="FD66" i="2"/>
  <c r="DF66" i="2"/>
  <c r="DC66" i="2"/>
  <c r="AR66" i="2"/>
  <c r="AO66" i="2"/>
  <c r="AW66" i="2" s="1"/>
  <c r="DG66" i="2"/>
  <c r="B58" i="2"/>
  <c r="C58" i="2"/>
  <c r="D58" i="2"/>
  <c r="E58" i="2"/>
  <c r="A61" i="1"/>
  <c r="F58" i="2"/>
  <c r="BG58" i="8"/>
  <c r="IY58" i="2" s="1"/>
  <c r="JH58" i="2"/>
  <c r="JI58" i="2" s="1"/>
  <c r="JJ58" i="2" s="1"/>
  <c r="AV58" i="8"/>
  <c r="IM58" i="2"/>
  <c r="IL58" i="2"/>
  <c r="AU58" i="8"/>
  <c r="CY58" i="2"/>
  <c r="F58" i="8"/>
  <c r="FD58" i="2"/>
  <c r="DF58" i="2"/>
  <c r="DC58" i="2"/>
  <c r="AO58" i="2"/>
  <c r="AX58" i="2" s="1"/>
  <c r="AR58" i="2"/>
  <c r="DG58" i="2"/>
  <c r="B50" i="2"/>
  <c r="C50" i="2"/>
  <c r="D50" i="2"/>
  <c r="E50" i="2"/>
  <c r="A53" i="1"/>
  <c r="F50" i="2"/>
  <c r="BG50" i="8"/>
  <c r="IY50" i="2" s="1"/>
  <c r="JH50" i="2"/>
  <c r="JI50" i="2" s="1"/>
  <c r="JJ50" i="2" s="1"/>
  <c r="AV50" i="8"/>
  <c r="IL50" i="2"/>
  <c r="IM50" i="2"/>
  <c r="AU50" i="8"/>
  <c r="CY50" i="2"/>
  <c r="F50" i="8"/>
  <c r="FD50" i="2"/>
  <c r="DF50" i="2"/>
  <c r="DC50" i="2"/>
  <c r="AR50" i="2"/>
  <c r="AO50" i="2"/>
  <c r="AX50" i="2" s="1"/>
  <c r="DG50" i="2"/>
  <c r="E42" i="2"/>
  <c r="C42" i="2"/>
  <c r="D42" i="2"/>
  <c r="B42" i="2"/>
  <c r="A45" i="1"/>
  <c r="E34" i="2"/>
  <c r="C34" i="2"/>
  <c r="D34" i="2"/>
  <c r="B34" i="2"/>
  <c r="A37" i="1"/>
  <c r="D26" i="2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F42" i="2"/>
  <c r="BG42" i="8"/>
  <c r="IV42" i="2" s="1"/>
  <c r="IW42" i="2" s="1"/>
  <c r="IM42" i="2"/>
  <c r="AU42" i="8"/>
  <c r="JH42" i="2"/>
  <c r="JI42" i="2" s="1"/>
  <c r="JJ42" i="2" s="1"/>
  <c r="IL42" i="2"/>
  <c r="AV42" i="8"/>
  <c r="CY42" i="2"/>
  <c r="F42" i="8"/>
  <c r="FD42" i="2"/>
  <c r="DF42" i="2"/>
  <c r="AO42" i="2"/>
  <c r="AY42" i="2" s="1"/>
  <c r="DC42" i="2"/>
  <c r="AR42" i="2"/>
  <c r="DG42" i="2"/>
  <c r="F36" i="2"/>
  <c r="CY36" i="2"/>
  <c r="FD36" i="2"/>
  <c r="F34" i="2"/>
  <c r="CY34" i="2"/>
  <c r="FD34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94" i="2"/>
  <c r="BU194" i="2"/>
  <c r="BT188" i="2"/>
  <c r="BU188" i="2"/>
  <c r="BT186" i="2"/>
  <c r="BU186" i="2"/>
  <c r="BT180" i="2"/>
  <c r="BU180" i="2"/>
  <c r="BT178" i="2"/>
  <c r="BU178" i="2"/>
  <c r="BT172" i="2"/>
  <c r="BU172" i="2"/>
  <c r="BT170" i="2"/>
  <c r="BU170" i="2"/>
  <c r="BT164" i="2"/>
  <c r="BU164" i="2"/>
  <c r="BT162" i="2"/>
  <c r="BU162" i="2"/>
  <c r="BT156" i="2"/>
  <c r="BU156" i="2"/>
  <c r="BT154" i="2"/>
  <c r="BU154" i="2"/>
  <c r="BT148" i="2"/>
  <c r="BU148" i="2"/>
  <c r="BT146" i="2"/>
  <c r="BU146" i="2"/>
  <c r="BT140" i="2"/>
  <c r="BU140" i="2"/>
  <c r="BT138" i="2"/>
  <c r="BU138" i="2"/>
  <c r="BT132" i="2"/>
  <c r="BU132" i="2"/>
  <c r="BT130" i="2"/>
  <c r="BU130" i="2"/>
  <c r="BT124" i="2"/>
  <c r="BU124" i="2"/>
  <c r="BT122" i="2"/>
  <c r="BU122" i="2"/>
  <c r="BT116" i="2"/>
  <c r="BU116" i="2"/>
  <c r="BT114" i="2"/>
  <c r="BU114" i="2"/>
  <c r="BT108" i="2"/>
  <c r="BU108" i="2"/>
  <c r="BT100" i="2"/>
  <c r="BU100" i="2"/>
  <c r="BT98" i="2"/>
  <c r="BU98" i="2"/>
  <c r="BT92" i="2"/>
  <c r="BU92" i="2"/>
  <c r="BT90" i="2"/>
  <c r="BU90" i="2"/>
  <c r="BT84" i="2"/>
  <c r="BU84" i="2"/>
  <c r="BT82" i="2"/>
  <c r="BU82" i="2"/>
  <c r="BT76" i="2"/>
  <c r="BU76" i="2"/>
  <c r="BT74" i="2"/>
  <c r="BU74" i="2"/>
  <c r="BT68" i="2"/>
  <c r="BU68" i="2"/>
  <c r="BT66" i="2"/>
  <c r="BU66" i="2"/>
  <c r="BT60" i="2"/>
  <c r="BU60" i="2"/>
  <c r="BT58" i="2"/>
  <c r="BU58" i="2"/>
  <c r="BT52" i="2"/>
  <c r="BU52" i="2"/>
  <c r="BT50" i="2"/>
  <c r="BU50" i="2"/>
  <c r="BT44" i="2"/>
  <c r="BU44" i="2"/>
  <c r="BT42" i="2"/>
  <c r="BU42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R194" i="2"/>
  <c r="BS194" i="2"/>
  <c r="BS190" i="2"/>
  <c r="BR188" i="2"/>
  <c r="BS188" i="2"/>
  <c r="BR186" i="2"/>
  <c r="BS186" i="2"/>
  <c r="BR180" i="2"/>
  <c r="BS180" i="2"/>
  <c r="BR178" i="2"/>
  <c r="BS178" i="2"/>
  <c r="BR172" i="2"/>
  <c r="BS172" i="2"/>
  <c r="BR170" i="2"/>
  <c r="BS170" i="2"/>
  <c r="BR164" i="2"/>
  <c r="BS164" i="2"/>
  <c r="BR162" i="2"/>
  <c r="BS162" i="2"/>
  <c r="BR156" i="2"/>
  <c r="BS156" i="2"/>
  <c r="BR154" i="2"/>
  <c r="BS154" i="2"/>
  <c r="BS150" i="2"/>
  <c r="BR148" i="2"/>
  <c r="BS148" i="2"/>
  <c r="BR146" i="2"/>
  <c r="BS146" i="2"/>
  <c r="BR140" i="2"/>
  <c r="BS140" i="2"/>
  <c r="BR138" i="2"/>
  <c r="BS138" i="2"/>
  <c r="BR132" i="2"/>
  <c r="BS132" i="2"/>
  <c r="BR130" i="2"/>
  <c r="BS130" i="2"/>
  <c r="BR124" i="2"/>
  <c r="BS124" i="2"/>
  <c r="BR122" i="2"/>
  <c r="BS122" i="2"/>
  <c r="BR116" i="2"/>
  <c r="BS116" i="2"/>
  <c r="BR114" i="2"/>
  <c r="BS114" i="2"/>
  <c r="BR108" i="2"/>
  <c r="BS108" i="2"/>
  <c r="BR100" i="2"/>
  <c r="BS100" i="2"/>
  <c r="BR98" i="2"/>
  <c r="BS98" i="2"/>
  <c r="BR92" i="2"/>
  <c r="BS92" i="2"/>
  <c r="BR90" i="2"/>
  <c r="BS90" i="2"/>
  <c r="BR84" i="2"/>
  <c r="BS84" i="2"/>
  <c r="BR82" i="2"/>
  <c r="BS82" i="2"/>
  <c r="BR76" i="2"/>
  <c r="BS76" i="2"/>
  <c r="BR74" i="2"/>
  <c r="BS74" i="2"/>
  <c r="BR68" i="2"/>
  <c r="BS68" i="2"/>
  <c r="BR66" i="2"/>
  <c r="BS66" i="2"/>
  <c r="BR60" i="2"/>
  <c r="BS60" i="2"/>
  <c r="BR58" i="2"/>
  <c r="BS58" i="2"/>
  <c r="BR52" i="2"/>
  <c r="BS52" i="2"/>
  <c r="BR50" i="2"/>
  <c r="BS50" i="2"/>
  <c r="BR44" i="2"/>
  <c r="BS44" i="2"/>
  <c r="BR42" i="2"/>
  <c r="BS42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94" i="2"/>
  <c r="BQ194" i="2"/>
  <c r="BP188" i="2"/>
  <c r="BQ188" i="2"/>
  <c r="BP186" i="2"/>
  <c r="BQ186" i="2"/>
  <c r="BP180" i="2"/>
  <c r="BQ180" i="2"/>
  <c r="BP178" i="2"/>
  <c r="BQ178" i="2"/>
  <c r="BP172" i="2"/>
  <c r="BQ172" i="2"/>
  <c r="BP170" i="2"/>
  <c r="BQ170" i="2"/>
  <c r="BP164" i="2"/>
  <c r="BQ164" i="2"/>
  <c r="BP162" i="2"/>
  <c r="BQ162" i="2"/>
  <c r="BP156" i="2"/>
  <c r="BQ156" i="2"/>
  <c r="BP154" i="2"/>
  <c r="BQ154" i="2"/>
  <c r="BP148" i="2"/>
  <c r="BQ148" i="2"/>
  <c r="BP146" i="2"/>
  <c r="BQ146" i="2"/>
  <c r="BP140" i="2"/>
  <c r="BQ140" i="2"/>
  <c r="BP138" i="2"/>
  <c r="BQ138" i="2"/>
  <c r="BP132" i="2"/>
  <c r="BQ132" i="2"/>
  <c r="BP130" i="2"/>
  <c r="BQ130" i="2"/>
  <c r="BP124" i="2"/>
  <c r="BQ124" i="2"/>
  <c r="BP122" i="2"/>
  <c r="BQ122" i="2"/>
  <c r="BP116" i="2"/>
  <c r="BQ116" i="2"/>
  <c r="BP114" i="2"/>
  <c r="BQ114" i="2"/>
  <c r="BP108" i="2"/>
  <c r="BQ108" i="2"/>
  <c r="BP100" i="2"/>
  <c r="BQ100" i="2"/>
  <c r="BP98" i="2"/>
  <c r="BQ98" i="2"/>
  <c r="BP92" i="2"/>
  <c r="BQ92" i="2"/>
  <c r="BP90" i="2"/>
  <c r="BQ90" i="2"/>
  <c r="BP84" i="2"/>
  <c r="BQ84" i="2"/>
  <c r="BP82" i="2"/>
  <c r="BQ82" i="2"/>
  <c r="BP76" i="2"/>
  <c r="BQ76" i="2"/>
  <c r="BP74" i="2"/>
  <c r="BQ74" i="2"/>
  <c r="BP68" i="2"/>
  <c r="BQ68" i="2"/>
  <c r="BP66" i="2"/>
  <c r="BQ66" i="2"/>
  <c r="BP60" i="2"/>
  <c r="BQ60" i="2"/>
  <c r="BP58" i="2"/>
  <c r="BQ58" i="2"/>
  <c r="BP52" i="2"/>
  <c r="BQ52" i="2"/>
  <c r="BP50" i="2"/>
  <c r="BQ50" i="2"/>
  <c r="BP44" i="2"/>
  <c r="BQ44" i="2"/>
  <c r="BP42" i="2"/>
  <c r="BQ42" i="2"/>
  <c r="AM194" i="2"/>
  <c r="AP194" i="2"/>
  <c r="AT194" i="2"/>
  <c r="AS194" i="2"/>
  <c r="IE194" i="2"/>
  <c r="AM186" i="2"/>
  <c r="AP186" i="2"/>
  <c r="AT186" i="2"/>
  <c r="AS186" i="2"/>
  <c r="IE186" i="2"/>
  <c r="AM180" i="2"/>
  <c r="AP180" i="2"/>
  <c r="AT180" i="2"/>
  <c r="AS180" i="2"/>
  <c r="IE180" i="2"/>
  <c r="AM178" i="2"/>
  <c r="AP178" i="2"/>
  <c r="AT178" i="2"/>
  <c r="AS178" i="2"/>
  <c r="IE178" i="2"/>
  <c r="AM172" i="2"/>
  <c r="AP172" i="2"/>
  <c r="AT172" i="2"/>
  <c r="AS172" i="2"/>
  <c r="IE172" i="2"/>
  <c r="AM170" i="2"/>
  <c r="AP170" i="2"/>
  <c r="AT170" i="2"/>
  <c r="AS170" i="2"/>
  <c r="IE170" i="2"/>
  <c r="AM164" i="2"/>
  <c r="AP164" i="2"/>
  <c r="AT164" i="2"/>
  <c r="AS164" i="2"/>
  <c r="IE164" i="2"/>
  <c r="AM162" i="2"/>
  <c r="AP162" i="2"/>
  <c r="AT162" i="2"/>
  <c r="AS162" i="2"/>
  <c r="IE162" i="2"/>
  <c r="AM156" i="2"/>
  <c r="AP156" i="2"/>
  <c r="AT156" i="2"/>
  <c r="AS156" i="2"/>
  <c r="IE156" i="2"/>
  <c r="AM154" i="2"/>
  <c r="AP154" i="2"/>
  <c r="AT154" i="2"/>
  <c r="AS154" i="2"/>
  <c r="IE154" i="2"/>
  <c r="AM148" i="2"/>
  <c r="AP148" i="2"/>
  <c r="AT148" i="2"/>
  <c r="AS148" i="2"/>
  <c r="IE148" i="2"/>
  <c r="AM146" i="2"/>
  <c r="AP146" i="2"/>
  <c r="AT146" i="2"/>
  <c r="AS146" i="2"/>
  <c r="IE146" i="2"/>
  <c r="AM140" i="2"/>
  <c r="AP140" i="2"/>
  <c r="AT140" i="2"/>
  <c r="AS140" i="2"/>
  <c r="IE140" i="2"/>
  <c r="AM138" i="2"/>
  <c r="AP138" i="2"/>
  <c r="AT138" i="2"/>
  <c r="AS138" i="2"/>
  <c r="IE138" i="2"/>
  <c r="AM132" i="2"/>
  <c r="AP132" i="2"/>
  <c r="AT132" i="2"/>
  <c r="AS132" i="2"/>
  <c r="IE132" i="2"/>
  <c r="AM130" i="2"/>
  <c r="AP130" i="2"/>
  <c r="AT130" i="2"/>
  <c r="AS130" i="2"/>
  <c r="IE130" i="2"/>
  <c r="AM124" i="2"/>
  <c r="AP124" i="2"/>
  <c r="AT124" i="2"/>
  <c r="AS124" i="2"/>
  <c r="IE124" i="2"/>
  <c r="AM122" i="2"/>
  <c r="AP122" i="2"/>
  <c r="AT122" i="2"/>
  <c r="AS122" i="2"/>
  <c r="IE122" i="2"/>
  <c r="AM116" i="2"/>
  <c r="AP116" i="2"/>
  <c r="AS116" i="2"/>
  <c r="AT116" i="2"/>
  <c r="IE116" i="2"/>
  <c r="AM114" i="2"/>
  <c r="AP114" i="2"/>
  <c r="AS114" i="2"/>
  <c r="AT114" i="2"/>
  <c r="IE114" i="2"/>
  <c r="AM108" i="2"/>
  <c r="AP108" i="2"/>
  <c r="AS108" i="2"/>
  <c r="AT108" i="2"/>
  <c r="IE108" i="2"/>
  <c r="AM100" i="2"/>
  <c r="AP100" i="2"/>
  <c r="AS100" i="2"/>
  <c r="AT100" i="2"/>
  <c r="IE100" i="2"/>
  <c r="AM98" i="2"/>
  <c r="AP98" i="2"/>
  <c r="AS98" i="2"/>
  <c r="AT98" i="2"/>
  <c r="IE98" i="2"/>
  <c r="AM92" i="2"/>
  <c r="AP92" i="2"/>
  <c r="AS92" i="2"/>
  <c r="AT92" i="2"/>
  <c r="IE92" i="2"/>
  <c r="AM90" i="2"/>
  <c r="AP90" i="2"/>
  <c r="AS90" i="2"/>
  <c r="AT90" i="2"/>
  <c r="IE90" i="2"/>
  <c r="AM84" i="2"/>
  <c r="AP84" i="2"/>
  <c r="AS84" i="2"/>
  <c r="AT84" i="2"/>
  <c r="IE84" i="2"/>
  <c r="AM82" i="2"/>
  <c r="AP82" i="2"/>
  <c r="AS82" i="2"/>
  <c r="AT82" i="2"/>
  <c r="IE82" i="2"/>
  <c r="AM76" i="2"/>
  <c r="AP76" i="2"/>
  <c r="AS76" i="2"/>
  <c r="AT76" i="2"/>
  <c r="IE76" i="2"/>
  <c r="AM74" i="2"/>
  <c r="AP74" i="2"/>
  <c r="AS74" i="2"/>
  <c r="AT74" i="2"/>
  <c r="IE74" i="2"/>
  <c r="AM68" i="2"/>
  <c r="AP68" i="2"/>
  <c r="AS68" i="2"/>
  <c r="AT68" i="2"/>
  <c r="IE68" i="2"/>
  <c r="AM66" i="2"/>
  <c r="AP66" i="2"/>
  <c r="AS66" i="2"/>
  <c r="AT66" i="2"/>
  <c r="IE66" i="2"/>
  <c r="AM60" i="2"/>
  <c r="AP60" i="2"/>
  <c r="AS60" i="2"/>
  <c r="AT60" i="2"/>
  <c r="IE60" i="2"/>
  <c r="AM58" i="2"/>
  <c r="AP58" i="2"/>
  <c r="AS58" i="2"/>
  <c r="AT58" i="2"/>
  <c r="IE58" i="2"/>
  <c r="AM52" i="2"/>
  <c r="AP52" i="2"/>
  <c r="AS52" i="2"/>
  <c r="AT52" i="2"/>
  <c r="IE52" i="2"/>
  <c r="AM50" i="2"/>
  <c r="AP50" i="2"/>
  <c r="AS50" i="2"/>
  <c r="AT50" i="2"/>
  <c r="IE50" i="2"/>
  <c r="AM44" i="2"/>
  <c r="AP44" i="2"/>
  <c r="AS44" i="2"/>
  <c r="AT44" i="2"/>
  <c r="IE44" i="2"/>
  <c r="AP42" i="2"/>
  <c r="AM36" i="2"/>
  <c r="AM34" i="2"/>
  <c r="AM28" i="2"/>
  <c r="AM20" i="2"/>
  <c r="CZ20" i="2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42" i="2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M3" i="2" l="1"/>
  <c r="AG3" i="8" s="1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E10" i="10"/>
  <c r="FB10" i="2" s="1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IY186" i="2"/>
  <c r="A39" i="2"/>
  <c r="AX39" i="2"/>
  <c r="D6" i="2"/>
  <c r="DR138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162" i="2"/>
  <c r="DR42" i="2"/>
  <c r="DP114" i="2"/>
  <c r="DP162" i="2"/>
  <c r="DP82" i="2"/>
  <c r="DR146" i="2"/>
  <c r="DP138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74" i="2"/>
  <c r="IW74" i="2" s="1"/>
  <c r="IV59" i="2"/>
  <c r="IW59" i="2" s="1"/>
  <c r="IV170" i="2"/>
  <c r="IW170" i="2" s="1"/>
  <c r="AW197" i="2"/>
  <c r="E4" i="10"/>
  <c r="FB4" i="2" s="1"/>
  <c r="BJ93" i="2"/>
  <c r="BI37" i="2"/>
  <c r="IV50" i="2"/>
  <c r="IW50" i="2" s="1"/>
  <c r="AY140" i="2"/>
  <c r="IV194" i="2"/>
  <c r="IW194" i="2" s="1"/>
  <c r="IV138" i="2"/>
  <c r="IW138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BX130" i="2"/>
  <c r="BY196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AL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AI4" i="8" s="1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BX194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AY154" i="2"/>
  <c r="AW154" i="2"/>
  <c r="IY63" i="2"/>
  <c r="IV63" i="2"/>
  <c r="IW63" i="2" s="1"/>
  <c r="A37" i="2"/>
  <c r="AW191" i="2"/>
  <c r="AX64" i="2"/>
  <c r="IY55" i="2"/>
  <c r="IV77" i="2"/>
  <c r="IW77" i="2" s="1"/>
  <c r="CK90" i="2"/>
  <c r="CK50" i="2"/>
  <c r="CJ138" i="2"/>
  <c r="BX58" i="2"/>
  <c r="E3" i="2"/>
  <c r="BJ138" i="2"/>
  <c r="BY186" i="2"/>
  <c r="BY154" i="2"/>
  <c r="BY122" i="2"/>
  <c r="CK186" i="2"/>
  <c r="CK146" i="2"/>
  <c r="D3" i="2"/>
  <c r="BJ146" i="2"/>
  <c r="BJ82" i="2"/>
  <c r="C3" i="2"/>
  <c r="BJ154" i="2"/>
  <c r="BY3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94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CJ32" i="2" l="1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<sst xmlns="http://schemas.openxmlformats.org/spreadsheetml/2006/main" count="836" uniqueCount="335">
  <si>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</si>
  <si>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</si>
  <si>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</si>
  <si>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</si>
  <si>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</si>
  <si>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</si>
  <si>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</si>
  <si>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</si>
  <si>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</si>
  <si>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</si>
  <si>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</si>
  <si>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</si>
  <si>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</si>
  <si>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</si>
  <si>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</si>
  <si>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</si>
  <si>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</si>
  <si>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</si>
  <si>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</si>
  <si>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</si>
  <si>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</si>
  <si>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</si>
  <si>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</si>
  <si>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</si>
  <si>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</si>
  <si>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</si>
  <si>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</si>
  <si>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</si>
  <si>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</si>
  <si>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</si>
  <si>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</si>
  <si>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</si>
  <si>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</si>
  <si>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</si>
  <si>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</si>
  <si>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</si>
  <si>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</si>
  <si>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</si>
  <si>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</si>
  <si>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</si>
  <si>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</si>
  <si>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</si>
  <si>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</si>
  <si>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</si>
  <si>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</si>
  <si>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</si>
  <si>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</si>
  <si>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</si>
  <si>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</si>
  <si>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</si>
  <si>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</si>
  <si>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</si>
  <si>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</si>
  <si>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</si>
  <si>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</si>
  <si>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</si>
  <si>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</si>
  <si>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</si>
  <si>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</si>
  <si>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</si>
  <si>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</si>
  <si>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</si>
  <si>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</si>
  <si>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</si>
  <si>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</si>
  <si>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</si>
  <si>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</si>
  <si>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</si>
  <si>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</si>
  <si>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</si>
  <si>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</si>
  <si>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</si>
  <si>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</si>
  <si>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</si>
  <si>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</si>
  <si>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</si>
  <si>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</si>
  <si>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</si>
  <si>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</si>
  <si>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</si>
  <si>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</si>
  <si>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</si>
  <si>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</si>
  <si>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</si>
  <si>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</si>
  <si>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</si>
  <si>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</si>
  <si>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</si>
  <si>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</si>
  <si>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</si>
  <si>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</si>
  <si>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</si>
  <si>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</si>
  <si>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</si>
  <si>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</si>
  <si>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</si>
  <si>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</si>
  <si>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</si>
  <si>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</si>
  <si>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</si>
  <si>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</si>
  <si>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</si>
  <si>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</si>
  <si>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</si>
  <si>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</si>
  <si>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</si>
  <si>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</si>
  <si>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</si>
  <si>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</si>
  <si>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</si>
  <si>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</si>
  <si>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</si>
  <si>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</si>
  <si>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</si>
  <si>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</si>
  <si>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</si>
  <si>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</si>
  <si>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</si>
  <si>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</si>
  <si>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</si>
  <si>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</si>
  <si>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</si>
  <si>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</si>
  <si>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</si>
  <si>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</si>
  <si>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</si>
  <si>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</si>
  <si>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</si>
  <si>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</si>
  <si>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</si>
  <si>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</si>
  <si>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</si>
  <si>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</si>
  <si>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</si>
  <si>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</si>
  <si>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</si>
  <si>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</si>
  <si>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</si>
  <si>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</si>
  <si>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</si>
  <si>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</si>
  <si>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</si>
  <si>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</si>
  <si>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</si>
  <si>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</si>
  <si>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</si>
  <si>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</si>
  <si>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</si>
  <si>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</si>
  <si>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</si>
  <si>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</si>
  <si>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</si>
  <si>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</si>
  <si>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</si>
  <si>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</si>
  <si>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</si>
  <si>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</si>
  <si>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</si>
  <si>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</si>
  <si>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</si>
  <si>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</si>
  <si>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</si>
  <si>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</si>
  <si>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</si>
  <si>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</si>
  <si>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</si>
  <si>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</si>
  <si>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</si>
  <si>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</si>
  <si>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</si>
  <si>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</si>
  <si>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</si>
  <si>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</si>
  <si>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</si>
  <si>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</si>
  <si>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</si>
  <si>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</si>
  <si>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</si>
  <si>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</si>
  <si>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</si>
  <si>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</si>
  <si>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</si>
  <si>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</si>
  <si>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</si>
  <si>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</si>
  <si>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</si>
  <si>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</si>
  <si>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</si>
  <si>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</si>
  <si>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</si>
  <si>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</si>
  <si>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</si>
  <si>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</si>
  <si>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</si>
  <si>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</si>
  <si>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</si>
  <si>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</si>
  <si>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</si>
  <si>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</si>
  <si>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</si>
  <si>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</si>
  <si>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</si>
  <si>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</si>
  <si>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</si>
  <si>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</si>
  <si>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</si>
  <si>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</si>
  <si>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</si>
  <si>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</si>
  <si>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</si>
  <si>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</si>
  <si>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</si>
  <si>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</si>
  <si>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</si>
  <si>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</si>
  <si>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</si>
  <si>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</si>
  <si>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</si>
  <si>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</si>
  <si>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</si>
  <si>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</si>
  <si>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</si>
  <si>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</si>
  <si>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</si>
  <si>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</si>
  <si>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</si>
  <si>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</si>
  <si>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</si>
  <si>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</si>
  <si>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</si>
  <si>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</si>
  <si>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</si>
  <si>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</si>
  <si>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</si>
  <si>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</si>
  <si>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</si>
  <si>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</si>
  <si>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</si>
  <si>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</si>
  <si>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</si>
  <si>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</si>
  <si>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</si>
  <si>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</si>
  <si>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</si>
  <si>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</si>
  <si>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</si>
  <si>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</si>
  <si>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</si>
  <si>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</si>
  <si>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</si>
  <si>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</si>
  <si>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</si>
  <si>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</si>
  <si>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</si>
  <si>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</si>
  <si>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</si>
  <si>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</si>
  <si>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</si>
  <si>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</si>
  <si>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</si>
  <si>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</si>
  <si>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</si>
  <si>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</si>
  <si>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</si>
  <si>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</si>
  <si>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</si>
  <si>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</si>
  <si>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</si>
  <si>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</si>
  <si>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</si>
  <si>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</si>
  <si>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</si>
  <si>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</si>
  <si>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</si>
  <si>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</si>
  <si>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</si>
  <si>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</si>
  <si>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</si>
  <si>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</si>
  <si>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</si>
  <si>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</si>
  <si>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</si>
  <si>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</si>
  <si>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</si>
  <si>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</si>
  <si>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</si>
  <si>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</si>
  <si>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</si>
  <si>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</si>
  <si>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</si>
  <si>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</si>
  <si>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</si>
  <si>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</si>
  <si>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</si>
  <si>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</si>
  <si>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</si>
  <si>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</si>
  <si>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</si>
  <si>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</si>
  <si>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</si>
  <si>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</si>
  <si>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</si>
  <si>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</si>
  <si>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</si>
  <si>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</si>
  <si>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</si>
  <si>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</si>
  <si>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</si>
  <si>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</si>
  <si>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</si>
  <si>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</si>
  <si>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</si>
  <si>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</si>
  <si>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</si>
  <si>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</si>
  <si>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</si>
  <si>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</si>
  <si>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</si>
  <si>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</si>
  <si>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</si>
  <si>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</si>
  <si>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</si>
  <si>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</si>
  <si>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</si>
  <si>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</si>
  <si>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</si>
  <si>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</si>
  <si>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</si>
  <si>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</si>
  <si>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</si>
  <si>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</si>
  <si>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</si>
  <si>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</si>
  <si>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Hsu et al.</t>
  </si>
  <si>
    <t>Van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</si>
</sst>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2" fontId="13" fillId="8" borderId="0" xfId="12" applyAlignment="1">
      <alignment horizontal="center"/>
    </xf>
    <xf numFmtId="2" fontId="13" fillId="8" borderId="10" xfId="12" applyBorder="1" applyAlignment="1">
      <alignment horizontal="center"/>
    </xf>
    <xf numFmtId="0" fontId="15" fillId="2" borderId="6" xfId="3" applyAlignment="1">
      <alignment horizontal="center" vertical="center" wrapText="1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8" xfId="3" applyBorder="1" applyAlignment="1">
      <alignment horizontal="center" vertical="center" wrapText="1"/>
    </xf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1" fontId="13" fillId="10" borderId="0" xfId="11" applyNumberFormat="1"/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0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/>
    <cellStyle name="Heading 4" xfId="6" builtinId="19" hidden="1"/>
    <cellStyle name="Heading 4" xfId="45"/>
    <cellStyle name="Input" xfId="10" builtinId="20" customBuiltin="1"/>
    <cellStyle name="Linked Cell" xfId="13" builtinId="24" hidden="1"/>
    <cellStyle name="Neutral" xfId="9" builtinId="28" hidden="1"/>
    <cellStyle name="No decimals" xfId="19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4" formatCode="0.00%"/>
    </dxf>
    <dxf>
      <numFmt numFmtId="1" formatCode="0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0.46833348251240414</c:v>
                </c:pt>
                <c:pt idx="1">
                  <c:v>0.53166651748759575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0.29072031803715481</c:v>
                  </c:pt>
                  <c:pt idx="1">
                    <c:v>0.23424572902251573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0.20474372030390459</c:v>
                  </c:pt>
                  <c:pt idx="1">
                    <c:v>0.16856057285939335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0.46833348251240414</c:v>
                </c:pt>
                <c:pt idx="1">
                  <c:v>0.53166651748759575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0.93045211446788734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0.37996501390620718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0.6422298547088986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0.53166651748759575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0.93045211446788734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0.37996501390620718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0.6422298547088986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0.53166651748759575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0.29072031803715481</c:v>
                  </c:pt>
                  <c:pt idx="1">
                    <c:v>0.23424572902251573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0.20474372030390459</c:v>
                  </c:pt>
                  <c:pt idx="1">
                    <c:v>0.16856057285939335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0.69231815461617974</c:v>
                </c:pt>
                <c:pt idx="1">
                  <c:v>0.60111898304459332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0.46833348251240414</c:v>
                </c:pt>
                <c:pt idx="1">
                  <c:v>0.53166651748759575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0.93045211446788734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0.37996501390620718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0.6422298547088986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0.53166651748759575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0.93045211446788734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0.37996501390620718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0.6422298547088986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3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0.53166651748759575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layout/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2.6097271648873072E-2</c:v>
                </c:pt>
                <c:pt idx="1">
                  <c:v>4.0210627094303494E-2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1.8213866039952998E-2</c:v>
                </c:pt>
                <c:pt idx="1">
                  <c:v>2.456538170823885E-2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31.263894490975879</c:v>
                </c:pt>
                <c:pt idx="1">
                  <c:v>35.491730845181522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2.6129266086829837E-2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-2.6380318760858454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-12.706204736174694</c:v>
                </c:pt>
                <c:pt idx="1">
                  <c:v>-15.34423661226054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5.9574936714344497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12.706204736174694</c:v>
                </c:pt>
                <c:pt idx="1">
                  <c:v>10.068172860088849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5.591412566693311</c:v>
                </c:pt>
                <c:pt idx="1">
                  <c:v>5.9574936714344497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-2.0560164586400433</c:v>
                </c:pt>
                <c:pt idx="1">
                  <c:v>-3.0321402110225448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-0.36770966801613514</c:v>
                </c:pt>
                <c:pt idx="1">
                  <c:v>-0.50896238892562073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0.17884568310282764</c:v>
                </c:pt>
                <c:pt idx="1">
                  <c:v>0.16785582245683178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-3.1697488490503849</c:v>
                </c:pt>
                <c:pt idx="1">
                  <c:v>-0.44280901022772856</c:v>
                </c:pt>
                <c:pt idx="2">
                  <c:v>2.284130828594928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0.21461481972339316</c:v>
                </c:pt>
                <c:pt idx="1">
                  <c:v>0</c:v>
                </c:pt>
                <c:pt idx="2">
                  <c:v>0.21461481972339316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-0.44280901022772856</c:v>
                </c:pt>
                <c:pt idx="1">
                  <c:v>-0.44280901022772856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0.21461481972339316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-0.44280901022772856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0.19673025141311043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-0.44280901022772856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0.19673025141311043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-0.44280901022772856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0.21461481972339316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1.5551486747715484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-0.44280901022772856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0.21461481972339316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0.56594882193286311</c:v>
                </c:pt>
                <c:pt idx="1">
                  <c:v>-0.56594882193286311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-2.0560164586400433</c:v>
                </c:pt>
                <c:pt idx="1">
                  <c:v>-3.0321402110225448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-3.0321402110225448</c:v>
                </c:pt>
                <c:pt idx="1">
                  <c:v>-2.0560164586400433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-0.56594882193286311</c:v>
                </c:pt>
                <c:pt idx="1">
                  <c:v>0.56594882193286311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-2.5440783348312941</c:v>
                </c:pt>
                <c:pt idx="1">
                  <c:v>-2.5440783348312941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-0.35</c:v>
                </c:pt>
                <c:pt idx="2">
                  <c:v>-0.35; -0.25</c:v>
                </c:pt>
                <c:pt idx="3">
                  <c:v>-0.25; -0.15</c:v>
                </c:pt>
                <c:pt idx="4">
                  <c:v>-0.15; -0.05</c:v>
                </c:pt>
                <c:pt idx="5">
                  <c:v>-0.05; 0.05</c:v>
                </c:pt>
                <c:pt idx="6">
                  <c:v>0.05; 0.15</c:v>
                </c:pt>
                <c:pt idx="7">
                  <c:v>0.15; 0.25</c:v>
                </c:pt>
                <c:pt idx="8">
                  <c:v>0.25; 0.35</c:v>
                </c:pt>
                <c:pt idx="9">
                  <c:v>0.35;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0.3631693488243809</c:v>
                </c:pt>
                <c:pt idx="2">
                  <c:v>3.8124325492695399E-2</c:v>
                </c:pt>
                <c:pt idx="3">
                  <c:v>3.9088633312681142E-2</c:v>
                </c:pt>
                <c:pt idx="4">
                  <c:v>3.9678886531870072E-2</c:v>
                </c:pt>
                <c:pt idx="5">
                  <c:v>3.9877611676744973E-2</c:v>
                </c:pt>
                <c:pt idx="6">
                  <c:v>3.9678886531870017E-2</c:v>
                </c:pt>
                <c:pt idx="7">
                  <c:v>3.9088633312681198E-2</c:v>
                </c:pt>
                <c:pt idx="8">
                  <c:v>3.8124325492695399E-2</c:v>
                </c:pt>
                <c:pt idx="9">
                  <c:v>0.3631693488243809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4"/>
  <sheetViews>
    <sheetView showGridLines="0" zoomScaleNormal="100" workbookViewId="0">
      <pane ySplit="1" topLeftCell="A2" activePane="bottomLeft" state="frozen"/>
      <selection pane="bottomLeft" activeCell="E10" sqref="E10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333</v>
      </c>
      <c r="C2" s="5" t="s">
        <v>12</v>
      </c>
      <c r="D2" s="27">
        <v>62</v>
      </c>
      <c r="E2" s="27"/>
      <c r="F2" s="27">
        <v>66</v>
      </c>
      <c r="G2" s="27"/>
      <c r="H2" s="27">
        <v>3404</v>
      </c>
      <c r="I2" s="93">
        <v>2529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334</v>
      </c>
      <c r="C3" s="5" t="s">
        <v>12</v>
      </c>
      <c r="D3" s="27">
        <v>65</v>
      </c>
      <c r="E3" s="27"/>
      <c r="F3" s="27">
        <v>84</v>
      </c>
      <c r="G3" s="27"/>
      <c r="H3" s="27">
        <v>2646</v>
      </c>
      <c r="I3" s="27">
        <v>2089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x14ac:dyDescent="0.3">
      <c r="A4" s="6"/>
      <c r="B4" s="12"/>
      <c r="C4" s="5"/>
      <c r="D4" s="27"/>
      <c r="E4" s="27"/>
      <c r="F4" s="27"/>
      <c r="G4" s="27"/>
      <c r="H4" s="27"/>
      <c r="I4" s="93"/>
      <c r="J4" s="3"/>
      <c r="K4" s="5"/>
      <c r="L4" s="27"/>
      <c r="N4" s="2"/>
      <c r="O4" s="3"/>
      <c r="P4" s="3"/>
      <c r="Q4" s="3"/>
      <c r="S4" s="92"/>
      <c r="T4" s="92"/>
    </row>
    <row r="5" spans="1:20" x14ac:dyDescent="0.3">
      <c r="A5" s="6"/>
      <c r="B5" s="143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18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18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18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18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18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34" customFormat="1" x14ac:dyDescent="0.3">
      <c r="A12" s="142" t="str">
        <f>IF(AND(Sufficient_data="Yes",Include_study?="Yes"),COUNT(A$2:A11)+1,"")</f>
        <v/>
      </c>
      <c r="B12" s="132"/>
      <c r="C12" s="140" t="s">
        <v>18</v>
      </c>
      <c r="D12" s="95"/>
      <c r="E12" s="95"/>
      <c r="F12" s="95"/>
      <c r="G12" s="95"/>
      <c r="H12" s="95"/>
      <c r="I12" s="95"/>
      <c r="J12" s="138" t="str">
        <f t="shared" si="0"/>
        <v>No</v>
      </c>
      <c r="K12" s="140"/>
      <c r="L12" s="95"/>
      <c r="S12" s="135"/>
      <c r="T12" s="135"/>
    </row>
    <row r="13" spans="1:20" s="134" customFormat="1" x14ac:dyDescent="0.3">
      <c r="A13" s="142" t="str">
        <f>IF(AND(Sufficient_data="Yes",Include_study?="Yes"),COUNT(A$2:A12)+1,"")</f>
        <v/>
      </c>
      <c r="B13" s="94"/>
      <c r="C13" s="140" t="s">
        <v>18</v>
      </c>
      <c r="D13" s="95"/>
      <c r="E13" s="95"/>
      <c r="F13" s="95"/>
      <c r="G13" s="95"/>
      <c r="H13" s="95"/>
      <c r="I13" s="95"/>
      <c r="J13" s="138" t="s">
        <v>12</v>
      </c>
      <c r="K13" s="140"/>
      <c r="L13" s="95"/>
    </row>
    <row r="14" spans="1:20" s="134" customFormat="1" x14ac:dyDescent="0.3">
      <c r="A14" s="142" t="str">
        <f>IF(AND(Sufficient_data="Yes",Include_study?="Yes"),COUNT(A$2:A13)+1,"")</f>
        <v/>
      </c>
      <c r="B14" s="94"/>
      <c r="C14" s="140" t="s">
        <v>18</v>
      </c>
      <c r="D14" s="95"/>
      <c r="E14" s="95"/>
      <c r="F14" s="95"/>
      <c r="G14" s="95"/>
      <c r="H14" s="95"/>
      <c r="I14" s="95"/>
      <c r="J14" s="138" t="s">
        <v>12</v>
      </c>
      <c r="K14" s="140"/>
      <c r="L14" s="95"/>
    </row>
    <row r="15" spans="1:20" s="134" customFormat="1" x14ac:dyDescent="0.3">
      <c r="A15" s="142" t="str">
        <f>IF(AND(Sufficient_data="Yes",Include_study?="Yes"),COUNT(A$2:A14)+1,"")</f>
        <v/>
      </c>
      <c r="B15" s="94"/>
      <c r="C15" s="140" t="s">
        <v>18</v>
      </c>
      <c r="D15" s="95"/>
      <c r="E15" s="95"/>
      <c r="F15" s="95"/>
      <c r="G15" s="95"/>
      <c r="H15" s="95"/>
      <c r="I15" s="95"/>
      <c r="J15" s="138" t="s">
        <v>12</v>
      </c>
      <c r="K15" s="140"/>
      <c r="L15" s="95"/>
    </row>
    <row r="16" spans="1:20" s="136" customFormat="1" x14ac:dyDescent="0.3">
      <c r="A16" s="142" t="str">
        <f>IF(AND(Sufficient_data="Yes",Include_study?="Yes"),COUNT(A$2:A15)+1,"")</f>
        <v/>
      </c>
      <c r="B16" s="131"/>
      <c r="C16" s="140" t="s">
        <v>18</v>
      </c>
      <c r="D16" s="133"/>
      <c r="E16" s="133"/>
      <c r="F16" s="133"/>
      <c r="G16" s="133"/>
      <c r="H16" s="133"/>
      <c r="I16" s="133"/>
      <c r="J16" s="139" t="str">
        <f t="shared" si="0"/>
        <v>No</v>
      </c>
      <c r="K16" s="141"/>
      <c r="L16" s="133"/>
      <c r="S16" s="137"/>
      <c r="T16" s="137"/>
    </row>
    <row r="17" spans="1:12" x14ac:dyDescent="0.3">
      <c r="A17" s="6" t="str">
        <f>IF(AND(Sufficient_data="Yes",Include_study?="Yes"),COUNT(A$2:A16)+1,"")</f>
        <v/>
      </c>
      <c r="B17" s="132"/>
      <c r="C17" s="5" t="s">
        <v>18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32"/>
      <c r="C18" s="5" t="s">
        <v>18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32"/>
      <c r="C19" s="5" t="s">
        <v>18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18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18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18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18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18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18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18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18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18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18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18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18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18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18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18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18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18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18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18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18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18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18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18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18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18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18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18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18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18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18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18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18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18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18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18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18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18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18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18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18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18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18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18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18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18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18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18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18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18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18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18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18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18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18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18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18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18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18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18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18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18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18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18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18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18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18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18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18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18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18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18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18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18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18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18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18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18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18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18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18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18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18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18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18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18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18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18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18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18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18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18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18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18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18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18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18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18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18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18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18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18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18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18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18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1"/>
  <sheetViews>
    <sheetView showGridLines="0" tabSelected="1" zoomScaleNormal="100" workbookViewId="0">
      <pane ySplit="1" topLeftCell="A16" activePane="bottomLeft" state="frozen"/>
      <selection pane="bottomLeft" activeCell="E2" sqref="E2:I3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10" t="s">
        <v>19</v>
      </c>
      <c r="B1" s="110"/>
      <c r="D1" s="1" t="s">
        <v>20</v>
      </c>
      <c r="E1" s="1" t="s">
        <v>1</v>
      </c>
      <c r="F1" s="1" t="str">
        <f>IF(Present_Effect_size_measure&lt;&gt;"",Present_Effect_size_measure,"")</f>
        <v>Odds Ratio</v>
      </c>
      <c r="G1" s="1" t="s">
        <v>21</v>
      </c>
      <c r="H1" s="1" t="s">
        <v>22</v>
      </c>
      <c r="I1" s="1" t="s">
        <v>23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24</v>
      </c>
      <c r="B2" s="5" t="s">
        <v>25</v>
      </c>
      <c r="D2" s="47">
        <v>1</v>
      </c>
      <c r="E2" s="16" t="str">
        <f>IF(Number&lt;=COUNT(Entry_number),INDEX(Lookup_table,MATCH(Number,Calculations!AK:AK,0),3),"")</f>
        <v>Hsu et al.</v>
      </c>
      <c r="F2" s="4">
        <f>IF(Ranked_number&lt;=COUNT(Entry_number),INDEX(Lookup_table,MATCH(Number,Calculations!AK:AK,0),5),"")</f>
        <v>0.69231815461617974</v>
      </c>
      <c r="G2" s="4">
        <f>IF(Ranked_number&lt;=COUNT(Entry_number),INDEX(Lookup_table,MATCH(Number,Calculations!AK:AK,0),9),"")</f>
        <v>0.48757443431227515</v>
      </c>
      <c r="H2" s="4">
        <f>IF(Ranked_number&lt;=COUNT(Entry_number),INDEX(Lookup_table,MATCH(Number,Calculations!AK:AK,0),10),"")</f>
        <v>0.98303847265333455</v>
      </c>
      <c r="I2" s="8">
        <f>IF(D2&lt;=COUNT(Entry_number),INDEX(Lookup_table,MATCH(Number,Calculations!AK:AK,0),11),"")</f>
        <v>0.46833348251240414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26</v>
      </c>
      <c r="M2" s="111" t="s">
        <v>27</v>
      </c>
      <c r="O2" s="112" t="s">
        <v>28</v>
      </c>
    </row>
    <row r="3" spans="1:15" x14ac:dyDescent="0.3">
      <c r="A3" s="3" t="s">
        <v>29</v>
      </c>
      <c r="B3" s="29">
        <v>0.95</v>
      </c>
      <c r="D3" s="48">
        <v>2</v>
      </c>
      <c r="E3" s="16" t="str">
        <f>IF(Number&lt;=COUNT(Entry_number),INDEX(Lookup_table,MATCH(Number,Calculations!AK:AK,0),3),"")</f>
        <v>Van et al.</v>
      </c>
      <c r="F3" s="4">
        <f>IF(Ranked_number&lt;=COUNT(Entry_number),INDEX(Lookup_table,MATCH(Number,Calculations!AK:AK,0),5),"")</f>
        <v>0.60111898304459332</v>
      </c>
      <c r="G3" s="4">
        <f>IF(Ranked_number&lt;=COUNT(Entry_number),INDEX(Lookup_table,MATCH(Number,Calculations!AK:AK,0),9),"")</f>
        <v>0.43255841018519997</v>
      </c>
      <c r="H3" s="4">
        <f>IF(Ranked_number&lt;=COUNT(Entry_number),INDEX(Lookup_table,MATCH(Number,Calculations!AK:AK,0),10),"")</f>
        <v>0.83536471206710905</v>
      </c>
      <c r="I3" s="8">
        <f>IF(D3&lt;=COUNT(Entry_number),INDEX(Lookup_table,MATCH(Number,Calculations!AK:AK,0),11),"")</f>
        <v>0.53166651748759575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11"/>
      <c r="O3" s="112"/>
    </row>
    <row r="4" spans="1:15" x14ac:dyDescent="0.3">
      <c r="D4" s="48">
        <v>3</v>
      </c>
      <c r="E4" s="16" t="str">
        <f>IF(Number&lt;=COUNT(Entry_number),INDEX(Lookup_table,MATCH(Number,Calculations!AK:AK,0),3),"")</f>
        <v/>
      </c>
      <c r="F4" s="4" t="str">
        <f>IF(Ranked_number&lt;=COUNT(Entry_number),INDEX(Lookup_table,MATCH(Number,Calculations!AK:AK,0),5),"")</f>
        <v/>
      </c>
      <c r="G4" s="4" t="str">
        <f>IF(Ranked_number&lt;=COUNT(Entry_number),INDEX(Lookup_table,MATCH(Number,Calculations!AK:AK,0),9),"")</f>
        <v/>
      </c>
      <c r="H4" s="4" t="str">
        <f>IF(Ranked_number&lt;=COUNT(Entry_number),INDEX(Lookup_table,MATCH(Number,Calculations!AK:AK,0),10),"")</f>
        <v/>
      </c>
      <c r="I4" s="8" t="str">
        <f>IF(D4&lt;=COUNT(Entry_number),INDEX(Lookup_table,MATCH(Number,Calculations!AK:AK,0),11),"")</f>
        <v/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30</v>
      </c>
      <c r="M4" s="111"/>
      <c r="O4" s="112"/>
    </row>
    <row r="5" spans="1:15" x14ac:dyDescent="0.3">
      <c r="A5" s="110" t="s">
        <v>31</v>
      </c>
      <c r="B5" s="110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11"/>
      <c r="O5" s="112"/>
    </row>
    <row r="6" spans="1:15" x14ac:dyDescent="0.3">
      <c r="A6" s="3" t="s">
        <v>32</v>
      </c>
      <c r="B6" s="5" t="s">
        <v>33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34</v>
      </c>
      <c r="M6" s="111"/>
      <c r="O6" s="112"/>
    </row>
    <row r="7" spans="1:15" x14ac:dyDescent="0.3">
      <c r="A7" s="3" t="s">
        <v>35</v>
      </c>
      <c r="B7" s="5" t="s">
        <v>36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37</v>
      </c>
      <c r="M7" s="111"/>
      <c r="O7" s="112"/>
    </row>
    <row r="8" spans="1:15" x14ac:dyDescent="0.3">
      <c r="A8" s="3" t="s">
        <v>38</v>
      </c>
      <c r="B8" s="5" t="s">
        <v>36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11"/>
      <c r="O8" s="112"/>
    </row>
    <row r="9" spans="1:15" x14ac:dyDescent="0.3">
      <c r="A9" s="3" t="s">
        <v>39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11"/>
      <c r="O9" s="11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11"/>
      <c r="O10" s="112"/>
    </row>
    <row r="11" spans="1:15" x14ac:dyDescent="0.3">
      <c r="A11" s="110" t="s">
        <v>40</v>
      </c>
      <c r="B11" s="110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11"/>
      <c r="O11" s="112"/>
    </row>
    <row r="12" spans="1:15" x14ac:dyDescent="0.3">
      <c r="A12" s="3" t="s">
        <v>41</v>
      </c>
      <c r="B12" s="5" t="s">
        <v>26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11"/>
      <c r="O12" s="112"/>
    </row>
    <row r="13" spans="1:15" x14ac:dyDescent="0.3">
      <c r="A13" s="3" t="s">
        <v>42</v>
      </c>
      <c r="B13" s="5" t="s">
        <v>43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11"/>
      <c r="O13" s="11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11"/>
      <c r="O14" s="112"/>
    </row>
    <row r="15" spans="1:15" x14ac:dyDescent="0.3">
      <c r="A15" s="110" t="s">
        <v>44</v>
      </c>
      <c r="B15" s="110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11"/>
      <c r="O15" s="11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0.6422298547088986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11"/>
      <c r="O16" s="112"/>
    </row>
    <row r="17" spans="1:15" x14ac:dyDescent="0.3">
      <c r="A17" s="3" t="s">
        <v>21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0.26226484080269141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11"/>
      <c r="O17" s="112"/>
    </row>
    <row r="18" spans="1:15" x14ac:dyDescent="0.3">
      <c r="A18" s="3" t="s">
        <v>22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1.5726819691767859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11"/>
      <c r="O18" s="112"/>
    </row>
    <row r="19" spans="1:15" x14ac:dyDescent="0.3">
      <c r="A19" s="3" t="s">
        <v>45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0.26226484080269141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11"/>
      <c r="O19" s="112"/>
    </row>
    <row r="20" spans="1:15" x14ac:dyDescent="0.3">
      <c r="A20" s="3" t="s">
        <v>46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1.5726819691767859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11"/>
      <c r="O20" s="11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11"/>
      <c r="O21" s="112"/>
    </row>
    <row r="22" spans="1:15" x14ac:dyDescent="0.3">
      <c r="A22" s="3" t="s">
        <v>47</v>
      </c>
      <c r="B22" s="4">
        <f>IF(B16&lt;&gt;"",IF(Weighting_method="Inverse variance",Z_value,IF(Weighting_method="Mantel-Haenszel",Z_value_MH,IF(Weighting_method="Peto",Z_value_Peto,""))),"")</f>
        <v>-6.2823534671755423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11"/>
      <c r="O22" s="112"/>
    </row>
    <row r="23" spans="1:15" x14ac:dyDescent="0.3">
      <c r="A23" s="3" t="s">
        <v>48</v>
      </c>
      <c r="B23" s="26">
        <f>IF(Valid_options="Yes",IF(B22&lt;&gt;"",1-NORMSDIST(ABS(B22)),""),"")</f>
        <v>1.6674273073391532E-10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11"/>
      <c r="O23" s="112"/>
    </row>
    <row r="24" spans="1:15" x14ac:dyDescent="0.3">
      <c r="A24" s="3" t="s">
        <v>49</v>
      </c>
      <c r="B24" s="26">
        <f>IF(Valid_options="Yes",IF(B22&lt;&gt;"",2*(1-NORMSDIST(ABS(B22))),""),"")</f>
        <v>3.3348546146783065E-10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11"/>
      <c r="O24" s="11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11"/>
      <c r="O25" s="112"/>
    </row>
    <row r="26" spans="1:15" ht="12" customHeight="1" x14ac:dyDescent="0.3">
      <c r="A26" s="3" t="s">
        <v>50</v>
      </c>
      <c r="B26" s="7">
        <f>SUMIF(Sufficient_data,"Yes",Number_of_subjects)</f>
        <v>10668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11"/>
      <c r="O26" s="112"/>
    </row>
    <row r="27" spans="1:15" x14ac:dyDescent="0.3">
      <c r="A27" s="3" t="s">
        <v>51</v>
      </c>
      <c r="B27" s="7">
        <f>COUNT(Weightf)</f>
        <v>2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11"/>
      <c r="O27" s="11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11"/>
      <c r="O28" s="112"/>
    </row>
    <row r="29" spans="1:15" x14ac:dyDescent="0.3">
      <c r="A29" s="110" t="s">
        <v>52</v>
      </c>
      <c r="B29" s="110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11"/>
      <c r="O29" s="112"/>
    </row>
    <row r="30" spans="1:15" x14ac:dyDescent="0.3">
      <c r="A30" s="3" t="s">
        <v>53</v>
      </c>
      <c r="B30" s="4">
        <f>IF(Valid_options="Yes",IF(Weighting_method="Inverse variance",Q_,IF(Weighting_method="Mantel-Haenszel",Q_MH,IF(Weighting_method="Peto",Q_Peto,""))),NA())</f>
        <v>0.33164696838105101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11"/>
      <c r="O30" s="112"/>
    </row>
    <row r="31" spans="1:15" ht="13" x14ac:dyDescent="0.35">
      <c r="A31" s="3" t="s">
        <v>54</v>
      </c>
      <c r="B31" s="26">
        <f>IF(Valid_options="Yes",IF(B30&lt;&gt;"",CHIDIST(B30,k_-1),""),"")</f>
        <v>0.56469089899915526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11"/>
      <c r="O31" s="112"/>
    </row>
    <row r="32" spans="1:15" ht="13.5" x14ac:dyDescent="0.3">
      <c r="A32" s="3" t="s">
        <v>55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11"/>
      <c r="O32" s="11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11"/>
      <c r="O33" s="11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11"/>
      <c r="O34" s="11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11"/>
      <c r="O35" s="112"/>
    </row>
    <row r="36" spans="1:15" x14ac:dyDescent="0.3">
      <c r="A36" s="110" t="s">
        <v>56</v>
      </c>
      <c r="B36" s="114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11"/>
      <c r="O36" s="112"/>
    </row>
    <row r="37" spans="1:15" x14ac:dyDescent="0.3">
      <c r="A37" s="109" t="s">
        <v>33</v>
      </c>
      <c r="B37" s="109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11"/>
      <c r="O37" s="112"/>
    </row>
    <row r="38" spans="1:15" x14ac:dyDescent="0.3">
      <c r="A38" s="108" t="s">
        <v>57</v>
      </c>
      <c r="B38" s="108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11"/>
      <c r="O38" s="112"/>
    </row>
    <row r="39" spans="1:15" x14ac:dyDescent="0.3">
      <c r="A39" s="108" t="s">
        <v>58</v>
      </c>
      <c r="B39" s="108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11"/>
      <c r="O39" s="11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11"/>
      <c r="O40" s="112"/>
    </row>
    <row r="41" spans="1:15" x14ac:dyDescent="0.3">
      <c r="A41" s="110" t="s">
        <v>59</v>
      </c>
      <c r="B41" s="114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11"/>
      <c r="O41" s="112"/>
    </row>
    <row r="42" spans="1:15" x14ac:dyDescent="0.3">
      <c r="A42" s="109" t="str">
        <f>IF(Weighting_method="Peto","Peto Odds Ratio","Odds Ratio")</f>
        <v>Odds Ratio</v>
      </c>
      <c r="B42" s="109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11"/>
      <c r="O42" s="112"/>
    </row>
    <row r="43" spans="1:15" x14ac:dyDescent="0.3">
      <c r="A43" s="108" t="str">
        <f>IF(Weighting_method="Inverse variance","Risk Ratio","")</f>
        <v>Risk Ratio</v>
      </c>
      <c r="B43" s="108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11"/>
      <c r="O43" s="112"/>
    </row>
    <row r="44" spans="1:15" x14ac:dyDescent="0.3">
      <c r="A44" s="108" t="str">
        <f>IF(Weighting_method="Inverse variance","Risk Difference","")</f>
        <v>Risk Difference</v>
      </c>
      <c r="B44" s="108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11"/>
      <c r="O44" s="11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11"/>
      <c r="O45" s="112"/>
    </row>
    <row r="46" spans="1:15" x14ac:dyDescent="0.3">
      <c r="A46" s="110" t="s">
        <v>60</v>
      </c>
      <c r="B46" s="114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11"/>
      <c r="O46" s="112"/>
    </row>
    <row r="47" spans="1:15" x14ac:dyDescent="0.3">
      <c r="A47" s="109" t="str">
        <f>IF(Model_effect_size_measure&lt;&gt;"",Model_effect_size_measure,"")</f>
        <v>Odds Ratio</v>
      </c>
      <c r="B47" s="109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11"/>
      <c r="O47" s="112"/>
    </row>
    <row r="48" spans="1:15" x14ac:dyDescent="0.3">
      <c r="A48" s="108" t="str">
        <f>IF(OR(Model_effect_size_measure="Odds Ratio",Model_effect_size_measure="Peto Odds Ratio"),"Risk Ratio",IF(Model_effect_size_measure="Risk Ratio","Risk Difference",""))</f>
        <v>Risk Ratio</v>
      </c>
      <c r="B48" s="108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11"/>
      <c r="O48" s="112"/>
    </row>
    <row r="49" spans="1:15" x14ac:dyDescent="0.3">
      <c r="A49" s="108" t="str">
        <f>IF(OR(Model_effect_size_measure="Odds Ratio",Model_effect_size_measure="Peto Odds Ratio"),"Risk Difference","")</f>
        <v>Risk Difference</v>
      </c>
      <c r="B49" s="108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11"/>
      <c r="O49" s="11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11"/>
      <c r="O50" s="11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11"/>
      <c r="O51" s="11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11"/>
      <c r="O52" s="11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11"/>
      <c r="O53" s="11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11"/>
      <c r="O54" s="11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11"/>
      <c r="O55" s="11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11"/>
      <c r="O56" s="11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11"/>
      <c r="O57" s="11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11"/>
      <c r="O58" s="11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11"/>
      <c r="O59" s="11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11"/>
      <c r="O60" s="11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11"/>
      <c r="O61" s="11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11"/>
      <c r="O62" s="11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11"/>
      <c r="O63" s="11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11"/>
      <c r="O64" s="11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11"/>
      <c r="O65" s="11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11"/>
      <c r="O66" s="11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11"/>
      <c r="O67" s="11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11"/>
      <c r="O68" s="11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11"/>
      <c r="O69" s="11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11"/>
      <c r="O70" s="11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11"/>
      <c r="O71" s="11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11"/>
      <c r="O72" s="11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11"/>
      <c r="O73" s="11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11"/>
      <c r="O74" s="11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11"/>
      <c r="O75" s="11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11"/>
      <c r="O76" s="11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11"/>
      <c r="O77" s="11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11"/>
      <c r="O78" s="11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11"/>
      <c r="O79" s="11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11"/>
      <c r="O80" s="11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11"/>
      <c r="O81" s="11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11"/>
      <c r="O82" s="11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11"/>
      <c r="O83" s="11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11"/>
      <c r="O84" s="11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11"/>
      <c r="O85" s="11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11"/>
      <c r="O86" s="11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11"/>
      <c r="O87" s="11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11"/>
      <c r="O88" s="11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11"/>
      <c r="O89" s="11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11"/>
      <c r="O90" s="11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11"/>
      <c r="O91" s="11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11"/>
      <c r="O92" s="11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11"/>
      <c r="O93" s="11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11"/>
      <c r="O94" s="11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11"/>
      <c r="O95" s="11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11"/>
      <c r="O96" s="11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11"/>
      <c r="O97" s="11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11"/>
      <c r="O98" s="11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11"/>
      <c r="O99" s="11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11"/>
      <c r="O100" s="11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11"/>
      <c r="O101" s="11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11"/>
      <c r="O102" s="11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11"/>
      <c r="O103" s="11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11"/>
      <c r="O104" s="11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11"/>
      <c r="O105" s="11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11"/>
      <c r="O106" s="11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11"/>
      <c r="O107" s="11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11"/>
      <c r="O108" s="11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11"/>
      <c r="O109" s="11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11"/>
      <c r="O110" s="11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11"/>
      <c r="O111" s="11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11"/>
      <c r="O112" s="11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11"/>
      <c r="O113" s="11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11"/>
      <c r="O114" s="11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11"/>
      <c r="O115" s="11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11"/>
      <c r="O116" s="11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11"/>
      <c r="O117" s="11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11"/>
      <c r="O118" s="11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11"/>
      <c r="O119" s="11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11"/>
      <c r="O120" s="11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11"/>
      <c r="O121" s="11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11"/>
      <c r="O122" s="11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11"/>
      <c r="O123" s="11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11"/>
      <c r="O124" s="11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11"/>
      <c r="O125" s="11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11"/>
      <c r="O126" s="11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11"/>
      <c r="O127" s="11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11"/>
      <c r="O128" s="11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11"/>
      <c r="O129" s="11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11"/>
      <c r="O130" s="11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11"/>
      <c r="O131" s="11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11"/>
      <c r="O132" s="11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11"/>
      <c r="O133" s="11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11"/>
      <c r="O134" s="11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11"/>
      <c r="O135" s="11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11"/>
      <c r="O136" s="11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11"/>
      <c r="O137" s="11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11"/>
      <c r="O138" s="11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11"/>
      <c r="O139" s="11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11"/>
      <c r="O140" s="11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11"/>
      <c r="O141" s="11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11"/>
      <c r="O142" s="11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11"/>
      <c r="O143" s="11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11"/>
      <c r="O144" s="11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11"/>
      <c r="O145" s="11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11"/>
      <c r="O146" s="11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11"/>
      <c r="O147" s="11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11"/>
      <c r="O148" s="11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11"/>
      <c r="O149" s="11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11"/>
      <c r="O150" s="11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11"/>
      <c r="O151" s="11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11"/>
      <c r="O152" s="11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11"/>
      <c r="O153" s="11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11"/>
      <c r="O154" s="11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11"/>
      <c r="O155" s="11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11"/>
      <c r="O156" s="11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11"/>
      <c r="O157" s="11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11"/>
      <c r="O158" s="11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11"/>
      <c r="O159" s="11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11"/>
      <c r="O160" s="11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11"/>
      <c r="O161" s="11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11"/>
      <c r="O162" s="11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11"/>
      <c r="O163" s="11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11"/>
      <c r="O164" s="11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11"/>
      <c r="O165" s="11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11"/>
      <c r="O166" s="11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11"/>
      <c r="O167" s="11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11"/>
      <c r="O168" s="11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11"/>
      <c r="O169" s="11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11"/>
      <c r="O170" s="11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11"/>
      <c r="O171" s="11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11"/>
      <c r="O172" s="11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11"/>
      <c r="O173" s="11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11"/>
      <c r="O174" s="11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11"/>
      <c r="O175" s="11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11"/>
      <c r="O176" s="11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11"/>
      <c r="O177" s="11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11"/>
      <c r="O178" s="11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11"/>
      <c r="O179" s="11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11"/>
      <c r="O180" s="11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11"/>
      <c r="O181" s="11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11"/>
      <c r="O182" s="11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11"/>
      <c r="O183" s="11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11"/>
      <c r="O184" s="11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11"/>
      <c r="O185" s="11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11"/>
      <c r="O186" s="11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11"/>
      <c r="O187" s="11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11"/>
      <c r="O188" s="11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11"/>
      <c r="O189" s="11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11"/>
      <c r="O190" s="11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11"/>
      <c r="O191" s="11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11"/>
      <c r="O192" s="11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11"/>
      <c r="O193" s="11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11"/>
      <c r="O194" s="11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11"/>
      <c r="O195" s="11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11"/>
      <c r="O196" s="11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11"/>
      <c r="O197" s="11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11"/>
      <c r="O198" s="11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11"/>
      <c r="O199" s="11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11"/>
      <c r="O200" s="11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11"/>
      <c r="O201" s="113"/>
    </row>
  </sheetData>
  <mergeCells count="19"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  <mergeCell ref="A49:B49"/>
    <mergeCell ref="A1:B1"/>
    <mergeCell ref="A11:B11"/>
  </mergeCells>
  <conditionalFormatting sqref="J2:J201">
    <cfRule type="expression" dxfId="4" priority="2">
      <formula>Sort_by="Weight (fixed)"</formula>
    </cfRule>
    <cfRule type="expression" dxfId="3" priority="3">
      <formula>Sort_by="Total number of subjects"</formula>
    </cfRule>
  </conditionalFormatting>
  <dataValidations count="6">
    <dataValidation type="list" allowBlank="1" showInputMessage="1" showErrorMessage="1" sqref="B13">
      <formula1>"Ascending,Descending"</formula1>
    </dataValidation>
    <dataValidation type="list" allowBlank="1" showInputMessage="1" showErrorMessage="1" sqref="B2">
      <formula1>"Fixed effect model,Random effects model"</formula1>
    </dataValidation>
    <dataValidation type="list" allowBlank="1" showInputMessage="1" showErrorMessage="1" sqref="B12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10" t="s">
        <v>19</v>
      </c>
      <c r="B1" s="110"/>
      <c r="C1" s="110"/>
      <c r="D1" s="110"/>
      <c r="F1" s="1" t="s">
        <v>20</v>
      </c>
      <c r="G1" s="1" t="s">
        <v>61</v>
      </c>
      <c r="H1" s="1" t="str">
        <f>Subgroup_effect_size_measure</f>
        <v>Odds Ratio</v>
      </c>
      <c r="I1" s="1" t="s">
        <v>21</v>
      </c>
      <c r="J1" s="1" t="s">
        <v>22</v>
      </c>
      <c r="K1" s="1" t="s">
        <v>23</v>
      </c>
      <c r="L1" s="1" t="s">
        <v>53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45</v>
      </c>
      <c r="R1" s="1" t="s">
        <v>46</v>
      </c>
      <c r="S1" s="86"/>
      <c r="U1" s="85"/>
      <c r="W1" s="85"/>
      <c r="Y1" s="85"/>
      <c r="AA1" s="85"/>
    </row>
    <row r="2" spans="1:27" x14ac:dyDescent="0.3">
      <c r="A2" s="3" t="s">
        <v>66</v>
      </c>
      <c r="B2" s="117" t="s">
        <v>67</v>
      </c>
      <c r="C2" s="117"/>
      <c r="D2" s="117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15" t="s">
        <v>68</v>
      </c>
      <c r="U2" s="112" t="s">
        <v>69</v>
      </c>
      <c r="W2" s="112" t="s">
        <v>70</v>
      </c>
      <c r="Y2" s="112" t="s">
        <v>71</v>
      </c>
      <c r="AA2" s="112" t="s">
        <v>72</v>
      </c>
    </row>
    <row r="3" spans="1:27" x14ac:dyDescent="0.3">
      <c r="A3" s="3" t="s">
        <v>73</v>
      </c>
      <c r="B3" s="118" t="s">
        <v>36</v>
      </c>
      <c r="C3" s="118"/>
      <c r="D3" s="118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15"/>
      <c r="U3" s="112"/>
      <c r="W3" s="112"/>
      <c r="Y3" s="112"/>
      <c r="AA3" s="112"/>
    </row>
    <row r="4" spans="1:27" ht="11.25" customHeight="1" x14ac:dyDescent="0.3">
      <c r="A4" s="3" t="s">
        <v>39</v>
      </c>
      <c r="B4" s="119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19"/>
      <c r="D4" s="119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15"/>
      <c r="U4" s="112"/>
      <c r="W4" s="112"/>
      <c r="Y4" s="112"/>
      <c r="AA4" s="11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15"/>
      <c r="U5" s="112"/>
      <c r="W5" s="112"/>
      <c r="Y5" s="112"/>
      <c r="AA5" s="112"/>
    </row>
    <row r="6" spans="1:27" x14ac:dyDescent="0.3">
      <c r="A6" s="3" t="s">
        <v>74</v>
      </c>
      <c r="B6" s="118" t="s">
        <v>75</v>
      </c>
      <c r="C6" s="118"/>
      <c r="D6" s="118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15"/>
      <c r="U6" s="112"/>
      <c r="W6" s="112"/>
      <c r="Y6" s="112"/>
      <c r="AA6" s="112"/>
    </row>
    <row r="7" spans="1:27" x14ac:dyDescent="0.3">
      <c r="A7" s="3" t="s">
        <v>76</v>
      </c>
      <c r="B7" s="118" t="s">
        <v>77</v>
      </c>
      <c r="C7" s="118"/>
      <c r="D7" s="118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15"/>
      <c r="U7" s="112"/>
      <c r="W7" s="112"/>
      <c r="Y7" s="112"/>
      <c r="AA7" s="112"/>
    </row>
    <row r="8" spans="1:27" x14ac:dyDescent="0.3">
      <c r="A8" s="3" t="s">
        <v>29</v>
      </c>
      <c r="B8" s="120">
        <v>0.95</v>
      </c>
      <c r="C8" s="120"/>
      <c r="D8" s="120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15"/>
      <c r="U8" s="112"/>
      <c r="W8" s="112"/>
      <c r="Y8" s="112"/>
      <c r="AA8" s="11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15"/>
      <c r="U9" s="112"/>
      <c r="W9" s="112"/>
      <c r="Y9" s="112"/>
      <c r="AA9" s="112"/>
    </row>
    <row r="10" spans="1:27" x14ac:dyDescent="0.3">
      <c r="A10" s="110" t="s">
        <v>44</v>
      </c>
      <c r="B10" s="110"/>
      <c r="C10" s="110"/>
      <c r="D10" s="110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15"/>
      <c r="U10" s="112"/>
      <c r="W10" s="112"/>
      <c r="Y10" s="112"/>
      <c r="AA10" s="112"/>
    </row>
    <row r="11" spans="1:27" x14ac:dyDescent="0.3">
      <c r="A11" s="3" t="str">
        <f>Subgroup_effect_size_measure</f>
        <v>Odds Ratio</v>
      </c>
      <c r="B11" s="121" t="e">
        <f>Calculations!EY9</f>
        <v>#DIV/0!</v>
      </c>
      <c r="C11" s="121"/>
      <c r="D11" s="121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15"/>
      <c r="U11" s="112"/>
      <c r="W11" s="112"/>
      <c r="Y11" s="112"/>
      <c r="AA11" s="112"/>
    </row>
    <row r="12" spans="1:27" x14ac:dyDescent="0.3">
      <c r="A12" s="3" t="s">
        <v>21</v>
      </c>
      <c r="B12" s="122" t="e">
        <f>Calculations!EY11</f>
        <v>#DIV/0!</v>
      </c>
      <c r="C12" s="122"/>
      <c r="D12" s="122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15"/>
      <c r="U12" s="112"/>
      <c r="W12" s="112"/>
      <c r="Y12" s="112"/>
      <c r="AA12" s="112"/>
    </row>
    <row r="13" spans="1:27" x14ac:dyDescent="0.3">
      <c r="A13" s="3" t="s">
        <v>22</v>
      </c>
      <c r="B13" s="122" t="e">
        <f>Calculations!EY12</f>
        <v>#DIV/0!</v>
      </c>
      <c r="C13" s="122"/>
      <c r="D13" s="122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15"/>
      <c r="U13" s="112"/>
      <c r="W13" s="112"/>
      <c r="Y13" s="112"/>
      <c r="AA13" s="112"/>
    </row>
    <row r="14" spans="1:27" x14ac:dyDescent="0.3">
      <c r="A14" s="3" t="s">
        <v>45</v>
      </c>
      <c r="B14" s="122" t="e">
        <f>Calculations!EY13</f>
        <v>#DIV/0!</v>
      </c>
      <c r="C14" s="122"/>
      <c r="D14" s="122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15"/>
      <c r="U14" s="112"/>
      <c r="W14" s="112"/>
      <c r="Y14" s="112"/>
      <c r="AA14" s="112"/>
    </row>
    <row r="15" spans="1:27" x14ac:dyDescent="0.3">
      <c r="A15" s="3" t="s">
        <v>46</v>
      </c>
      <c r="B15" s="122" t="e">
        <f>Calculations!EY14</f>
        <v>#DIV/0!</v>
      </c>
      <c r="C15" s="122"/>
      <c r="D15" s="122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15"/>
      <c r="U15" s="112"/>
      <c r="W15" s="112"/>
      <c r="Y15" s="112"/>
      <c r="AA15" s="11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15"/>
      <c r="U16" s="112"/>
      <c r="W16" s="112"/>
      <c r="Y16" s="112"/>
      <c r="AA16" s="112"/>
    </row>
    <row r="17" spans="1:27" x14ac:dyDescent="0.3">
      <c r="A17" s="3" t="s">
        <v>50</v>
      </c>
      <c r="B17" s="123">
        <f>SUMIF(Sufficient_data,"Yes",Number_of_subjects)</f>
        <v>10668</v>
      </c>
      <c r="C17" s="123"/>
      <c r="D17" s="123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15"/>
      <c r="U17" s="112"/>
      <c r="W17" s="112"/>
      <c r="Y17" s="112"/>
      <c r="AA17" s="112"/>
    </row>
    <row r="18" spans="1:27" x14ac:dyDescent="0.3">
      <c r="A18" s="3" t="s">
        <v>51</v>
      </c>
      <c r="B18" s="123">
        <f>COUNT(Subgroup_weightf)</f>
        <v>0</v>
      </c>
      <c r="C18" s="123"/>
      <c r="D18" s="123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15"/>
      <c r="U18" s="112"/>
      <c r="W18" s="112"/>
      <c r="Y18" s="112"/>
      <c r="AA18" s="112"/>
    </row>
    <row r="19" spans="1:27" x14ac:dyDescent="0.3">
      <c r="A19" s="3" t="s">
        <v>78</v>
      </c>
      <c r="B19" s="123">
        <f>COUNT(Calculations!DZ:DZ)</f>
        <v>0</v>
      </c>
      <c r="C19" s="123"/>
      <c r="D19" s="123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15"/>
      <c r="U19" s="112"/>
      <c r="W19" s="112"/>
      <c r="Y19" s="112"/>
      <c r="AA19" s="11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15"/>
      <c r="U20" s="112"/>
      <c r="W20" s="112"/>
      <c r="Y20" s="112"/>
      <c r="AA20" s="112"/>
    </row>
    <row r="21" spans="1:27" x14ac:dyDescent="0.3">
      <c r="A21" s="1" t="s">
        <v>79</v>
      </c>
      <c r="B21" s="1" t="str">
        <f>IF(Within_subgroup_weighting=Calculations!EX42,"Sum of squares (Q)","Sum of squares (Q*)")</f>
        <v>Sum of squares (Q*)</v>
      </c>
      <c r="C21" s="1" t="s">
        <v>80</v>
      </c>
      <c r="D21" s="1" t="s">
        <v>81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15"/>
      <c r="U21" s="112"/>
      <c r="W21" s="112"/>
      <c r="Y21" s="112"/>
      <c r="AA21" s="112"/>
    </row>
    <row r="22" spans="1:27" x14ac:dyDescent="0.3">
      <c r="A22" s="3" t="s">
        <v>82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15"/>
      <c r="U22" s="112"/>
      <c r="W22" s="112"/>
      <c r="Y22" s="112"/>
      <c r="AA22" s="112"/>
    </row>
    <row r="23" spans="1:27" x14ac:dyDescent="0.3">
      <c r="A23" s="3" t="s">
        <v>83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15"/>
      <c r="U23" s="112"/>
      <c r="W23" s="112"/>
      <c r="Y23" s="112"/>
      <c r="AA23" s="11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15"/>
      <c r="U24" s="112"/>
      <c r="W24" s="112"/>
      <c r="Y24" s="112"/>
      <c r="AA24" s="11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15"/>
      <c r="U25" s="112"/>
      <c r="W25" s="112"/>
      <c r="Y25" s="112"/>
      <c r="AA25" s="112"/>
    </row>
    <row r="26" spans="1:27" ht="13.5" x14ac:dyDescent="0.3">
      <c r="A26" s="3" t="s">
        <v>84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15"/>
      <c r="U26" s="112"/>
      <c r="W26" s="112"/>
      <c r="Y26" s="112"/>
      <c r="AA26" s="11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15"/>
      <c r="U27" s="112"/>
      <c r="W27" s="112"/>
      <c r="Y27" s="112"/>
      <c r="AA27" s="112"/>
    </row>
    <row r="28" spans="1:27" x14ac:dyDescent="0.3">
      <c r="A28" s="110" t="s">
        <v>56</v>
      </c>
      <c r="B28" s="110"/>
      <c r="C28" s="110"/>
      <c r="D28" s="110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15"/>
      <c r="U28" s="112"/>
      <c r="W28" s="112"/>
      <c r="Y28" s="112"/>
      <c r="AA28" s="112"/>
    </row>
    <row r="29" spans="1:27" x14ac:dyDescent="0.3">
      <c r="A29" s="109" t="s">
        <v>67</v>
      </c>
      <c r="B29" s="109"/>
      <c r="C29" s="109"/>
      <c r="D29" s="109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15"/>
      <c r="U29" s="112"/>
      <c r="W29" s="112"/>
      <c r="Y29" s="112"/>
      <c r="AA29" s="112"/>
    </row>
    <row r="30" spans="1:27" x14ac:dyDescent="0.3">
      <c r="A30" s="108" t="s">
        <v>57</v>
      </c>
      <c r="B30" s="108"/>
      <c r="C30" s="108"/>
      <c r="D30" s="108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15"/>
      <c r="U30" s="112"/>
      <c r="W30" s="112"/>
      <c r="Y30" s="112"/>
      <c r="AA30" s="112"/>
    </row>
    <row r="31" spans="1:27" x14ac:dyDescent="0.3">
      <c r="A31" s="108" t="s">
        <v>58</v>
      </c>
      <c r="B31" s="108"/>
      <c r="C31" s="108"/>
      <c r="D31" s="108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15"/>
      <c r="U31" s="112"/>
      <c r="W31" s="112"/>
      <c r="Y31" s="112"/>
      <c r="AA31" s="11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15"/>
      <c r="U32" s="112"/>
      <c r="W32" s="112"/>
      <c r="Y32" s="112"/>
      <c r="AA32" s="112"/>
    </row>
    <row r="33" spans="1:27" x14ac:dyDescent="0.3">
      <c r="A33" s="110" t="s">
        <v>85</v>
      </c>
      <c r="B33" s="110"/>
      <c r="C33" s="110"/>
      <c r="D33" s="110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15"/>
      <c r="U33" s="112"/>
      <c r="W33" s="112"/>
      <c r="Y33" s="112"/>
      <c r="AA33" s="112"/>
    </row>
    <row r="34" spans="1:27" x14ac:dyDescent="0.3">
      <c r="A34" s="109" t="str">
        <f>IF(Subgroup_weighting_method="Peto","Peto Odds Ratio","Odds Ratio")</f>
        <v>Odds Ratio</v>
      </c>
      <c r="B34" s="109"/>
      <c r="C34" s="109"/>
      <c r="D34" s="109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15"/>
      <c r="U34" s="112"/>
      <c r="W34" s="112"/>
      <c r="Y34" s="112"/>
      <c r="AA34" s="112"/>
    </row>
    <row r="35" spans="1:27" x14ac:dyDescent="0.3">
      <c r="A35" s="108" t="str">
        <f>IF(Subgroup_weighting_method="Inverse variance","Risk Ratio","")</f>
        <v>Risk Ratio</v>
      </c>
      <c r="B35" s="108"/>
      <c r="C35" s="108"/>
      <c r="D35" s="108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15"/>
      <c r="U35" s="112"/>
      <c r="W35" s="112"/>
      <c r="Y35" s="112"/>
      <c r="AA35" s="112"/>
    </row>
    <row r="36" spans="1:27" x14ac:dyDescent="0.3">
      <c r="A36" s="108" t="str">
        <f>IF(Subgroup_weighting_method="Inverse Variance","Risk Difference","")</f>
        <v>Risk Difference</v>
      </c>
      <c r="B36" s="108"/>
      <c r="C36" s="108"/>
      <c r="D36" s="108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15"/>
      <c r="U36" s="112"/>
      <c r="W36" s="112"/>
      <c r="Y36" s="112"/>
      <c r="AA36" s="11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15"/>
      <c r="U37" s="112"/>
      <c r="W37" s="112"/>
      <c r="Y37" s="112"/>
      <c r="AA37" s="11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15"/>
      <c r="U38" s="112"/>
      <c r="W38" s="112"/>
      <c r="Y38" s="112"/>
      <c r="AA38" s="11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15"/>
      <c r="U39" s="112"/>
      <c r="W39" s="112"/>
      <c r="Y39" s="112"/>
      <c r="AA39" s="11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15"/>
      <c r="U40" s="112"/>
      <c r="W40" s="112"/>
      <c r="Y40" s="112"/>
      <c r="AA40" s="11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15"/>
      <c r="U41" s="112"/>
      <c r="W41" s="112"/>
      <c r="Y41" s="112"/>
      <c r="AA41" s="11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15"/>
      <c r="U42" s="112"/>
      <c r="W42" s="112"/>
      <c r="Y42" s="112"/>
      <c r="AA42" s="11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15"/>
      <c r="U43" s="112"/>
      <c r="W43" s="112"/>
      <c r="Y43" s="112"/>
      <c r="AA43" s="11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15"/>
      <c r="U44" s="112"/>
      <c r="W44" s="112"/>
      <c r="Y44" s="112"/>
      <c r="AA44" s="11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15"/>
      <c r="U45" s="112"/>
      <c r="W45" s="112"/>
      <c r="Y45" s="112"/>
      <c r="AA45" s="11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15"/>
      <c r="U46" s="112"/>
      <c r="W46" s="112"/>
      <c r="Y46" s="112"/>
      <c r="AA46" s="11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15"/>
      <c r="U47" s="112"/>
      <c r="W47" s="112"/>
      <c r="Y47" s="112"/>
      <c r="AA47" s="11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15"/>
      <c r="U48" s="112"/>
      <c r="W48" s="112"/>
      <c r="Y48" s="112"/>
      <c r="AA48" s="11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15"/>
      <c r="U49" s="112"/>
      <c r="W49" s="112"/>
      <c r="Y49" s="112"/>
      <c r="AA49" s="11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15"/>
      <c r="U50" s="112"/>
      <c r="W50" s="112"/>
      <c r="Y50" s="112"/>
      <c r="AA50" s="11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15"/>
      <c r="U51" s="112"/>
      <c r="W51" s="112"/>
      <c r="Y51" s="112"/>
      <c r="AA51" s="11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15"/>
      <c r="U52" s="112"/>
      <c r="W52" s="112"/>
      <c r="Y52" s="112"/>
      <c r="AA52" s="11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15"/>
      <c r="U53" s="112"/>
      <c r="W53" s="112"/>
      <c r="Y53" s="112"/>
      <c r="AA53" s="11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15"/>
      <c r="U54" s="112"/>
      <c r="W54" s="112"/>
      <c r="Y54" s="112"/>
      <c r="AA54" s="11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15"/>
      <c r="U55" s="112"/>
      <c r="W55" s="112"/>
      <c r="Y55" s="112"/>
      <c r="AA55" s="11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15"/>
      <c r="U56" s="112"/>
      <c r="W56" s="112"/>
      <c r="Y56" s="112"/>
      <c r="AA56" s="11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15"/>
      <c r="U57" s="112"/>
      <c r="W57" s="112"/>
      <c r="Y57" s="112"/>
      <c r="AA57" s="11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15"/>
      <c r="U58" s="112"/>
      <c r="W58" s="112"/>
      <c r="Y58" s="112"/>
      <c r="AA58" s="11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15"/>
      <c r="U59" s="112"/>
      <c r="W59" s="112"/>
      <c r="Y59" s="112"/>
      <c r="AA59" s="11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15"/>
      <c r="U60" s="112"/>
      <c r="W60" s="112"/>
      <c r="Y60" s="112"/>
      <c r="AA60" s="11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15"/>
      <c r="U61" s="112"/>
      <c r="W61" s="112"/>
      <c r="Y61" s="112"/>
      <c r="AA61" s="11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15"/>
      <c r="U62" s="112"/>
      <c r="W62" s="112"/>
      <c r="Y62" s="112"/>
      <c r="AA62" s="11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15"/>
      <c r="U63" s="112"/>
      <c r="W63" s="112"/>
      <c r="Y63" s="112"/>
      <c r="AA63" s="11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15"/>
      <c r="U64" s="112"/>
      <c r="W64" s="112"/>
      <c r="Y64" s="112"/>
      <c r="AA64" s="11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15"/>
      <c r="U65" s="112"/>
      <c r="W65" s="112"/>
      <c r="Y65" s="112"/>
      <c r="AA65" s="11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15"/>
      <c r="U66" s="112"/>
      <c r="W66" s="112"/>
      <c r="Y66" s="112"/>
      <c r="AA66" s="11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15"/>
      <c r="U67" s="112"/>
      <c r="W67" s="112"/>
      <c r="Y67" s="112"/>
      <c r="AA67" s="11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15"/>
      <c r="U68" s="112"/>
      <c r="W68" s="112"/>
      <c r="Y68" s="112"/>
      <c r="AA68" s="11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15"/>
      <c r="U69" s="112"/>
      <c r="W69" s="112"/>
      <c r="Y69" s="112"/>
      <c r="AA69" s="11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15"/>
      <c r="U70" s="112"/>
      <c r="W70" s="112"/>
      <c r="Y70" s="112"/>
      <c r="AA70" s="11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15"/>
      <c r="U71" s="112"/>
      <c r="W71" s="112"/>
      <c r="Y71" s="112"/>
      <c r="AA71" s="11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15"/>
      <c r="U72" s="112"/>
      <c r="W72" s="112"/>
      <c r="Y72" s="112"/>
      <c r="AA72" s="11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15"/>
      <c r="U73" s="112"/>
      <c r="W73" s="112"/>
      <c r="Y73" s="112"/>
      <c r="AA73" s="11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15"/>
      <c r="U74" s="112"/>
      <c r="W74" s="112"/>
      <c r="Y74" s="112"/>
      <c r="AA74" s="11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15"/>
      <c r="U75" s="112"/>
      <c r="W75" s="112"/>
      <c r="Y75" s="112"/>
      <c r="AA75" s="11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15"/>
      <c r="U76" s="112"/>
      <c r="W76" s="112"/>
      <c r="Y76" s="112"/>
      <c r="AA76" s="11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15"/>
      <c r="U77" s="112"/>
      <c r="W77" s="112"/>
      <c r="Y77" s="112"/>
      <c r="AA77" s="11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15"/>
      <c r="U78" s="112"/>
      <c r="W78" s="112"/>
      <c r="Y78" s="112"/>
      <c r="AA78" s="11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15"/>
      <c r="U79" s="112"/>
      <c r="W79" s="112"/>
      <c r="Y79" s="112"/>
      <c r="AA79" s="11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15"/>
      <c r="U80" s="112"/>
      <c r="W80" s="112"/>
      <c r="Y80" s="112"/>
      <c r="AA80" s="11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15"/>
      <c r="U81" s="112"/>
      <c r="W81" s="112"/>
      <c r="Y81" s="112"/>
      <c r="AA81" s="11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15"/>
      <c r="U82" s="112"/>
      <c r="W82" s="112"/>
      <c r="Y82" s="112"/>
      <c r="AA82" s="11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15"/>
      <c r="U83" s="112"/>
      <c r="W83" s="112"/>
      <c r="Y83" s="112"/>
      <c r="AA83" s="11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15"/>
      <c r="U84" s="112"/>
      <c r="W84" s="112"/>
      <c r="Y84" s="112"/>
      <c r="AA84" s="11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15"/>
      <c r="U85" s="112"/>
      <c r="W85" s="112"/>
      <c r="Y85" s="112"/>
      <c r="AA85" s="11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15"/>
      <c r="U86" s="112"/>
      <c r="W86" s="112"/>
      <c r="Y86" s="112"/>
      <c r="AA86" s="11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15"/>
      <c r="U87" s="112"/>
      <c r="W87" s="112"/>
      <c r="Y87" s="112"/>
      <c r="AA87" s="11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15"/>
      <c r="U88" s="112"/>
      <c r="W88" s="112"/>
      <c r="Y88" s="112"/>
      <c r="AA88" s="11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15"/>
      <c r="U89" s="112"/>
      <c r="W89" s="112"/>
      <c r="Y89" s="112"/>
      <c r="AA89" s="11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15"/>
      <c r="U90" s="112"/>
      <c r="W90" s="112"/>
      <c r="Y90" s="112"/>
      <c r="AA90" s="11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15"/>
      <c r="U91" s="112"/>
      <c r="W91" s="112"/>
      <c r="Y91" s="112"/>
      <c r="AA91" s="11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15"/>
      <c r="U92" s="112"/>
      <c r="W92" s="112"/>
      <c r="Y92" s="112"/>
      <c r="AA92" s="11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15"/>
      <c r="U93" s="112"/>
      <c r="W93" s="112"/>
      <c r="Y93" s="112"/>
      <c r="AA93" s="11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15"/>
      <c r="U94" s="112"/>
      <c r="W94" s="112"/>
      <c r="Y94" s="112"/>
      <c r="AA94" s="11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15"/>
      <c r="U95" s="112"/>
      <c r="W95" s="112"/>
      <c r="Y95" s="112"/>
      <c r="AA95" s="11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15"/>
      <c r="U96" s="112"/>
      <c r="W96" s="112"/>
      <c r="Y96" s="112"/>
      <c r="AA96" s="11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15"/>
      <c r="U97" s="112"/>
      <c r="W97" s="112"/>
      <c r="Y97" s="112"/>
      <c r="AA97" s="11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15"/>
      <c r="U98" s="112"/>
      <c r="W98" s="112"/>
      <c r="Y98" s="112"/>
      <c r="AA98" s="11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15"/>
      <c r="U99" s="112"/>
      <c r="W99" s="112"/>
      <c r="Y99" s="112"/>
      <c r="AA99" s="11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15"/>
      <c r="U100" s="112"/>
      <c r="W100" s="112"/>
      <c r="Y100" s="112"/>
      <c r="AA100" s="11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15"/>
      <c r="U101" s="112"/>
      <c r="W101" s="112"/>
      <c r="Y101" s="112"/>
      <c r="AA101" s="11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15"/>
      <c r="U102" s="112"/>
      <c r="W102" s="112"/>
      <c r="Y102" s="112"/>
      <c r="AA102" s="11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15"/>
      <c r="U103" s="112"/>
      <c r="W103" s="112"/>
      <c r="Y103" s="112"/>
      <c r="AA103" s="11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15"/>
      <c r="U104" s="112"/>
      <c r="W104" s="112"/>
      <c r="Y104" s="112"/>
      <c r="AA104" s="11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15"/>
      <c r="U105" s="112"/>
      <c r="W105" s="112"/>
      <c r="Y105" s="112"/>
      <c r="AA105" s="11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15"/>
      <c r="U106" s="112"/>
      <c r="W106" s="112"/>
      <c r="Y106" s="112"/>
      <c r="AA106" s="11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15"/>
      <c r="U107" s="112"/>
      <c r="W107" s="112"/>
      <c r="Y107" s="112"/>
      <c r="AA107" s="11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15"/>
      <c r="U108" s="112"/>
      <c r="W108" s="112"/>
      <c r="Y108" s="112"/>
      <c r="AA108" s="11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15"/>
      <c r="U109" s="112"/>
      <c r="W109" s="112"/>
      <c r="Y109" s="112"/>
      <c r="AA109" s="11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15"/>
      <c r="U110" s="112"/>
      <c r="W110" s="112"/>
      <c r="Y110" s="112"/>
      <c r="AA110" s="11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15"/>
      <c r="U111" s="112"/>
      <c r="W111" s="112"/>
      <c r="Y111" s="112"/>
      <c r="AA111" s="11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15"/>
      <c r="U112" s="112"/>
      <c r="W112" s="112"/>
      <c r="Y112" s="112"/>
      <c r="AA112" s="11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15"/>
      <c r="U113" s="112"/>
      <c r="W113" s="112"/>
      <c r="Y113" s="112"/>
      <c r="AA113" s="11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15"/>
      <c r="U114" s="112"/>
      <c r="W114" s="112"/>
      <c r="Y114" s="112"/>
      <c r="AA114" s="11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15"/>
      <c r="U115" s="112"/>
      <c r="W115" s="112"/>
      <c r="Y115" s="112"/>
      <c r="AA115" s="11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15"/>
      <c r="U116" s="112"/>
      <c r="W116" s="112"/>
      <c r="Y116" s="112"/>
      <c r="AA116" s="11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15"/>
      <c r="U117" s="112"/>
      <c r="W117" s="112"/>
      <c r="Y117" s="112"/>
      <c r="AA117" s="11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15"/>
      <c r="U118" s="112"/>
      <c r="W118" s="112"/>
      <c r="Y118" s="112"/>
      <c r="AA118" s="11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15"/>
      <c r="U119" s="112"/>
      <c r="W119" s="112"/>
      <c r="Y119" s="112"/>
      <c r="AA119" s="11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15"/>
      <c r="U120" s="112"/>
      <c r="W120" s="112"/>
      <c r="Y120" s="112"/>
      <c r="AA120" s="11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15"/>
      <c r="U121" s="112"/>
      <c r="W121" s="112"/>
      <c r="Y121" s="112"/>
      <c r="AA121" s="11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15"/>
      <c r="U122" s="112"/>
      <c r="W122" s="112"/>
      <c r="Y122" s="112"/>
      <c r="AA122" s="11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15"/>
      <c r="U123" s="112"/>
      <c r="W123" s="112"/>
      <c r="Y123" s="112"/>
      <c r="AA123" s="11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15"/>
      <c r="U124" s="112"/>
      <c r="W124" s="112"/>
      <c r="Y124" s="112"/>
      <c r="AA124" s="11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15"/>
      <c r="U125" s="112"/>
      <c r="W125" s="112"/>
      <c r="Y125" s="112"/>
      <c r="AA125" s="11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15"/>
      <c r="U126" s="112"/>
      <c r="W126" s="112"/>
      <c r="Y126" s="112"/>
      <c r="AA126" s="11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15"/>
      <c r="U127" s="112"/>
      <c r="W127" s="112"/>
      <c r="Y127" s="112"/>
      <c r="AA127" s="11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15"/>
      <c r="U128" s="112"/>
      <c r="W128" s="112"/>
      <c r="Y128" s="112"/>
      <c r="AA128" s="11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15"/>
      <c r="U129" s="112"/>
      <c r="W129" s="112"/>
      <c r="Y129" s="112"/>
      <c r="AA129" s="11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15"/>
      <c r="U130" s="112"/>
      <c r="W130" s="112"/>
      <c r="Y130" s="112"/>
      <c r="AA130" s="11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15"/>
      <c r="U131" s="112"/>
      <c r="W131" s="112"/>
      <c r="Y131" s="112"/>
      <c r="AA131" s="11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15"/>
      <c r="U132" s="112"/>
      <c r="W132" s="112"/>
      <c r="Y132" s="112"/>
      <c r="AA132" s="11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15"/>
      <c r="U133" s="112"/>
      <c r="W133" s="112"/>
      <c r="Y133" s="112"/>
      <c r="AA133" s="11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15"/>
      <c r="U134" s="112"/>
      <c r="W134" s="112"/>
      <c r="Y134" s="112"/>
      <c r="AA134" s="11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15"/>
      <c r="U135" s="112"/>
      <c r="W135" s="112"/>
      <c r="Y135" s="112"/>
      <c r="AA135" s="11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15"/>
      <c r="U136" s="112"/>
      <c r="W136" s="112"/>
      <c r="Y136" s="112"/>
      <c r="AA136" s="11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15"/>
      <c r="U137" s="112"/>
      <c r="W137" s="112"/>
      <c r="Y137" s="112"/>
      <c r="AA137" s="11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15"/>
      <c r="U138" s="112"/>
      <c r="W138" s="112"/>
      <c r="Y138" s="112"/>
      <c r="AA138" s="11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15"/>
      <c r="U139" s="112"/>
      <c r="W139" s="112"/>
      <c r="Y139" s="112"/>
      <c r="AA139" s="11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15"/>
      <c r="U140" s="112"/>
      <c r="W140" s="112"/>
      <c r="Y140" s="112"/>
      <c r="AA140" s="11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15"/>
      <c r="U141" s="112"/>
      <c r="W141" s="112"/>
      <c r="Y141" s="112"/>
      <c r="AA141" s="11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15"/>
      <c r="U142" s="112"/>
      <c r="W142" s="112"/>
      <c r="Y142" s="112"/>
      <c r="AA142" s="11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15"/>
      <c r="U143" s="112"/>
      <c r="W143" s="112"/>
      <c r="Y143" s="112"/>
      <c r="AA143" s="11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15"/>
      <c r="U144" s="112"/>
      <c r="W144" s="112"/>
      <c r="Y144" s="112"/>
      <c r="AA144" s="11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15"/>
      <c r="U145" s="112"/>
      <c r="W145" s="112"/>
      <c r="Y145" s="112"/>
      <c r="AA145" s="11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15"/>
      <c r="U146" s="112"/>
      <c r="W146" s="112"/>
      <c r="Y146" s="112"/>
      <c r="AA146" s="11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15"/>
      <c r="U147" s="112"/>
      <c r="W147" s="112"/>
      <c r="Y147" s="112"/>
      <c r="AA147" s="11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15"/>
      <c r="U148" s="112"/>
      <c r="W148" s="112"/>
      <c r="Y148" s="112"/>
      <c r="AA148" s="11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15"/>
      <c r="U149" s="112"/>
      <c r="W149" s="112"/>
      <c r="Y149" s="112"/>
      <c r="AA149" s="11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15"/>
      <c r="U150" s="112"/>
      <c r="W150" s="112"/>
      <c r="Y150" s="112"/>
      <c r="AA150" s="11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15"/>
      <c r="U151" s="112"/>
      <c r="W151" s="112"/>
      <c r="Y151" s="112"/>
      <c r="AA151" s="11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15"/>
      <c r="U152" s="112"/>
      <c r="W152" s="112"/>
      <c r="Y152" s="112"/>
      <c r="AA152" s="11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15"/>
      <c r="U153" s="112"/>
      <c r="W153" s="112"/>
      <c r="Y153" s="112"/>
      <c r="AA153" s="11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15"/>
      <c r="U154" s="112"/>
      <c r="W154" s="112"/>
      <c r="Y154" s="112"/>
      <c r="AA154" s="11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15"/>
      <c r="U155" s="112"/>
      <c r="W155" s="112"/>
      <c r="Y155" s="112"/>
      <c r="AA155" s="11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15"/>
      <c r="U156" s="112"/>
      <c r="W156" s="112"/>
      <c r="Y156" s="112"/>
      <c r="AA156" s="11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15"/>
      <c r="U157" s="112"/>
      <c r="W157" s="112"/>
      <c r="Y157" s="112"/>
      <c r="AA157" s="11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15"/>
      <c r="U158" s="112"/>
      <c r="W158" s="112"/>
      <c r="Y158" s="112"/>
      <c r="AA158" s="11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15"/>
      <c r="U159" s="112"/>
      <c r="W159" s="112"/>
      <c r="Y159" s="112"/>
      <c r="AA159" s="11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15"/>
      <c r="U160" s="112"/>
      <c r="W160" s="112"/>
      <c r="Y160" s="112"/>
      <c r="AA160" s="11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15"/>
      <c r="U161" s="112"/>
      <c r="W161" s="112"/>
      <c r="Y161" s="112"/>
      <c r="AA161" s="11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15"/>
      <c r="U162" s="112"/>
      <c r="W162" s="112"/>
      <c r="Y162" s="112"/>
      <c r="AA162" s="11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15"/>
      <c r="U163" s="112"/>
      <c r="W163" s="112"/>
      <c r="Y163" s="112"/>
      <c r="AA163" s="11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15"/>
      <c r="U164" s="112"/>
      <c r="W164" s="112"/>
      <c r="Y164" s="112"/>
      <c r="AA164" s="11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15"/>
      <c r="U165" s="112"/>
      <c r="W165" s="112"/>
      <c r="Y165" s="112"/>
      <c r="AA165" s="11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15"/>
      <c r="U166" s="112"/>
      <c r="W166" s="112"/>
      <c r="Y166" s="112"/>
      <c r="AA166" s="11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15"/>
      <c r="U167" s="112"/>
      <c r="W167" s="112"/>
      <c r="Y167" s="112"/>
      <c r="AA167" s="11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15"/>
      <c r="U168" s="112"/>
      <c r="W168" s="112"/>
      <c r="Y168" s="112"/>
      <c r="AA168" s="11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15"/>
      <c r="U169" s="112"/>
      <c r="W169" s="112"/>
      <c r="Y169" s="112"/>
      <c r="AA169" s="11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15"/>
      <c r="U170" s="112"/>
      <c r="W170" s="112"/>
      <c r="Y170" s="112"/>
      <c r="AA170" s="11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15"/>
      <c r="U171" s="112"/>
      <c r="W171" s="112"/>
      <c r="Y171" s="112"/>
      <c r="AA171" s="11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15"/>
      <c r="U172" s="112"/>
      <c r="W172" s="112"/>
      <c r="Y172" s="112"/>
      <c r="AA172" s="11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15"/>
      <c r="U173" s="112"/>
      <c r="W173" s="112"/>
      <c r="Y173" s="112"/>
      <c r="AA173" s="11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15"/>
      <c r="U174" s="112"/>
      <c r="W174" s="112"/>
      <c r="Y174" s="112"/>
      <c r="AA174" s="11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15"/>
      <c r="U175" s="112"/>
      <c r="W175" s="112"/>
      <c r="Y175" s="112"/>
      <c r="AA175" s="11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15"/>
      <c r="U176" s="112"/>
      <c r="W176" s="112"/>
      <c r="Y176" s="112"/>
      <c r="AA176" s="11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15"/>
      <c r="U177" s="112"/>
      <c r="W177" s="112"/>
      <c r="Y177" s="112"/>
      <c r="AA177" s="11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15"/>
      <c r="U178" s="112"/>
      <c r="W178" s="112"/>
      <c r="Y178" s="112"/>
      <c r="AA178" s="11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15"/>
      <c r="U179" s="112"/>
      <c r="W179" s="112"/>
      <c r="Y179" s="112"/>
      <c r="AA179" s="11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15"/>
      <c r="U180" s="112"/>
      <c r="W180" s="112"/>
      <c r="Y180" s="112"/>
      <c r="AA180" s="11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15"/>
      <c r="U181" s="112"/>
      <c r="W181" s="112"/>
      <c r="Y181" s="112"/>
      <c r="AA181" s="11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15"/>
      <c r="U182" s="112"/>
      <c r="W182" s="112"/>
      <c r="Y182" s="112"/>
      <c r="AA182" s="11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15"/>
      <c r="U183" s="112"/>
      <c r="W183" s="112"/>
      <c r="Y183" s="112"/>
      <c r="AA183" s="11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15"/>
      <c r="U184" s="112"/>
      <c r="W184" s="112"/>
      <c r="Y184" s="112"/>
      <c r="AA184" s="11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15"/>
      <c r="U185" s="112"/>
      <c r="W185" s="112"/>
      <c r="Y185" s="112"/>
      <c r="AA185" s="11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15"/>
      <c r="U186" s="112"/>
      <c r="W186" s="112"/>
      <c r="Y186" s="112"/>
      <c r="AA186" s="11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15"/>
      <c r="U187" s="112"/>
      <c r="W187" s="112"/>
      <c r="Y187" s="112"/>
      <c r="AA187" s="11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15"/>
      <c r="U188" s="112"/>
      <c r="W188" s="112"/>
      <c r="Y188" s="112"/>
      <c r="AA188" s="11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15"/>
      <c r="U189" s="112"/>
      <c r="W189" s="112"/>
      <c r="Y189" s="112"/>
      <c r="AA189" s="11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15"/>
      <c r="U190" s="112"/>
      <c r="W190" s="112"/>
      <c r="Y190" s="112"/>
      <c r="AA190" s="11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15"/>
      <c r="U191" s="112"/>
      <c r="W191" s="112"/>
      <c r="Y191" s="112"/>
      <c r="AA191" s="11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15"/>
      <c r="U192" s="112"/>
      <c r="W192" s="112"/>
      <c r="Y192" s="112"/>
      <c r="AA192" s="11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15"/>
      <c r="U193" s="112"/>
      <c r="W193" s="112"/>
      <c r="Y193" s="112"/>
      <c r="AA193" s="11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15"/>
      <c r="U194" s="112"/>
      <c r="W194" s="112"/>
      <c r="Y194" s="112"/>
      <c r="AA194" s="11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15"/>
      <c r="U195" s="112"/>
      <c r="W195" s="112"/>
      <c r="Y195" s="112"/>
      <c r="AA195" s="11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15"/>
      <c r="U196" s="112"/>
      <c r="W196" s="112"/>
      <c r="Y196" s="112"/>
      <c r="AA196" s="11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15"/>
      <c r="U197" s="112"/>
      <c r="W197" s="112"/>
      <c r="Y197" s="112"/>
      <c r="AA197" s="11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15"/>
      <c r="U198" s="112"/>
      <c r="W198" s="112"/>
      <c r="Y198" s="112"/>
      <c r="AA198" s="11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15"/>
      <c r="U199" s="112"/>
      <c r="W199" s="112"/>
      <c r="Y199" s="112"/>
      <c r="AA199" s="11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15"/>
      <c r="U200" s="112"/>
      <c r="W200" s="112"/>
      <c r="Y200" s="112"/>
      <c r="AA200" s="11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16"/>
      <c r="U201" s="113"/>
      <c r="W201" s="113"/>
      <c r="Y201" s="113"/>
      <c r="AA201" s="113"/>
    </row>
  </sheetData>
  <mergeCells count="29">
    <mergeCell ref="B17:D17"/>
    <mergeCell ref="B18:D18"/>
    <mergeCell ref="B19:D19"/>
    <mergeCell ref="A34:D34"/>
    <mergeCell ref="A35:D35"/>
    <mergeCell ref="A30:D30"/>
    <mergeCell ref="A31:D31"/>
    <mergeCell ref="A33:D33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Y2:Y201"/>
    <mergeCell ref="AA2:AA201"/>
    <mergeCell ref="S2:S201"/>
    <mergeCell ref="U2:U201"/>
    <mergeCell ref="W2:W201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Calculations!$EX$42:$EX$44</xm:f>
          </x14:formula1>
          <xm:sqref>B7</xm:sqref>
        </x14:dataValidation>
        <x14:dataValidation type="list" allowBlank="1" showInputMessage="1" showErrorMessage="1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10" t="s">
        <v>19</v>
      </c>
      <c r="B1" s="110"/>
      <c r="D1" s="1" t="s">
        <v>1</v>
      </c>
      <c r="E1" s="1" t="s">
        <v>11</v>
      </c>
      <c r="F1" s="1" t="str">
        <f>Moderator_effect_size_measure</f>
        <v>Log Odds Ratio</v>
      </c>
      <c r="G1" s="1" t="s">
        <v>23</v>
      </c>
    </row>
    <row r="2" spans="1:7" x14ac:dyDescent="0.3">
      <c r="A2" s="3" t="s">
        <v>32</v>
      </c>
      <c r="B2" s="5" t="s">
        <v>67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73</v>
      </c>
      <c r="B3" s="5" t="s">
        <v>86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39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10" t="s">
        <v>56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09" t="s">
        <v>67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08" t="s">
        <v>57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08" t="s">
        <v>58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10" t="s">
        <v>85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09" t="str">
        <f>IF(Moderator_weighting_method="Peto","Log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08" t="str">
        <f>IF(Moderator_weighting_method="Inverse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08" t="str">
        <f>IF(Moderator_weighting_method="Inverse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88</v>
      </c>
      <c r="K28" s="1" t="s">
        <v>89</v>
      </c>
      <c r="L28" s="1" t="s">
        <v>90</v>
      </c>
      <c r="M28" s="1" t="s">
        <v>91</v>
      </c>
      <c r="N28" s="25" t="s">
        <v>92</v>
      </c>
      <c r="O28" s="1" t="s">
        <v>47</v>
      </c>
      <c r="P28" s="1" t="s">
        <v>93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94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79</v>
      </c>
      <c r="J32" s="1" t="str">
        <f>IF(Moderator_model="Fixed effect","Sum of squares (Q)","Sum of squares (Q*)")</f>
        <v>Sum of squares (Q)</v>
      </c>
      <c r="K32" s="1" t="s">
        <v>80</v>
      </c>
      <c r="L32" s="1" t="s">
        <v>81</v>
      </c>
      <c r="N32" s="1" t="s">
        <v>95</v>
      </c>
      <c r="O32" s="1" t="s">
        <v>96</v>
      </c>
      <c r="P32" s="1" t="s">
        <v>93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24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97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98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99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100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3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19</v>
      </c>
      <c r="B1" s="1"/>
      <c r="D1" s="1" t="s">
        <v>1</v>
      </c>
      <c r="E1" s="1" t="str">
        <f>Additional_effect_size_measure</f>
        <v>Log Odds Ratio</v>
      </c>
      <c r="F1" s="1" t="s">
        <v>101</v>
      </c>
      <c r="M1" s="85"/>
      <c r="O1" s="110" t="s">
        <v>102</v>
      </c>
      <c r="P1" s="110"/>
      <c r="Q1" s="110"/>
      <c r="R1" s="110"/>
      <c r="S1" s="28"/>
      <c r="T1" s="85"/>
      <c r="V1" s="1" t="s">
        <v>1</v>
      </c>
      <c r="W1" s="1" t="s">
        <v>103</v>
      </c>
      <c r="AE1" s="85"/>
      <c r="AG1" s="1" t="s">
        <v>1</v>
      </c>
      <c r="AH1" s="1" t="s">
        <v>104</v>
      </c>
      <c r="AI1" s="1" t="s">
        <v>105</v>
      </c>
      <c r="AR1" s="85"/>
      <c r="AT1" s="1" t="s">
        <v>1</v>
      </c>
      <c r="AU1" s="1" t="s">
        <v>106</v>
      </c>
      <c r="AV1" s="1" t="s">
        <v>107</v>
      </c>
      <c r="BC1" s="85"/>
      <c r="BE1" s="1" t="s">
        <v>1</v>
      </c>
      <c r="BF1" s="75" t="s">
        <v>108</v>
      </c>
      <c r="BG1" s="1" t="s">
        <v>109</v>
      </c>
      <c r="BP1" s="85"/>
      <c r="BR1" s="1" t="s">
        <v>110</v>
      </c>
      <c r="BS1" s="1"/>
      <c r="BT1" s="85"/>
    </row>
    <row r="2" spans="1:72" x14ac:dyDescent="0.3">
      <c r="A2" s="3" t="s">
        <v>32</v>
      </c>
      <c r="B2" s="5" t="s">
        <v>67</v>
      </c>
      <c r="D2" s="43" t="str">
        <f t="shared" ref="D2:D33" si="0">IF(AND(Include_study?="Yes",Sufficient_data="Yes"),Study_name,"")</f>
        <v>Hsu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-0.36770966801613514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0.17884568310282764</v>
      </c>
      <c r="M2" s="112" t="s">
        <v>111</v>
      </c>
      <c r="O2" s="3"/>
      <c r="P2" s="3" t="s">
        <v>112</v>
      </c>
      <c r="Q2" s="3" t="s">
        <v>89</v>
      </c>
      <c r="R2" s="3" t="s">
        <v>90</v>
      </c>
      <c r="S2" s="3" t="s">
        <v>91</v>
      </c>
      <c r="T2" s="112" t="s">
        <v>113</v>
      </c>
      <c r="V2" s="77" t="str">
        <f t="shared" ref="V2:V33" si="3">IF(AND(Include_study?="Yes",Sufficient_data="Yes"),Study_name,"")</f>
        <v>Hsu et al.</v>
      </c>
      <c r="W2" s="34">
        <f>IF(AND(Include_study?="Yes",Sufficient_data="Yes"),((E:E-I$29)*SQRT(Calculations!FU:FU))/SQRT(1-Calculations!FU:FU/SUM(Calculations!FU:FU)),"")</f>
        <v>0.57588798249403195</v>
      </c>
      <c r="AE2" s="112" t="s">
        <v>114</v>
      </c>
      <c r="AG2" s="77" t="str">
        <f t="shared" ref="AG2:AG33" si="4">IF(AND(Include_study?="Yes",Sufficient_data="Yes"),Study_name,"")</f>
        <v>Hsu et al.</v>
      </c>
      <c r="AH2" s="74">
        <f t="shared" ref="AH2:AH65" si="5">IF(AND(Sufficient_data="Yes",Include_study?="Yes"),c_/(c_+d_),"")</f>
        <v>2.6097271648873072E-2</v>
      </c>
      <c r="AI2" s="34">
        <f t="shared" ref="AI2:AI65" si="6">IF(AND(Sufficient_data="Yes",Include_study?="Yes"),a_/(a_+b_),"")</f>
        <v>1.8213866039952998E-2</v>
      </c>
      <c r="AR2" s="112" t="s">
        <v>115</v>
      </c>
      <c r="AT2" s="77" t="str">
        <f t="shared" ref="AT2:AT33" si="7">IF(AND(Include_study?="Yes",Sufficient_data="Yes"),Study_name,"")</f>
        <v>Hsu et al.</v>
      </c>
      <c r="AU2" s="74">
        <f t="shared" ref="AU2:AU33" si="8">IF(AND(Include_study?="Yes",Sufficient_data="Yes"),IF(AND(Additional_valid_options="No",Additional_model="Random effects"),NA(),Inverse_standard_error),"")</f>
        <v>5.591412566693311</v>
      </c>
      <c r="AV2" s="34">
        <f t="shared" ref="AV2:AV33" si="9">IF(AND(Include_study?="Yes",Sufficient_data="Yes"),IF(AND(Additional_valid_options="No",Additional_model="Random effects"),NA(),Z_score),"")</f>
        <v>-2.0560164586400433</v>
      </c>
      <c r="BC2" s="112" t="s">
        <v>116</v>
      </c>
      <c r="BE2" s="74" t="str">
        <f t="shared" ref="BE2:BE33" si="10">IF(AND(Include_study?="Yes",Sufficient_data="Yes"),Study_name,"")</f>
        <v>Hsu et al.</v>
      </c>
      <c r="BF2" s="74">
        <f>IF(AND(Include_study?="Yes",Sufficient_data="Yes"),NORMSINV(Calculations!IW2),"")</f>
        <v>0.56594882193286311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-2.0560164586400433</v>
      </c>
      <c r="BP2" s="112" t="s">
        <v>117</v>
      </c>
      <c r="BR2" s="125" t="s">
        <v>118</v>
      </c>
      <c r="BS2" s="125"/>
      <c r="BT2" s="112" t="s">
        <v>119</v>
      </c>
    </row>
    <row r="3" spans="1:72" x14ac:dyDescent="0.3">
      <c r="A3" s="3" t="s">
        <v>73</v>
      </c>
      <c r="B3" s="5" t="s">
        <v>86</v>
      </c>
      <c r="D3" s="44" t="str">
        <f t="shared" si="0"/>
        <v>Van et al.</v>
      </c>
      <c r="E3" s="3">
        <f t="shared" si="1"/>
        <v>-0.50896238892562073</v>
      </c>
      <c r="F3" s="3">
        <f t="shared" si="2"/>
        <v>0.16785582245683178</v>
      </c>
      <c r="M3" s="112"/>
      <c r="O3" s="3" t="s">
        <v>94</v>
      </c>
      <c r="P3" s="4">
        <f>IF(Additional_valid_options="Yes",INTERCEPT(Z_score,Inverse_standard_error),NA())</f>
        <v>12.85300382411592</v>
      </c>
      <c r="Q3" s="4" t="e">
        <f>IF(Additional_valid_options="Yes",Q4*SQRT(1/k_*SUMPRODUCT(Inverse_standard_error,Inverse_standard_error)),NA())</f>
        <v>#DIV/0!</v>
      </c>
      <c r="R3" s="4" t="e">
        <f>P3-ABS(TINV((1-Additional_confidence_level),k_-1))*Q3</f>
        <v>#DIV/0!</v>
      </c>
      <c r="S3" s="4" t="e">
        <f>P3+ABS(TINV((1-Additional_confidence_level),k_-1))*Q3</f>
        <v>#DIV/0!</v>
      </c>
      <c r="T3" s="112"/>
      <c r="V3" s="76" t="str">
        <f t="shared" si="3"/>
        <v>Van et al.</v>
      </c>
      <c r="W3" s="35">
        <f>IF(AND(Include_study?="Yes",Sufficient_data="Yes"),((E:E-I$29)*SQRT(Calculations!FU:FU))/SQRT(1-Calculations!FU:FU/SUM(Calculations!FU:FU)),"")</f>
        <v>-0.57588798249403328</v>
      </c>
      <c r="AE3" s="112"/>
      <c r="AG3" s="76" t="str">
        <f t="shared" si="4"/>
        <v>Van et al.</v>
      </c>
      <c r="AH3" s="3">
        <f t="shared" si="5"/>
        <v>4.0210627094303494E-2</v>
      </c>
      <c r="AI3" s="35">
        <f t="shared" si="6"/>
        <v>2.456538170823885E-2</v>
      </c>
      <c r="AR3" s="112"/>
      <c r="AT3" s="76" t="str">
        <f t="shared" si="7"/>
        <v>Van et al.</v>
      </c>
      <c r="AU3" s="3">
        <f t="shared" si="8"/>
        <v>5.9574936714344497</v>
      </c>
      <c r="AV3" s="35">
        <f t="shared" si="9"/>
        <v>-3.0321402110225448</v>
      </c>
      <c r="BC3" s="112"/>
      <c r="BE3" s="76" t="str">
        <f t="shared" si="10"/>
        <v>Van et al.</v>
      </c>
      <c r="BF3" s="3">
        <f>IF(AND(Include_study?="Yes",Sufficient_data="Yes"),NORMSINV(Calculations!IW3),"")</f>
        <v>-0.56594882193286311</v>
      </c>
      <c r="BG3" s="35">
        <f t="shared" si="11"/>
        <v>-3.0321402110225448</v>
      </c>
      <c r="BP3" s="112"/>
      <c r="BR3" s="3" t="s">
        <v>120</v>
      </c>
      <c r="BS3" s="4">
        <f>SUM(Calculations!JH:JH)/SQRT(k_)</f>
        <v>-3.5978700848579757</v>
      </c>
      <c r="BT3" s="112"/>
    </row>
    <row r="4" spans="1:72" x14ac:dyDescent="0.3">
      <c r="A4" s="3" t="s">
        <v>39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M4" s="112"/>
      <c r="O4" s="3" t="s">
        <v>121</v>
      </c>
      <c r="P4" s="4">
        <f>IF(Additional_valid_options="Yes",SLOPE(Z_score,Inverse_standard_error),NA())</f>
        <v>-2.6664139168634029</v>
      </c>
      <c r="Q4" s="4" t="e">
        <f>IF(Additional_valid_options="Yes",SQRT(((1/(k_-2))*SUMPRODUCT(Calculations!HM:HM,Calculations!HM:HM))/SUMPRODUCT(Calculations!HL:HL,Calculations!HL:HL)),NA())</f>
        <v>#DIV/0!</v>
      </c>
      <c r="R4" s="4" t="e">
        <f>P4-ABS(TINV((1-Additional_confidence_level),k_-1))*Q4</f>
        <v>#DIV/0!</v>
      </c>
      <c r="S4" s="4" t="e">
        <f>P4+ABS(TINV((1-Additional_confidence_level),k_-1))*Q4</f>
        <v>#DIV/0!</v>
      </c>
      <c r="T4" s="112"/>
      <c r="V4" s="76" t="str">
        <f t="shared" si="3"/>
        <v/>
      </c>
      <c r="W4" s="35" t="str">
        <f>IF(AND(Include_study?="Yes",Sufficient_data="Yes"),((E:E-I$29)*SQRT(Calculations!FU:FU))/SQRT(1-Calculations!FU:FU/SUM(Calculations!FU:FU)),"")</f>
        <v/>
      </c>
      <c r="AE4" s="112"/>
      <c r="AG4" s="76" t="str">
        <f t="shared" si="4"/>
        <v/>
      </c>
      <c r="AH4" s="3" t="str">
        <f t="shared" si="5"/>
        <v/>
      </c>
      <c r="AI4" s="35" t="str">
        <f t="shared" si="6"/>
        <v/>
      </c>
      <c r="AR4" s="112"/>
      <c r="AT4" s="76" t="str">
        <f t="shared" si="7"/>
        <v/>
      </c>
      <c r="AU4" s="3" t="str">
        <f t="shared" si="8"/>
        <v/>
      </c>
      <c r="AV4" s="35" t="str">
        <f t="shared" si="9"/>
        <v/>
      </c>
      <c r="BC4" s="112"/>
      <c r="BE4" s="76" t="str">
        <f t="shared" si="10"/>
        <v/>
      </c>
      <c r="BF4" s="3" t="str">
        <f>IF(AND(Include_study?="Yes",Sufficient_data="Yes"),NORMSINV(Calculations!IW4),"")</f>
        <v/>
      </c>
      <c r="BG4" s="35" t="str">
        <f t="shared" si="11"/>
        <v/>
      </c>
      <c r="BP4" s="112"/>
      <c r="BR4" s="3" t="s">
        <v>122</v>
      </c>
      <c r="BS4" s="7">
        <f>MAX(0,ROUNDUP(k_*(BS3/NORMSINV((1-Additional_confidence_level)))^2-k_,0))</f>
        <v>8</v>
      </c>
      <c r="BT4" s="11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12"/>
      <c r="T5" s="11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1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1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1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12"/>
      <c r="BR5" s="3" t="s">
        <v>123</v>
      </c>
      <c r="BS5" s="4" t="b">
        <f>BS4&lt;5*k_+10</f>
        <v>1</v>
      </c>
      <c r="BT5" s="112"/>
    </row>
    <row r="6" spans="1:72" x14ac:dyDescent="0.3">
      <c r="A6" s="3" t="s">
        <v>24</v>
      </c>
      <c r="B6" s="5" t="s">
        <v>87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12"/>
      <c r="O6" s="3" t="s">
        <v>124</v>
      </c>
      <c r="P6" s="4" t="e">
        <f>P3/Q3</f>
        <v>#DIV/0!</v>
      </c>
      <c r="T6" s="11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1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1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1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12"/>
      <c r="BT6" s="112"/>
    </row>
    <row r="7" spans="1:72" x14ac:dyDescent="0.3">
      <c r="A7" s="3" t="s">
        <v>29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12"/>
      <c r="O7" s="3" t="s">
        <v>93</v>
      </c>
      <c r="P7" s="26" t="e">
        <f>TDIST(ABS(P6),k_-2,2)</f>
        <v>#DIV/0!</v>
      </c>
      <c r="T7" s="11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1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1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1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12"/>
      <c r="BR7" s="110" t="s">
        <v>125</v>
      </c>
      <c r="BS7" s="110"/>
      <c r="BT7" s="11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12"/>
      <c r="T8" s="11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1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1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1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12"/>
      <c r="BR8" s="3" t="s">
        <v>126</v>
      </c>
      <c r="BS8" s="7">
        <f>MAX(0,ROUNDUP((k_*(1-MAX(Calculations!JI:JI))-1)/MAX(Calculations!JI:JI),0))</f>
        <v>49</v>
      </c>
      <c r="BT8" s="112"/>
    </row>
    <row r="9" spans="1:72" x14ac:dyDescent="0.3">
      <c r="A9" s="110" t="s">
        <v>56</v>
      </c>
      <c r="B9" s="110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12"/>
      <c r="O9" s="110" t="s">
        <v>127</v>
      </c>
      <c r="P9" s="110"/>
      <c r="T9" s="11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1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1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1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12"/>
      <c r="BT9" s="112"/>
    </row>
    <row r="10" spans="1:72" ht="13" x14ac:dyDescent="0.35">
      <c r="A10" s="109" t="s">
        <v>67</v>
      </c>
      <c r="B10" s="109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12"/>
      <c r="O10" s="3" t="s">
        <v>128</v>
      </c>
      <c r="P10" s="4">
        <f>IF(Additional_valid_options="Yes",SUM(Calculations!HT:HT)/2-SUM(Calculations!HU:HU)/2,NA())</f>
        <v>1</v>
      </c>
      <c r="T10" s="11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1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1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1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12"/>
      <c r="BR10" s="110" t="s">
        <v>129</v>
      </c>
      <c r="BS10" s="110"/>
      <c r="BT10" s="112"/>
    </row>
    <row r="11" spans="1:72" x14ac:dyDescent="0.3">
      <c r="A11" s="108" t="s">
        <v>57</v>
      </c>
      <c r="B11" s="108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12"/>
      <c r="O11" s="3" t="s">
        <v>130</v>
      </c>
      <c r="P11" s="4">
        <f>IF(Additional_valid_options="Yes",(SUM(Calculations!HT:HT)/2-SUM(Calculations!HU:HU)/2)/(1/2*k_*(k_-1)),NA())</f>
        <v>1</v>
      </c>
      <c r="T11" s="11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1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1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1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12"/>
      <c r="BR11" s="3" t="s">
        <v>98</v>
      </c>
      <c r="BS11" s="4">
        <f>I29</f>
        <v>-0.44280901022772856</v>
      </c>
      <c r="BT11" s="112"/>
    </row>
    <row r="12" spans="1:72" ht="13" x14ac:dyDescent="0.35">
      <c r="A12" s="108" t="s">
        <v>58</v>
      </c>
      <c r="B12" s="108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12"/>
      <c r="O12" s="3" t="s">
        <v>131</v>
      </c>
      <c r="P12" s="4">
        <f>P10/SQRT((k_*(k_-1)*(2*k_+5)/18))</f>
        <v>1</v>
      </c>
      <c r="T12" s="11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1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1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1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12"/>
      <c r="BR12" s="3" t="s">
        <v>132</v>
      </c>
      <c r="BS12" s="5">
        <v>0</v>
      </c>
      <c r="BT12" s="11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12"/>
      <c r="O13" s="3" t="s">
        <v>81</v>
      </c>
      <c r="P13" s="26">
        <f>2*(1-NORMSDIST(ABS(P12)))</f>
        <v>0.31731050786291393</v>
      </c>
      <c r="T13" s="11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1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1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1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12"/>
      <c r="BR13" s="3" t="s">
        <v>133</v>
      </c>
      <c r="BS13" s="5">
        <v>-0.69</v>
      </c>
      <c r="BT13" s="112"/>
    </row>
    <row r="14" spans="1:72" x14ac:dyDescent="0.3">
      <c r="A14" s="110" t="s">
        <v>85</v>
      </c>
      <c r="B14" s="110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12"/>
      <c r="T14" s="11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1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1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1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12"/>
      <c r="BR14" s="3" t="s">
        <v>122</v>
      </c>
      <c r="BS14" s="7">
        <f>MAX(0,ROUNDUP(k_*(BS11-BS12)/(BS12-BS13),0))</f>
        <v>0</v>
      </c>
      <c r="BT14" s="112"/>
    </row>
    <row r="15" spans="1:72" x14ac:dyDescent="0.3">
      <c r="A15" s="109" t="str">
        <f>IF(Additional_weighting_method="Peto","Log Peto Odds Ratio","Log Odds Ratio")</f>
        <v>Log Odds Ratio</v>
      </c>
      <c r="B15" s="109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12"/>
      <c r="T15" s="11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1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1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1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12"/>
      <c r="BT15" s="112"/>
    </row>
    <row r="16" spans="1:72" x14ac:dyDescent="0.3">
      <c r="A16" s="108" t="str">
        <f>IF(Additional_weighting_method="Inverse variance","Log Risk Ratio","")</f>
        <v>Log Risk Ratio</v>
      </c>
      <c r="B16" s="108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12"/>
      <c r="T16" s="11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1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1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1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12"/>
      <c r="BR16" s="110" t="s">
        <v>134</v>
      </c>
      <c r="BS16" s="110"/>
      <c r="BT16" s="112"/>
    </row>
    <row r="17" spans="1:72" x14ac:dyDescent="0.3">
      <c r="A17" s="108" t="str">
        <f>IF(Additional_weighting_method="Inverse Variance","Risk Difference","")</f>
        <v>Risk Difference</v>
      </c>
      <c r="B17" s="108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12"/>
      <c r="T17" s="11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1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1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1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12"/>
      <c r="BR17" s="3" t="s">
        <v>122</v>
      </c>
      <c r="BS17" s="7">
        <f>MAX(0,ROUNDUP(-2*SUM(Calculations!JJ:JJ),0))</f>
        <v>22</v>
      </c>
      <c r="BT17" s="11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12"/>
      <c r="T18" s="11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1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1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1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12"/>
      <c r="BR18" s="3" t="s">
        <v>135</v>
      </c>
      <c r="BS18" s="26">
        <f>CHIDIST(BS17,k_*2)</f>
        <v>2.0042040948294791E-4</v>
      </c>
      <c r="BT18" s="11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12"/>
      <c r="T19" s="11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1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1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1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12"/>
      <c r="BT19" s="11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12"/>
      <c r="T20" s="11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1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1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1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12"/>
      <c r="BT20" s="11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12"/>
      <c r="T21" s="11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1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1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1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12"/>
      <c r="BT21" s="11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12"/>
      <c r="T22" s="11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1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1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1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12"/>
      <c r="BT22" s="11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12"/>
      <c r="T23" s="11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1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1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1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12"/>
      <c r="BT23" s="11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12"/>
      <c r="T24" s="11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1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1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1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12"/>
      <c r="BT24" s="11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12"/>
      <c r="T25" s="11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1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1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1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12"/>
      <c r="BT25" s="11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12"/>
      <c r="T26" s="11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1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1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1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12"/>
      <c r="BT26" s="11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12"/>
      <c r="T27" s="11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1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1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1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12"/>
      <c r="BT27" s="11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98</v>
      </c>
      <c r="I28" s="28" t="s">
        <v>136</v>
      </c>
      <c r="K28" s="110" t="s">
        <v>52</v>
      </c>
      <c r="L28" s="110"/>
      <c r="M28" s="112"/>
      <c r="T28" s="11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1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1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26" t="s">
        <v>137</v>
      </c>
      <c r="AY28" s="126"/>
      <c r="AZ28" s="126"/>
      <c r="BA28" s="126"/>
      <c r="BB28" s="127"/>
      <c r="BC28" s="11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26" t="s">
        <v>137</v>
      </c>
      <c r="BJ28" s="126"/>
      <c r="BK28" s="126"/>
      <c r="BL28" s="126"/>
      <c r="BM28" s="126"/>
      <c r="BP28" s="112"/>
      <c r="BT28" s="11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-0.44280901022772856</v>
      </c>
      <c r="K29" s="3" t="s">
        <v>53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0.33164696838105101</v>
      </c>
      <c r="M29" s="112"/>
      <c r="T29" s="11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138</v>
      </c>
      <c r="Z29" s="1" t="s">
        <v>139</v>
      </c>
      <c r="AA29" s="1" t="s">
        <v>140</v>
      </c>
      <c r="AE29" s="11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1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112</v>
      </c>
      <c r="AZ29" s="3" t="s">
        <v>89</v>
      </c>
      <c r="BA29" s="3" t="s">
        <v>90</v>
      </c>
      <c r="BB29" s="3" t="s">
        <v>91</v>
      </c>
      <c r="BC29" s="11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112</v>
      </c>
      <c r="BK29" s="3" t="s">
        <v>89</v>
      </c>
      <c r="BL29" s="3" t="s">
        <v>90</v>
      </c>
      <c r="BM29" s="3" t="s">
        <v>91</v>
      </c>
      <c r="BP29" s="112"/>
      <c r="BT29" s="11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0.1223928550705644</v>
      </c>
      <c r="K30" s="3" t="s">
        <v>54</v>
      </c>
      <c r="L30" s="26">
        <f>IF(Additional_valid_options="Yes",CHIDIST(L29,k_-1+IF(Trim_and_fill="On",L39,0)),"")</f>
        <v>0.56469089899915526</v>
      </c>
      <c r="M30" s="112"/>
      <c r="T30" s="11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1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1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94</v>
      </c>
      <c r="AY30" s="4">
        <v>0</v>
      </c>
      <c r="AZ30" s="4"/>
      <c r="BA30" s="4"/>
      <c r="BB30" s="4"/>
      <c r="BC30" s="11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94</v>
      </c>
      <c r="BJ30" s="4">
        <f>INTERCEPT(BG:BG,BF:BF)</f>
        <v>-2.5440783348312941</v>
      </c>
      <c r="BK30" s="4" t="e">
        <f>BK31*SQRT(1/k_*SUMPRODUCT(BF:BF,BF:BF))</f>
        <v>#DIV/0!</v>
      </c>
      <c r="BL30" s="4" t="e">
        <f>BJ30-ABS(TINV((1-Additional_confidence_level),k_-1))*BK30</f>
        <v>#DIV/0!</v>
      </c>
      <c r="BM30" s="4" t="e">
        <f>BJ30+ABS(TINV((1-Additional_confidence_level),k_-1))*BK30</f>
        <v>#DIV/0!</v>
      </c>
      <c r="BP30" s="112"/>
      <c r="BT30" s="11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21</v>
      </c>
      <c r="I31" s="4">
        <f>IF(Additional_valid_options="Yes",I29-ABS(TINV((1-Additional_confidence_level),k_-1))*I30,"")</f>
        <v>-1.9979576849992768</v>
      </c>
      <c r="K31" s="3" t="s">
        <v>55</v>
      </c>
      <c r="L31" s="8">
        <f>IF(Additional_valid_options="Yes",IF(L29-(k_-1+IF(Trim_and_fill="On",L39,0))&lt;=0,0,(L29-(k_-1+IF(Trim_and_fill="On",L39,0)))/L29),"")</f>
        <v>0</v>
      </c>
      <c r="M31" s="112"/>
      <c r="T31" s="11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-0.35</v>
      </c>
      <c r="Z31" s="4">
        <f t="array" ref="Z31:Z39">FREQUENCY(W:W,Calculations!HZ2:HZ10)/k_</f>
        <v>0.5</v>
      </c>
      <c r="AA31" s="4">
        <f>NORMSDIST(Calculations!HZ2)</f>
        <v>0.3631693488243809</v>
      </c>
      <c r="AE31" s="11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1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121</v>
      </c>
      <c r="AY31" s="4">
        <f>I29</f>
        <v>-0.44280901022772856</v>
      </c>
      <c r="AZ31" s="4">
        <f>I30</f>
        <v>0.1223928550705644</v>
      </c>
      <c r="BA31" s="4">
        <f>AY31-ABS(TINV((1-Additional_confidence_level),k_-1))*AZ31</f>
        <v>-1.9979576849992768</v>
      </c>
      <c r="BB31" s="4">
        <f>AY31+ABS(TINV((1-Additional_confidence_level),k_-1))*AZ31</f>
        <v>1.1123396645438195</v>
      </c>
      <c r="BC31" s="11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121</v>
      </c>
      <c r="BJ31" s="4">
        <f>SLOPE(BG:BG,BF:BF)</f>
        <v>0.86237811137125775</v>
      </c>
      <c r="BK31" s="4" t="e">
        <f>SQRT(((1/(k_-2))*SUMPRODUCT(Calculations!JA:JA,Calculations!JA:JA))/SUMPRODUCT(Calculations!IZ:IZ,Calculations!IZ:IZ))</f>
        <v>#DIV/0!</v>
      </c>
      <c r="BL31" s="4" t="e">
        <f>BJ31-ABS(TINV((1-Additional_confidence_level),k_-1))*BK31</f>
        <v>#DIV/0!</v>
      </c>
      <c r="BM31" s="4" t="e">
        <f>BJ31+ABS(TINV((1-Additional_confidence_level),k_-1))*BK31</f>
        <v>#DIV/0!</v>
      </c>
      <c r="BP31" s="112"/>
      <c r="BT31" s="11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22</v>
      </c>
      <c r="I32" s="4">
        <f>IF(Additional_valid_options="Yes",I29+ABS(TINV((1-Additional_confidence_level),k_-1))*I30,"")</f>
        <v>1.1123396645438195</v>
      </c>
      <c r="K32" s="3" t="s">
        <v>141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12"/>
      <c r="T32" s="11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-0.35; -0.25</v>
      </c>
      <c r="Z32" s="4">
        <v>0</v>
      </c>
      <c r="AA32" s="4">
        <f>NORMSDIST(Calculations!HZ3)-(SUM(AA$31:AA31))</f>
        <v>3.8124325492695399E-2</v>
      </c>
      <c r="AE32" s="11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26" t="s">
        <v>98</v>
      </c>
      <c r="AL32" s="126"/>
      <c r="AM32" s="126"/>
      <c r="AR32" s="11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1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12"/>
      <c r="BT32" s="11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45</v>
      </c>
      <c r="I33" s="4">
        <f>IF(Additional_valid_options="Yes",I29-ABS(TINV((1-Additional_confidence_level),k_-1))*SQRT(I30^2+Calculations!GH12),"")</f>
        <v>-1.9979576849992768</v>
      </c>
      <c r="K33" s="3" t="s">
        <v>65</v>
      </c>
      <c r="L33" s="4">
        <f>IF(Additional_valid_options="Yes",SQRT(L32),"")</f>
        <v>0</v>
      </c>
      <c r="M33" s="112"/>
      <c r="T33" s="11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-0.25; -0.15</v>
      </c>
      <c r="Z33" s="4">
        <v>0</v>
      </c>
      <c r="AA33" s="4">
        <f>NORMSDIST(Calculations!HZ4)-(SUM(AA$31:AA32))</f>
        <v>3.9088633312681142E-2</v>
      </c>
      <c r="AE33" s="11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24" t="s">
        <v>142</v>
      </c>
      <c r="AL33" s="124"/>
      <c r="AM33" s="124"/>
      <c r="AR33" s="11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1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143</v>
      </c>
      <c r="BJ33" s="5" t="s">
        <v>144</v>
      </c>
      <c r="BP33" s="112"/>
      <c r="BT33" s="11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46</v>
      </c>
      <c r="I34" s="4">
        <f>IF(Additional_valid_options="Yes",I29+ABS(TINV((1-Additional_confidence_level),k_-1))*SQRT(I30^2+Calculations!GH12),"")</f>
        <v>1.1123396645438195</v>
      </c>
      <c r="M34" s="112"/>
      <c r="T34" s="11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-0.15; -0.05</v>
      </c>
      <c r="Z34" s="4">
        <v>0</v>
      </c>
      <c r="AA34" s="4">
        <f>NORMSDIST(Calculations!HZ5)-(SUM(AA$31:AA33))</f>
        <v>3.9678886531870072E-2</v>
      </c>
      <c r="AE34" s="11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145</v>
      </c>
      <c r="AL34" s="3"/>
      <c r="AM34" s="4">
        <f>EXP(SUMPRODUCT(LogRiskRatio,Calculations!IE:IE)/SUM(Calculations!IE:IE))</f>
        <v>0.64980996256413726</v>
      </c>
      <c r="AR34" s="11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1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12"/>
      <c r="BT34" s="11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12"/>
      <c r="T35" s="11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-0.05; 0.05</v>
      </c>
      <c r="Z35" s="4">
        <v>0</v>
      </c>
      <c r="AA35" s="4">
        <f>NORMSDIST(Calculations!HZ6)-(SUM(AA$31:AA34))</f>
        <v>3.9877611676744973E-2</v>
      </c>
      <c r="AE35" s="11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1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1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12"/>
      <c r="BT35" s="11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98</v>
      </c>
      <c r="I36" s="90" t="s">
        <v>146</v>
      </c>
      <c r="K36" s="1" t="s">
        <v>147</v>
      </c>
      <c r="L36" s="5" t="s">
        <v>148</v>
      </c>
      <c r="M36" s="112"/>
      <c r="T36" s="11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0.05; 0.15</v>
      </c>
      <c r="Z36" s="4">
        <v>0</v>
      </c>
      <c r="AA36" s="4">
        <f>NORMSDIST(Calculations!HZ7)-(SUM(AA$31:AA35))</f>
        <v>3.9678886531870017E-2</v>
      </c>
      <c r="AE36" s="11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1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1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12"/>
      <c r="BT36" s="11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-0.44280901022772856</v>
      </c>
      <c r="K37" s="3" t="s">
        <v>149</v>
      </c>
      <c r="L37" s="5" t="s">
        <v>150</v>
      </c>
      <c r="M37" s="112"/>
      <c r="T37" s="11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0.15; 0.25</v>
      </c>
      <c r="Z37" s="4">
        <v>0</v>
      </c>
      <c r="AA37" s="4">
        <f>NORMSDIST(Calculations!HZ8)-(SUM(AA$31:AA36))</f>
        <v>3.9088633312681198E-2</v>
      </c>
      <c r="AE37" s="11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1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1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12"/>
      <c r="BT37" s="11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0.1223928550705644</v>
      </c>
      <c r="K38" s="3" t="s">
        <v>151</v>
      </c>
      <c r="L38" s="91" t="str">
        <f>IF(Trim_and_fill="Off","",IF(I29&gt;0,"Left",IF(I29&lt;0,"Right","NA")))</f>
        <v>Right</v>
      </c>
      <c r="M38" s="112"/>
      <c r="T38" s="11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0.25; 0.35</v>
      </c>
      <c r="Z38" s="4">
        <v>0</v>
      </c>
      <c r="AA38" s="4">
        <f>NORMSDIST(Calculations!HZ9)-(SUM(AA$31:AA37))</f>
        <v>3.8124325492695399E-2</v>
      </c>
      <c r="AE38" s="11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1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1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12"/>
      <c r="BT38" s="11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21</v>
      </c>
      <c r="I39" s="4">
        <f>IF(AND(Trim_and_fill="On",Additional_valid_options="Yes",L38&lt;&gt;""),I37-ABS(TINV((1-Additional_confidence_level),k_+L39-1))*I38,"")</f>
        <v>-1.9979576849992768</v>
      </c>
      <c r="K39" s="3" t="s">
        <v>152</v>
      </c>
      <c r="L39" s="7">
        <f>IF(L38&lt;&gt;"",Calculations!GW21,"")</f>
        <v>0</v>
      </c>
      <c r="M39" s="112"/>
      <c r="T39" s="11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0.35; ∞</v>
      </c>
      <c r="Z39" s="4">
        <v>0.5</v>
      </c>
      <c r="AA39" s="4">
        <f>1-(SUM(AA31:AA38))</f>
        <v>0.3631693488243809</v>
      </c>
      <c r="AE39" s="11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1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1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12"/>
      <c r="BT39" s="11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22</v>
      </c>
      <c r="I40" s="4">
        <f>IF(AND(Trim_and_fill="On",Additional_valid_options="Yes",L38&lt;&gt;""),I37+ABS(TINV((1-Additional_confidence_level),k_+L39-1))*I38,"")</f>
        <v>1.1123396645438195</v>
      </c>
      <c r="M40" s="112"/>
      <c r="T40" s="11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1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1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1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12"/>
      <c r="BT40" s="11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45</v>
      </c>
      <c r="I41" s="4">
        <f>IF(AND(Trim_and_fill="On",Additional_valid_options="Yes",L38&lt;&gt;""),I37-ABS(TINV((1-Additional_confidence_level),k_+L39-1))*SQRT(I38^2+L32),"")</f>
        <v>-1.9979576849992768</v>
      </c>
      <c r="M41" s="112"/>
      <c r="T41" s="11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153</v>
      </c>
      <c r="AE41" s="11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1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1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12"/>
      <c r="BT41" s="11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46</v>
      </c>
      <c r="I42" s="4">
        <f>IF(AND(Trim_and_fill="On",Additional_valid_options="Yes",L38&lt;&gt;""),I37+ABS(TINV((1-Additional_confidence_level),k_+L39-1))*SQRT(I38^2+L32),"")</f>
        <v>1.1123396645438195</v>
      </c>
      <c r="M42" s="112"/>
      <c r="T42" s="11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1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1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1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12"/>
      <c r="BT42" s="11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12"/>
      <c r="T43" s="11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1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1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1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12"/>
      <c r="BT43" s="11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12"/>
      <c r="T44" s="11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1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1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1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12"/>
      <c r="BT44" s="11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12"/>
      <c r="T45" s="11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1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1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1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12"/>
      <c r="BT45" s="11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12"/>
      <c r="T46" s="11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1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1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1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12"/>
      <c r="BT46" s="11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12"/>
      <c r="T47" s="11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1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1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1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12"/>
      <c r="BT47" s="11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12"/>
      <c r="T48" s="11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1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1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1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12"/>
      <c r="BT48" s="11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12"/>
      <c r="T49" s="11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1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1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1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12"/>
      <c r="BT49" s="11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12"/>
      <c r="T50" s="11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1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1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1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12"/>
      <c r="BT50" s="11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12"/>
      <c r="T51" s="11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1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1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1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12"/>
      <c r="BT51" s="11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12"/>
      <c r="T52" s="11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1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1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1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12"/>
      <c r="BT52" s="11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12"/>
      <c r="T53" s="11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1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1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1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12"/>
      <c r="BT53" s="11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12"/>
      <c r="T54" s="11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1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1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1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12"/>
      <c r="BT54" s="11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12"/>
      <c r="T55" s="11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1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1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1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12"/>
      <c r="BT55" s="11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12"/>
      <c r="T56" s="11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1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1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1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12"/>
      <c r="BT56" s="11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12"/>
      <c r="T57" s="11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1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1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1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12"/>
      <c r="BT57" s="11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12"/>
      <c r="T58" s="11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1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1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1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12"/>
      <c r="BT58" s="11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12"/>
      <c r="T59" s="11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1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1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1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12"/>
      <c r="BT59" s="11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12"/>
      <c r="T60" s="11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1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1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1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12"/>
      <c r="BT60" s="11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12"/>
      <c r="T61" s="11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1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1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1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12"/>
      <c r="BT61" s="11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12"/>
      <c r="T62" s="11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1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1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1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12"/>
      <c r="BT62" s="11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12"/>
      <c r="T63" s="11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1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1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1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12"/>
      <c r="BT63" s="11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12"/>
      <c r="T64" s="11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1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1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1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12"/>
      <c r="BT64" s="11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12"/>
      <c r="T65" s="11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1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1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1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12"/>
      <c r="BT65" s="11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12"/>
      <c r="T66" s="11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1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1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1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12"/>
      <c r="BT66" s="11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12"/>
      <c r="T67" s="11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1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1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1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12"/>
      <c r="BT67" s="11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12"/>
      <c r="T68" s="11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1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1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1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12"/>
      <c r="BT68" s="11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12"/>
      <c r="T69" s="11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1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1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1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12"/>
      <c r="BT69" s="11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12"/>
      <c r="T70" s="11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1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1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1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12"/>
      <c r="BT70" s="11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12"/>
      <c r="T71" s="11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1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1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1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12"/>
      <c r="BT71" s="11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12"/>
      <c r="T72" s="11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1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1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1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12"/>
      <c r="BT72" s="11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12"/>
      <c r="T73" s="11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1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1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1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12"/>
      <c r="BT73" s="11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12"/>
      <c r="T74" s="11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1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1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1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12"/>
      <c r="BT74" s="11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12"/>
      <c r="T75" s="11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1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1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1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12"/>
      <c r="BT75" s="11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12"/>
      <c r="T76" s="11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1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1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1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12"/>
      <c r="BT76" s="11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12"/>
      <c r="T77" s="11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1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1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1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12"/>
      <c r="BT77" s="11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12"/>
      <c r="T78" s="11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1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1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1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12"/>
      <c r="BT78" s="11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12"/>
      <c r="T79" s="11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1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1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1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12"/>
      <c r="BT79" s="11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12"/>
      <c r="T80" s="11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1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1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1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12"/>
      <c r="BT80" s="11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12"/>
      <c r="T81" s="11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1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1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1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12"/>
      <c r="BT81" s="11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12"/>
      <c r="T82" s="11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1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1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1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12"/>
      <c r="BT82" s="11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12"/>
      <c r="T83" s="11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1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1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1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12"/>
      <c r="BT83" s="11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12"/>
      <c r="T84" s="11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1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1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1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12"/>
      <c r="BT84" s="11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12"/>
      <c r="T85" s="11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1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1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1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12"/>
      <c r="BT85" s="11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12"/>
      <c r="T86" s="11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1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1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1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12"/>
      <c r="BT86" s="11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12"/>
      <c r="T87" s="11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1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1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1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12"/>
      <c r="BT87" s="11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12"/>
      <c r="T88" s="11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1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1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1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12"/>
      <c r="BT88" s="11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12"/>
      <c r="T89" s="11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1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1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1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12"/>
      <c r="BT89" s="11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12"/>
      <c r="T90" s="11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1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1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1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12"/>
      <c r="BT90" s="11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12"/>
      <c r="T91" s="11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1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1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1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12"/>
      <c r="BT91" s="11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12"/>
      <c r="T92" s="11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1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1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1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12"/>
      <c r="BT92" s="11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12"/>
      <c r="T93" s="11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1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1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1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12"/>
      <c r="BT93" s="11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12"/>
      <c r="T94" s="11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1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1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1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12"/>
      <c r="BT94" s="11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12"/>
      <c r="T95" s="11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1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1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1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12"/>
      <c r="BT95" s="11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12"/>
      <c r="T96" s="11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1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1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1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12"/>
      <c r="BT96" s="11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12"/>
      <c r="T97" s="11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1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1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1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12"/>
      <c r="BT97" s="11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12"/>
      <c r="T98" s="11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1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1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1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12"/>
      <c r="BT98" s="11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12"/>
      <c r="T99" s="11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1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1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1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12"/>
      <c r="BT99" s="11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12"/>
      <c r="T100" s="11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1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1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1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12"/>
      <c r="BT100" s="11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12"/>
      <c r="T101" s="11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1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1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1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12"/>
      <c r="BT101" s="11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12"/>
      <c r="T102" s="11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1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1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1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12"/>
      <c r="BT102" s="11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12"/>
      <c r="T103" s="11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1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1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1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12"/>
      <c r="BT103" s="11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12"/>
      <c r="T104" s="11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1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1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1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12"/>
      <c r="BT104" s="11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12"/>
      <c r="T105" s="11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1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1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1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12"/>
      <c r="BT105" s="11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12"/>
      <c r="T106" s="11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1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1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1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12"/>
      <c r="BT106" s="11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12"/>
      <c r="T107" s="11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1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1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1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12"/>
      <c r="BT107" s="11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12"/>
      <c r="T108" s="11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1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1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1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12"/>
      <c r="BT108" s="11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12"/>
      <c r="T109" s="11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1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1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1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12"/>
      <c r="BT109" s="11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12"/>
      <c r="T110" s="11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1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1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1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12"/>
      <c r="BT110" s="11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12"/>
      <c r="T111" s="11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1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1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1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12"/>
      <c r="BT111" s="11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12"/>
      <c r="T112" s="11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1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1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1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12"/>
      <c r="BT112" s="11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12"/>
      <c r="T113" s="11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1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1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1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12"/>
      <c r="BT113" s="11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12"/>
      <c r="T114" s="11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1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1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1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12"/>
      <c r="BT114" s="11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12"/>
      <c r="T115" s="11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1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1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1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12"/>
      <c r="BT115" s="11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12"/>
      <c r="T116" s="11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1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1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1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12"/>
      <c r="BT116" s="11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12"/>
      <c r="T117" s="11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1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1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1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12"/>
      <c r="BT117" s="11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12"/>
      <c r="T118" s="11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1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1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1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12"/>
      <c r="BT118" s="11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12"/>
      <c r="T119" s="11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1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1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1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12"/>
      <c r="BT119" s="11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12"/>
      <c r="T120" s="11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1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1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1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12"/>
      <c r="BT120" s="11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12"/>
      <c r="T121" s="11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1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1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1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12"/>
      <c r="BT121" s="11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12"/>
      <c r="T122" s="11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1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1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1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12"/>
      <c r="BT122" s="11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12"/>
      <c r="T123" s="11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1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1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1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12"/>
      <c r="BT123" s="11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12"/>
      <c r="T124" s="11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1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1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1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12"/>
      <c r="BT124" s="11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12"/>
      <c r="T125" s="11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1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1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1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12"/>
      <c r="BT125" s="11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12"/>
      <c r="T126" s="11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1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1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1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12"/>
      <c r="BT126" s="11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12"/>
      <c r="T127" s="11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1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1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1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12"/>
      <c r="BT127" s="11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12"/>
      <c r="T128" s="11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1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1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1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12"/>
      <c r="BT128" s="11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12"/>
      <c r="T129" s="11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1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1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1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12"/>
      <c r="BT129" s="11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12"/>
      <c r="T130" s="11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1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1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1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12"/>
      <c r="BT130" s="11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12"/>
      <c r="T131" s="11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1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1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1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12"/>
      <c r="BT131" s="11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12"/>
      <c r="T132" s="11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1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1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1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12"/>
      <c r="BT132" s="11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12"/>
      <c r="T133" s="11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1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1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1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12"/>
      <c r="BT133" s="11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12"/>
      <c r="T134" s="11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1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1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1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12"/>
      <c r="BT134" s="11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12"/>
      <c r="T135" s="11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1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1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1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12"/>
      <c r="BT135" s="11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12"/>
      <c r="T136" s="11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1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1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1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12"/>
      <c r="BT136" s="11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12"/>
      <c r="T137" s="11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1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1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1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12"/>
      <c r="BT137" s="11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12"/>
      <c r="T138" s="11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1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1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1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12"/>
      <c r="BT138" s="11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12"/>
      <c r="T139" s="11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1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1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1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12"/>
      <c r="BT139" s="11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12"/>
      <c r="T140" s="11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1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1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1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12"/>
      <c r="BT140" s="11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12"/>
      <c r="T141" s="11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1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1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1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12"/>
      <c r="BT141" s="11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12"/>
      <c r="T142" s="11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1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1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1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12"/>
      <c r="BT142" s="11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12"/>
      <c r="T143" s="11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1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1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1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12"/>
      <c r="BT143" s="11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12"/>
      <c r="T144" s="11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1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1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1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12"/>
      <c r="BT144" s="11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12"/>
      <c r="T145" s="11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1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1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1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12"/>
      <c r="BT145" s="11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12"/>
      <c r="T146" s="11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1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1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1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12"/>
      <c r="BT146" s="11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12"/>
      <c r="T147" s="11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1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1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1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12"/>
      <c r="BT147" s="11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12"/>
      <c r="T148" s="11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1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1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1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12"/>
      <c r="BT148" s="11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12"/>
      <c r="T149" s="11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1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1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1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12"/>
      <c r="BT149" s="11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12"/>
      <c r="T150" s="11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1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1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1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12"/>
      <c r="BT150" s="11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12"/>
      <c r="T151" s="11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1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1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1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12"/>
      <c r="BT151" s="11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12"/>
      <c r="T152" s="11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1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1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1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12"/>
      <c r="BT152" s="11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12"/>
      <c r="T153" s="11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1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1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1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12"/>
      <c r="BT153" s="11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12"/>
      <c r="T154" s="11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1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1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1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12"/>
      <c r="BT154" s="11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12"/>
      <c r="T155" s="11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1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1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1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12"/>
      <c r="BT155" s="11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12"/>
      <c r="T156" s="11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1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1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1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12"/>
      <c r="BT156" s="11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12"/>
      <c r="T157" s="11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1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1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1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12"/>
      <c r="BT157" s="11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12"/>
      <c r="T158" s="11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1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1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1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12"/>
      <c r="BT158" s="11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12"/>
      <c r="T159" s="11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1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1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1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12"/>
      <c r="BT159" s="11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12"/>
      <c r="T160" s="11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1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1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1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12"/>
      <c r="BT160" s="11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12"/>
      <c r="T161" s="11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1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1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1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12"/>
      <c r="BT161" s="11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12"/>
      <c r="T162" s="11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1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1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1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12"/>
      <c r="BT162" s="11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12"/>
      <c r="T163" s="11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1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1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1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12"/>
      <c r="BT163" s="11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12"/>
      <c r="T164" s="11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1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1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1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12"/>
      <c r="BT164" s="11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12"/>
      <c r="T165" s="11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1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1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1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12"/>
      <c r="BT165" s="11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12"/>
      <c r="T166" s="11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1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1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1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12"/>
      <c r="BT166" s="11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12"/>
      <c r="T167" s="11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1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1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1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12"/>
      <c r="BT167" s="11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12"/>
      <c r="T168" s="11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1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1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1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12"/>
      <c r="BT168" s="11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12"/>
      <c r="T169" s="11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1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1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1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12"/>
      <c r="BT169" s="11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12"/>
      <c r="T170" s="11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1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1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1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12"/>
      <c r="BT170" s="11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12"/>
      <c r="T171" s="11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1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1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1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12"/>
      <c r="BT171" s="11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12"/>
      <c r="T172" s="11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1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1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1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12"/>
      <c r="BT172" s="11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12"/>
      <c r="T173" s="11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1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1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1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12"/>
      <c r="BT173" s="11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12"/>
      <c r="T174" s="11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1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1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1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12"/>
      <c r="BT174" s="11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12"/>
      <c r="T175" s="11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1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1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1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12"/>
      <c r="BT175" s="11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12"/>
      <c r="T176" s="11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1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1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1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12"/>
      <c r="BT176" s="11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12"/>
      <c r="T177" s="11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1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1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1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12"/>
      <c r="BT177" s="11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12"/>
      <c r="T178" s="11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1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1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1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12"/>
      <c r="BT178" s="11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12"/>
      <c r="T179" s="11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1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1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1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12"/>
      <c r="BT179" s="11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12"/>
      <c r="T180" s="11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1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1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1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12"/>
      <c r="BT180" s="11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12"/>
      <c r="T181" s="11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1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1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1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12"/>
      <c r="BT181" s="11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12"/>
      <c r="T182" s="11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1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1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1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12"/>
      <c r="BT182" s="11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12"/>
      <c r="T183" s="11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1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1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1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12"/>
      <c r="BT183" s="11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12"/>
      <c r="T184" s="11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1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1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1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12"/>
      <c r="BT184" s="11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12"/>
      <c r="T185" s="11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1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1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1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12"/>
      <c r="BT185" s="11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12"/>
      <c r="T186" s="11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1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1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1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12"/>
      <c r="BT186" s="11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12"/>
      <c r="T187" s="11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1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1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1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12"/>
      <c r="BT187" s="11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12"/>
      <c r="T188" s="11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1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1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1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12"/>
      <c r="BT188" s="11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12"/>
      <c r="T189" s="11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1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1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1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12"/>
      <c r="BT189" s="11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12"/>
      <c r="T190" s="11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1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1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1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12"/>
      <c r="BT190" s="11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12"/>
      <c r="T191" s="11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1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1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1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12"/>
      <c r="BT191" s="11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12"/>
      <c r="T192" s="11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1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1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1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12"/>
      <c r="BT192" s="11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12"/>
      <c r="T193" s="11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1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1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1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12"/>
      <c r="BT193" s="11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12"/>
      <c r="T194" s="11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1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1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1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12"/>
      <c r="BT194" s="11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12"/>
      <c r="T195" s="11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1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1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1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12"/>
      <c r="BT195" s="11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12"/>
      <c r="T196" s="11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1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1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1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12"/>
      <c r="BT196" s="11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12"/>
      <c r="T197" s="11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1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1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1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12"/>
      <c r="BT197" s="11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12"/>
      <c r="T198" s="11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1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1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1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12"/>
      <c r="BT198" s="11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12"/>
      <c r="T199" s="11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1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1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1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12"/>
      <c r="BT199" s="11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12"/>
      <c r="T200" s="11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1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1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1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12"/>
      <c r="BT200" s="11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13"/>
      <c r="T201" s="11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1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1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1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13"/>
      <c r="BT201" s="113"/>
    </row>
  </sheetData>
  <mergeCells count="26">
    <mergeCell ref="A9:B9"/>
    <mergeCell ref="A14:B14"/>
    <mergeCell ref="A10:B10"/>
    <mergeCell ref="A11:B11"/>
    <mergeCell ref="A12:B12"/>
    <mergeCell ref="BI28:BM28"/>
    <mergeCell ref="A15:B15"/>
    <mergeCell ref="A16:B16"/>
    <mergeCell ref="A17:B17"/>
    <mergeCell ref="K28:L28"/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</mergeCells>
  <dataValidations xWindow="265" yWindow="306" count="6">
    <dataValidation type="list" allowBlank="1" showInputMessage="1" showErrorMessage="1" sqref="B6">
      <formula1>"Fixed effect,Random effects"</formula1>
    </dataValidation>
    <dataValidation type="list" allowBlank="1" showInputMessage="1" showErrorMessage="1" sqref="L37">
      <formula1>"Leftmost Run/Rightmost Run,Linear"</formula1>
    </dataValidation>
    <dataValidation type="list" allowBlank="1" showInputMessage="1" showErrorMessage="1" sqref="L36">
      <formula1>"Off,On"</formula1>
    </dataValidation>
    <dataValidation type="list" allowBlank="1" showInputMessage="1" showErrorMessage="1" sqref="BJ33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O12"/>
  <sheetViews>
    <sheetView showGridLines="0" workbookViewId="0">
      <selection activeCell="L10" sqref="L10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328</v>
      </c>
      <c r="G4" s="103" t="s">
        <v>329</v>
      </c>
      <c r="H4" s="103" t="s">
        <v>330</v>
      </c>
      <c r="I4" s="104" t="s">
        <v>23</v>
      </c>
      <c r="M4" s="99" t="s">
        <v>1</v>
      </c>
      <c r="N4" s="106" t="s">
        <v>331</v>
      </c>
      <c r="O4" s="106" t="s">
        <v>332</v>
      </c>
    </row>
    <row r="5" spans="5:15" x14ac:dyDescent="0.3">
      <c r="E5" s="102" t="s">
        <v>333</v>
      </c>
      <c r="F5" s="105">
        <v>0.69231815461617974</v>
      </c>
      <c r="G5" s="105">
        <v>0.48757443431227515</v>
      </c>
      <c r="H5" s="105">
        <v>0.98303847265333455</v>
      </c>
      <c r="I5" s="107">
        <v>0.46833348251240414</v>
      </c>
      <c r="M5" s="102" t="s">
        <v>333</v>
      </c>
      <c r="N5" s="105">
        <v>-0.36770966801613514</v>
      </c>
      <c r="O5" s="105">
        <v>0.17884568310282764</v>
      </c>
    </row>
    <row r="6" spans="5:15" x14ac:dyDescent="0.3">
      <c r="E6" s="102" t="s">
        <v>334</v>
      </c>
      <c r="F6" s="105">
        <v>0.60111898304459332</v>
      </c>
      <c r="G6" s="105">
        <v>0.43255841018519997</v>
      </c>
      <c r="H6" s="105">
        <v>0.83536471206710905</v>
      </c>
      <c r="I6" s="107">
        <v>0.53166651748759575</v>
      </c>
      <c r="K6" s="97"/>
      <c r="M6" s="102" t="s">
        <v>334</v>
      </c>
      <c r="N6" s="105">
        <v>-0.50896238892562073</v>
      </c>
      <c r="O6" s="105">
        <v>0.16785582245683178</v>
      </c>
    </row>
    <row r="7" spans="5:15" x14ac:dyDescent="0.3">
      <c r="E7" s="102"/>
      <c r="F7" s="105"/>
      <c r="G7" s="105"/>
      <c r="H7" s="105"/>
      <c r="I7" s="107"/>
      <c r="M7" s="102"/>
      <c r="N7" s="105"/>
      <c r="O7" s="105"/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154</v>
      </c>
      <c r="H1" s="87"/>
      <c r="I1" s="88"/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P1" s="85"/>
      <c r="Q1" s="1" t="s">
        <v>160</v>
      </c>
      <c r="R1" s="1" t="s">
        <v>161</v>
      </c>
      <c r="S1" s="1" t="s">
        <v>162</v>
      </c>
      <c r="T1" s="1" t="s">
        <v>163</v>
      </c>
      <c r="V1" s="85"/>
      <c r="W1" s="1" t="s">
        <v>164</v>
      </c>
      <c r="X1" s="1" t="s">
        <v>165</v>
      </c>
      <c r="Y1" s="1" t="s">
        <v>166</v>
      </c>
      <c r="Z1" s="1" t="s">
        <v>167</v>
      </c>
      <c r="AB1" s="85"/>
      <c r="AC1" s="1" t="s">
        <v>145</v>
      </c>
      <c r="AD1" s="1" t="s">
        <v>168</v>
      </c>
      <c r="AE1" s="1" t="s">
        <v>169</v>
      </c>
      <c r="AF1" s="1" t="s">
        <v>170</v>
      </c>
      <c r="AG1" s="1" t="s">
        <v>171</v>
      </c>
      <c r="AI1" s="87"/>
      <c r="AJ1" s="110" t="s">
        <v>172</v>
      </c>
      <c r="AK1" s="110"/>
      <c r="AL1" s="1" t="s">
        <v>26</v>
      </c>
      <c r="AM1" s="1" t="s">
        <v>1</v>
      </c>
      <c r="AN1" s="1" t="s">
        <v>30</v>
      </c>
      <c r="AO1" s="1" t="str">
        <f>Present_Effect_size_measure</f>
        <v>Odds Ratio</v>
      </c>
      <c r="AP1" s="1" t="s">
        <v>34</v>
      </c>
      <c r="AQ1" s="1" t="s">
        <v>37</v>
      </c>
      <c r="AR1" s="1" t="str">
        <f>IF(Present_Effect_size_measure="Risk Difference","Standard error","Standard error log")</f>
        <v>Standard error log</v>
      </c>
      <c r="AS1" s="1" t="s">
        <v>21</v>
      </c>
      <c r="AT1" s="1" t="s">
        <v>22</v>
      </c>
      <c r="AU1" s="1" t="s">
        <v>23</v>
      </c>
      <c r="AW1" s="1" t="str">
        <f>Present_Effect_size_measure</f>
        <v>Odds Ratio</v>
      </c>
      <c r="AX1" s="1" t="s">
        <v>173</v>
      </c>
      <c r="AY1" s="1" t="s">
        <v>174</v>
      </c>
      <c r="BA1" s="110" t="s">
        <v>175</v>
      </c>
      <c r="BB1" s="110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89</v>
      </c>
      <c r="BH1" s="1" t="s">
        <v>34</v>
      </c>
      <c r="BI1" s="1" t="s">
        <v>37</v>
      </c>
      <c r="BJ1" s="1" t="s">
        <v>97</v>
      </c>
      <c r="BL1" s="110" t="s">
        <v>44</v>
      </c>
      <c r="BM1" s="110"/>
      <c r="BO1" s="85"/>
      <c r="BP1" s="1" t="s">
        <v>176</v>
      </c>
      <c r="BQ1" s="1" t="s">
        <v>177</v>
      </c>
      <c r="BR1" s="1" t="s">
        <v>178</v>
      </c>
      <c r="BS1" s="1" t="s">
        <v>179</v>
      </c>
      <c r="BT1" s="1" t="s">
        <v>180</v>
      </c>
      <c r="BU1" s="1" t="s">
        <v>181</v>
      </c>
      <c r="BV1" s="1" t="s">
        <v>34</v>
      </c>
      <c r="BW1" s="1" t="s">
        <v>182</v>
      </c>
      <c r="BX1" s="1" t="s">
        <v>37</v>
      </c>
      <c r="BY1" s="1" t="s">
        <v>97</v>
      </c>
      <c r="BZ1" s="11"/>
      <c r="CA1" s="110" t="s">
        <v>44</v>
      </c>
      <c r="CB1" s="110"/>
      <c r="CD1" s="85"/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34</v>
      </c>
      <c r="CJ1" s="1" t="s">
        <v>37</v>
      </c>
      <c r="CK1" s="1" t="s">
        <v>97</v>
      </c>
      <c r="CM1" s="110" t="s">
        <v>44</v>
      </c>
      <c r="CN1" s="110"/>
      <c r="CP1" s="85"/>
      <c r="CQ1" s="1" t="s">
        <v>187</v>
      </c>
      <c r="CS1" s="110" t="s">
        <v>36</v>
      </c>
      <c r="CT1" s="110"/>
      <c r="CU1" s="110"/>
      <c r="CV1" s="110"/>
      <c r="CX1" s="87"/>
      <c r="CY1" s="1" t="s">
        <v>188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34</v>
      </c>
      <c r="DE1" s="1" t="s">
        <v>189</v>
      </c>
      <c r="DF1" s="1" t="s">
        <v>190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191</v>
      </c>
      <c r="DI1" s="1" t="s">
        <v>192</v>
      </c>
      <c r="DJ1" s="1" t="s">
        <v>97</v>
      </c>
      <c r="DL1" s="1" t="str">
        <f>Subgroup_effect_size_measure</f>
        <v>Odds Ratio</v>
      </c>
      <c r="DM1" s="1" t="s">
        <v>173</v>
      </c>
      <c r="DN1" s="1" t="s">
        <v>174</v>
      </c>
      <c r="DP1" s="1" t="s">
        <v>193</v>
      </c>
      <c r="DQ1" s="1" t="s">
        <v>10</v>
      </c>
      <c r="DR1" s="1" t="s">
        <v>20</v>
      </c>
      <c r="DS1" s="1" t="s">
        <v>194</v>
      </c>
      <c r="DT1" s="1" t="s">
        <v>53</v>
      </c>
      <c r="DU1" s="1" t="s">
        <v>62</v>
      </c>
      <c r="DV1" s="1" t="s">
        <v>63</v>
      </c>
      <c r="DW1" s="1" t="s">
        <v>195</v>
      </c>
      <c r="DX1" s="1" t="s">
        <v>64</v>
      </c>
      <c r="DY1" s="1" t="s">
        <v>65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196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197</v>
      </c>
      <c r="EI1" s="1" t="s">
        <v>198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199</v>
      </c>
      <c r="EO1" s="1" t="s">
        <v>200</v>
      </c>
      <c r="EP1" s="1" t="str">
        <f>IF(Within_subgroup_weighting=EX38,"Sum of squares (Q)","Sum of squares (Q*)")</f>
        <v>Sum of squares (Q*)</v>
      </c>
      <c r="EQ1" s="1" t="s">
        <v>175</v>
      </c>
      <c r="ER1" s="18" t="s">
        <v>201</v>
      </c>
      <c r="ES1" s="1" t="s">
        <v>34</v>
      </c>
      <c r="ET1" s="1" t="s">
        <v>202</v>
      </c>
      <c r="EU1" s="1" t="s">
        <v>203</v>
      </c>
      <c r="EV1" s="1" t="s">
        <v>97</v>
      </c>
      <c r="EX1" s="1" t="s">
        <v>98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204</v>
      </c>
      <c r="FE1" s="1" t="s">
        <v>34</v>
      </c>
      <c r="FF1" s="1" t="s">
        <v>205</v>
      </c>
      <c r="FG1" s="1" t="s">
        <v>206</v>
      </c>
      <c r="FH1" s="1" t="s">
        <v>207</v>
      </c>
      <c r="FJ1" s="1" t="s">
        <v>23</v>
      </c>
      <c r="FK1" s="1" t="s">
        <v>208</v>
      </c>
      <c r="FL1" s="1" t="s">
        <v>206</v>
      </c>
      <c r="FM1" s="1" t="s">
        <v>209</v>
      </c>
      <c r="FO1" s="1" t="s">
        <v>142</v>
      </c>
      <c r="FP1" s="1"/>
      <c r="FR1" s="87"/>
      <c r="FS1" s="88"/>
      <c r="FT1" s="1" t="s">
        <v>34</v>
      </c>
      <c r="FU1" s="1" t="s">
        <v>23</v>
      </c>
      <c r="FV1" s="1" t="s">
        <v>210</v>
      </c>
      <c r="FW1" s="1" t="s">
        <v>211</v>
      </c>
      <c r="FX1" s="1" t="s">
        <v>212</v>
      </c>
      <c r="FY1" s="1" t="s">
        <v>47</v>
      </c>
      <c r="FZ1" s="1" t="s">
        <v>213</v>
      </c>
      <c r="GA1" s="1" t="s">
        <v>214</v>
      </c>
      <c r="GB1" s="1" t="s">
        <v>215</v>
      </c>
      <c r="GC1" s="1" t="s">
        <v>216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10" t="s">
        <v>217</v>
      </c>
      <c r="GH1" s="110"/>
      <c r="GI1" s="110"/>
      <c r="GK1" s="85"/>
      <c r="GL1" s="1" t="s">
        <v>218</v>
      </c>
      <c r="GM1" s="1" t="s">
        <v>219</v>
      </c>
      <c r="GN1" s="1" t="s">
        <v>220</v>
      </c>
      <c r="GO1" s="1" t="s">
        <v>221</v>
      </c>
      <c r="GP1" s="1" t="s">
        <v>222</v>
      </c>
      <c r="GQ1" s="1" t="s">
        <v>223</v>
      </c>
      <c r="GR1" s="1" t="s">
        <v>224</v>
      </c>
      <c r="GS1" s="1" t="s">
        <v>225</v>
      </c>
      <c r="GT1" s="1" t="s">
        <v>226</v>
      </c>
      <c r="GV1" s="110" t="s">
        <v>227</v>
      </c>
      <c r="GW1" s="110"/>
      <c r="GY1" s="1" t="s">
        <v>228</v>
      </c>
      <c r="GZ1" s="1" t="s">
        <v>229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230</v>
      </c>
      <c r="HD1" s="1" t="s">
        <v>23</v>
      </c>
      <c r="HE1" s="1" t="s">
        <v>97</v>
      </c>
      <c r="HG1" s="1" t="s">
        <v>231</v>
      </c>
      <c r="HH1" s="1" t="str">
        <f>HA1</f>
        <v>Log Odds Ratio</v>
      </c>
      <c r="HI1" s="1" t="str">
        <f>HB1</f>
        <v>SE Log Odds Ratio</v>
      </c>
      <c r="HK1" s="85"/>
      <c r="HL1" s="1" t="s">
        <v>232</v>
      </c>
      <c r="HM1" s="1" t="s">
        <v>233</v>
      </c>
      <c r="HO1" s="85"/>
      <c r="HP1" s="1" t="s">
        <v>234</v>
      </c>
      <c r="HQ1" s="1" t="s">
        <v>235</v>
      </c>
      <c r="HR1" s="1" t="s">
        <v>236</v>
      </c>
      <c r="HS1" s="1" t="s">
        <v>237</v>
      </c>
      <c r="HT1" s="1" t="s">
        <v>238</v>
      </c>
      <c r="HU1" s="1" t="s">
        <v>239</v>
      </c>
      <c r="HW1" s="85"/>
      <c r="HX1" s="1" t="s">
        <v>240</v>
      </c>
      <c r="HY1" s="1" t="s">
        <v>241</v>
      </c>
      <c r="HZ1" s="1" t="s">
        <v>242</v>
      </c>
      <c r="IB1" s="85"/>
      <c r="IC1" s="1" t="s">
        <v>105</v>
      </c>
      <c r="ID1" s="1" t="s">
        <v>104</v>
      </c>
      <c r="IE1" s="1" t="s">
        <v>34</v>
      </c>
      <c r="IF1" s="1" t="s">
        <v>243</v>
      </c>
      <c r="IH1" s="110" t="s">
        <v>244</v>
      </c>
      <c r="II1" s="110"/>
      <c r="IK1" s="85"/>
      <c r="IL1" s="1" t="s">
        <v>245</v>
      </c>
      <c r="IM1" s="1" t="s">
        <v>246</v>
      </c>
      <c r="IN1" s="1" t="s">
        <v>232</v>
      </c>
      <c r="IO1" s="1" t="s">
        <v>233</v>
      </c>
      <c r="IQ1" s="110" t="s">
        <v>247</v>
      </c>
      <c r="IR1" s="110"/>
      <c r="IS1" s="110"/>
      <c r="IU1" s="85"/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233</v>
      </c>
      <c r="JC1" s="110" t="s">
        <v>247</v>
      </c>
      <c r="JD1" s="110"/>
      <c r="JE1" s="110"/>
      <c r="JG1" s="85"/>
      <c r="JH1" s="1" t="s">
        <v>107</v>
      </c>
      <c r="JI1" s="1" t="s">
        <v>93</v>
      </c>
      <c r="JJ1" s="1" t="s">
        <v>253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62</v>
      </c>
      <c r="C2" s="6">
        <f>IF(AND(Include_study?="Yes",Sufficient_data="Yes"),IF(Input!b_&lt;&gt;"",Input!b_,Input!n1_-Input!a_),"")</f>
        <v>3342</v>
      </c>
      <c r="D2" s="6">
        <f>IF(AND(Include_study?="Yes",Sufficient_data="Yes"),IF(Input!c_&lt;&gt;"",Input!c_,Input!n2_-Input!d_),"")</f>
        <v>66</v>
      </c>
      <c r="E2" s="6">
        <f>IF(AND(Include_study?="Yes",Sufficient_data="Yes"),IF(Input!d_&lt;&gt;"",Input!d_,Input!n2_-Input!c_),"")</f>
        <v>2463</v>
      </c>
      <c r="F2" s="35" t="str">
        <f t="shared" ref="F2:F33" si="1">IF(AND(Include_study?="Yes",Sufficient_data="Yes"),IF(OR(a_=0,b_=0,c_=0,d_=0),"Yes","No"),"")</f>
        <v>No</v>
      </c>
      <c r="H2" s="128" t="s">
        <v>254</v>
      </c>
      <c r="I2" s="115" t="s">
        <v>36</v>
      </c>
      <c r="J2" s="77">
        <f t="shared" ref="J2:J65" si="2">IF(AND(Include_study?="Yes",Sufficient_data="Yes"),IF(Add_0_5="Yes",((a_+0.5)*(d_+0.5))/((b_+0.5)*(c_+0.5)),(a_*d_)/(b_*c_)),"")</f>
        <v>0.69231815461617974</v>
      </c>
      <c r="K2" s="74">
        <f t="shared" ref="K2:K33" si="3">IF(AND(Include_study?="Yes",Sufficient_data="Yes"),LN(OddsRatio),"")</f>
        <v>-0.36770966801613514</v>
      </c>
      <c r="L2" s="74">
        <f t="shared" ref="L2:L33" si="4">IF(AND(Include_study?="Yes",Sufficient_data="Yes"),SQRT(IF(Add_0_5="Yes",1/(a_+0.5)+1/(b_+0.5)+1/(c_+0.5)+1/(d_+0.5),1/a_+1/b_+1/c_+1/d_)),"")</f>
        <v>0.17884568310282764</v>
      </c>
      <c r="M2" s="74">
        <f t="shared" ref="M2:M33" si="5">IF(AND(Include_study?="Yes",Sufficient_data="Yes"),EXP(LogOddsRatio-ABS(TINV((1-Confidence_level),Number_of_subjects-2))*SELogOddsRatio),"")</f>
        <v>0.48757443431227515</v>
      </c>
      <c r="N2" s="34">
        <f t="shared" ref="N2:N33" si="6">IF(AND(Include_study?="Yes",Sufficient_data="Yes"),EXP(LogOddsRatio+ABS(TINV((1-Confidence_level),Number_of_subjects-2))*SELogOddsRatio),"")</f>
        <v>0.98303847265333455</v>
      </c>
      <c r="P2" s="112" t="s">
        <v>255</v>
      </c>
      <c r="Q2" s="77">
        <f t="shared" ref="Q2:Q33" si="7">IF(AND(Include_study?="Yes",Sufficient_data="Yes"),EXP(LogPetoOddsRatio),"")</f>
        <v>0.68838813183188541</v>
      </c>
      <c r="R2" s="74">
        <f t="shared" ref="R2:R33" si="8">IF(AND(Include_study?="Yes",Sufficient_data="Yes"),SQRT(VarLogPetoOddsRatio),"")</f>
        <v>0.18067565268839278</v>
      </c>
      <c r="S2" s="74">
        <f t="shared" ref="S2:S33" si="9">IF(AND(Include_study?="Yes",Sufficient_data="Yes"),EXP(LogPetoOddsRatio-ABS(TINV((1-Confidence_level),Number_of_subjects-2))*SELogPetoOddsRatio),"")</f>
        <v>0.48307057982438623</v>
      </c>
      <c r="T2" s="34">
        <f t="shared" ref="T2:T33" si="10">IF(AND(Include_study?="Yes",Sufficient_data="Yes"),EXP(LogPetoOddsRatio+ABS(TINV((1-Confidence_level),Number_of_subjects-2))*SELogPetoOddsRatio),"")</f>
        <v>0.98097097989131354</v>
      </c>
      <c r="V2" s="112" t="s">
        <v>164</v>
      </c>
      <c r="W2" s="77">
        <f t="shared" ref="W2:W33" si="11">IF(AND(Include_study?="Yes",Sufficient_data="Yes"),a_/(a_+b_)-c_/(c_+d_),"")</f>
        <v>-7.8834056089200737E-3</v>
      </c>
      <c r="X2" s="74">
        <f t="shared" ref="X2:X33" si="12">IF(AND(Include_study?="Yes",Sufficient_data="Yes"),SQRT(a_*b_/(a_+b_)^3+c_*d_/(c_+d_)^3),"")</f>
        <v>3.91192661329032E-3</v>
      </c>
      <c r="Y2" s="74">
        <f t="shared" ref="Y2:Y33" si="13">IF(AND(Include_study?="Yes",Sufficient_data="Yes"),Risk_Difference-SERiskDifference*ABS(TINV((1-Confidence_level),Number_of_subjects-2)),"")</f>
        <v>-1.5552205880776724E-2</v>
      </c>
      <c r="Z2" s="34">
        <f t="shared" ref="Z2:Z33" si="14">IF(AND(Include_study?="Yes",Sufficient_data="Yes"),Risk_Difference+SERiskDifference*ABS(TINV((1-Confidence_level),Number_of_subjects-2)),"")</f>
        <v>-2.146053370634237E-4</v>
      </c>
      <c r="AB2" s="112" t="s">
        <v>145</v>
      </c>
      <c r="AC2" s="77">
        <f t="shared" ref="AC2:AC33" si="15">IF(AND(Include_study?="Yes",Sufficient_data="Yes"),IF(Add_0_5="Yes",((a_+0.5)/(a_+0.5+b_+0.5))/((c_+0.5)/(c_+0.5+d_+0.5)),(a_/(a_+b_))/(c_/(c_+d_))),"")</f>
        <v>0.69792223053092628</v>
      </c>
      <c r="AD2" s="74">
        <f t="shared" ref="AD2:AD33" si="16">IF(AND(Include_study?="Yes",Sufficient_data="Yes"),LN(Risk_Ratio),"")</f>
        <v>-0.35964760000463347</v>
      </c>
      <c r="AE2" s="74">
        <f t="shared" ref="AE2:AE33" si="17">IF(AND(Include_study?="Yes",Sufficient_data="Yes"),IF(Add_0_5="Yes",SQRT(1/(a_+0.5)-1/(a_+0.5+b_+0.5)+1/(c_+0.5)-1/(c_+0.5+d_+0.5)),SQRT(1/a_-1/(a_+b_)+1/c_-1/(c_+d_))),"")</f>
        <v>0.17490386550867335</v>
      </c>
      <c r="AF2" s="74">
        <f t="shared" ref="AF2:AF33" si="18">IF(AND(Include_study?="Yes",Sufficient_data="Yes"),EXP(LN(Risk_Ratio)-ABS(TINV((1-Confidence_level),Number_of_subjects-2))*SELogRiskRatio),"")</f>
        <v>0.49533407307917293</v>
      </c>
      <c r="AG2" s="34">
        <f t="shared" ref="AG2:AG33" si="19">IF(AND(Include_study?="Yes",Sufficient_data="Yes"),EXP(LN(Risk_Ratio)+ABS(TINV((1-Confidence_level),Number_of_subjects-2))*SELogRiskRatio),"")</f>
        <v>0.98336752172388375</v>
      </c>
      <c r="AI2" s="128" t="s">
        <v>256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Hsu et al.</v>
      </c>
      <c r="AN2" s="6">
        <f t="shared" ref="AN2:AN65" si="21">IF(AND(Sufficient_data="Yes",Include_study?="Yes"),(a_+b_+c_+d_),"")</f>
        <v>5933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0.69231815461617974</v>
      </c>
      <c r="AP2" s="3">
        <f t="shared" ref="AP2:AP33" si="23">IF(AND(Include_study?="Yes",Sufficient_data="Yes"),IF(Weighting_method="Inverse variance",Weightf,IF(Weighting_method="Mantel-Haenszel",Weightf_MH,Weightf_Peto)),"")</f>
        <v>31.263894490975879</v>
      </c>
      <c r="AQ2" s="3">
        <f t="shared" ref="AQ2:AQ33" si="24">IF(AND(Include_study?="Yes",Sufficient_data="Yes"),IF(Weighting_method="Inverse variance",Weight,IF(Weighting_method="Mantel-Haenszel",Weight_MH,Weight_Peto)),"")</f>
        <v>31.263894490975879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0.17884568310282764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0.48757443431227515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0.98303847265333455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0.46833348251240414</v>
      </c>
      <c r="AW2" s="43">
        <f t="shared" ref="AW2:AW33" si="29">IF(Effect_size_lookup&lt;&gt;"",Effect_size_lookup,NA())</f>
        <v>0.69231815461617974</v>
      </c>
      <c r="AX2" s="3">
        <f t="shared" ref="AX2:AX33" si="30">IF(Effect_size_lookup&lt;&gt;"",Effect_size_lookup-AS2,NA())</f>
        <v>0.20474372030390459</v>
      </c>
      <c r="AY2" s="34">
        <f t="shared" ref="AY2:AY33" si="31">IF(Effect_size_lookup&lt;&gt;"",AT2-Effect_size_lookup,NA())</f>
        <v>0.29072031803715481</v>
      </c>
      <c r="BA2" s="2" t="s">
        <v>257</v>
      </c>
      <c r="BB2" s="3">
        <f>'Forest Plot'!$B$16</f>
        <v>0.6422298547088986</v>
      </c>
      <c r="BD2" s="128" t="s">
        <v>258</v>
      </c>
      <c r="BE2" s="115" t="s">
        <v>259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-0.36770966801613514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0.17884568310282764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31.263894490975879</v>
      </c>
      <c r="BI2" s="74">
        <f>IF(Weightf&lt;&gt;"",1/(IF(Model_effect_size_measure="Odds Ratio",SELogOddsRatio,IF(Model_effect_size_measure="Risk Ratio",SELogRiskRatio,SERiskDifference))^2+T2_),"")</f>
        <v>31.263894490975879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7.5099342211593423E-2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-0.44280901022772856</v>
      </c>
      <c r="BO2" s="112" t="s">
        <v>260</v>
      </c>
      <c r="BP2" s="3">
        <f t="shared" ref="BP2:BP33" si="36">IF(AND(Sufficient_data="Yes",Include_study?="Yes"),IF(Add_0_5="Yes",(a_+0.5)*(d_+0.5)/(Number_of_subjects+2),a_*d_/Number_of_subjects),"")</f>
        <v>25.738412270352267</v>
      </c>
      <c r="BQ2" s="3">
        <f t="shared" ref="BQ2:BQ33" si="37">IF(AND(Sufficient_data="Yes",Include_study?="Yes"),IF(Add_0_5="Yes",(b_+0.5)*(c_+0.5)/(Number_of_subjects+2),b_*c_/Number_of_subjects),"")</f>
        <v>37.177144783414796</v>
      </c>
      <c r="BR2" s="3">
        <f t="shared" ref="BR2:BR33" si="38">IF(AND(Sufficient_data="Yes",Include_study?="Yes"),IF(Add_0_5="Yes",(a_+d_+1)*(a_+0.5)*(d_+0.5)/(Number_of_subjects+2)^2,(a_+d_)*a_*d_/Number_of_subjects^2),"")</f>
        <v>10.953900384736132</v>
      </c>
      <c r="BS2" s="3">
        <f>IF(AND(Sufficient_data="Yes",Include_study?="Yes"),IF(Add_0_5="Yes",(a_+d_+1)*(ab_+0.5)*(c_+0.5)/(Number_of_subjects+2)^2,(a_+d_)*b_*c_/Number_of_subjects^2),"")</f>
        <v>15.822061449203163</v>
      </c>
      <c r="BT2" s="3">
        <f t="shared" ref="BT2:BT33" si="39">IF(AND(Sufficient_data="Yes",Include_study?="Yes"),IF(Add_0_5="Yes",(b_+c_+1)*(a_+0.5)*(d_+0.5)/(Number_of_subjects+2)^2,(b_+c_)*a_*d_/Number_of_subjects^2),"")</f>
        <v>14.784511885616135</v>
      </c>
      <c r="BU2" s="3">
        <f t="shared" ref="BU2:BU33" si="40">IF(AND(Sufficient_data="Yes",Include_study?="Yes"),IF(Add_0_5="Yes",(b_+c_+1)*(b_+0.5)*(c_+0.5)/(Number_of_subjects+2)^2,(b_+c_)*b_*c_/Number_of_subjects^2),"")</f>
        <v>21.355083334211635</v>
      </c>
      <c r="BV2" s="3">
        <f t="shared" ref="BV2:BV33" si="41">IF(AND(Sufficient_data="Yes",Include_study?="Yes"),IF(Add_0_5="Yes",(b_+0.5)*(c_+0.5)/(Number_of_subjects+2),b_*c_/Number_of_subjects),"")</f>
        <v>37.177144783414796</v>
      </c>
      <c r="BW2" s="3">
        <f t="shared" ref="BW2:BW33" si="42">IF(AND(Sufficient_data="Yes",Include_study?="Yes"),1/(SELogOddsRatio^2)*(LogOddsRatio-LN(SUMPRODUCT(Weightf_MH,OddsRatio)/SUM(Weightf_MH)))^2,"")</f>
        <v>0.17811293034966416</v>
      </c>
      <c r="BX2" s="74">
        <f t="shared" ref="BX2:BX33" si="43">IF(Weithf_MH&lt;&gt;"",1/(SELogOddsRatio^2+T2_MH),"")</f>
        <v>31.263894490975879</v>
      </c>
      <c r="BY2" s="34">
        <f t="shared" ref="BY2:BY33" si="44">IF(Weithf_MH&lt;&gt;"",LogOddsRatio-lnCES_OddsRatio_MH,"")</f>
        <v>7.5099342211593367E-2</v>
      </c>
      <c r="CA2" s="3" t="s">
        <v>261</v>
      </c>
      <c r="CB2" s="3">
        <f>LN(CES_OddsRatio_MH)</f>
        <v>-0.44280901022772851</v>
      </c>
      <c r="CD2" s="112" t="s">
        <v>262</v>
      </c>
      <c r="CE2" s="77">
        <f t="shared" ref="CE2:CE33" si="45">IF(AND(Include_study?="Yes",Sufficient_data="Yes"),((a_+b_)*(a_+c_))/(Number_of_subjects),"")</f>
        <v>73.438732513062533</v>
      </c>
      <c r="CF2" s="74">
        <f t="shared" ref="CF2:CF33" si="46">IF(AND(Include_study?="Yes",Sufficient_data="Yes"),((a_+b_)*(c_+d_)*(a_+c_)*(b_+d_))/((Number_of_subjects)^2*(Number_of_subjects-1)),"")</f>
        <v>30.633790323160532</v>
      </c>
      <c r="CG2" s="74">
        <f t="shared" ref="CG2:CG33" si="47">IF(AND(Include_study?="Yes",Sufficient_data="Yes"),(a_-Expected)/VarExpected,"")</f>
        <v>-0.37340245501433539</v>
      </c>
      <c r="CH2" s="74">
        <f t="shared" ref="CH2:CH33" si="48">IF(AND(Include_study?="Yes",Sufficient_data="Yes"),1/VarExpected,"")</f>
        <v>3.2643691474376735E-2</v>
      </c>
      <c r="CI2" s="74">
        <f t="shared" ref="CI2:CI33" si="49">IF(AND(Sufficient_data="Yes",Include_study?="Yes"),VarExpected,"")</f>
        <v>30.633790323160532</v>
      </c>
      <c r="CJ2" s="74">
        <f t="shared" ref="CJ2:CJ65" si="50">IF(Weightf_Peto&lt;&gt;"",1/(VarLogPetoOddsRatio+T2_Peto),"")</f>
        <v>30.633790323160532</v>
      </c>
      <c r="CK2" s="34">
        <f t="shared" ref="CK2:CK33" si="51">IF(Weightf_Peto&lt;&gt;"",LogPetoOddsRatio-lnCES_PetoOddsRatio,"")</f>
        <v>7.514122773719828E-2</v>
      </c>
      <c r="CM2" s="3" t="s">
        <v>263</v>
      </c>
      <c r="CN2" s="3">
        <f>IF(Meta_analysis_model="Fixed effect model",SUMPRODUCT(Weightf_Peto,LogPetoOddsRatio)/SUM(Weightf_Peto),SUMPRODUCT(Weight_Peto,LogPetoOddsRatio)/SUM(Weight_Peto))</f>
        <v>-0.44854368275153367</v>
      </c>
      <c r="CP2" s="112" t="s">
        <v>264</v>
      </c>
      <c r="CQ2" s="51">
        <f t="shared" ref="CQ2:CQ33" si="52">IF(AND(Sufficient_data="Yes",Include_study?="Yes"),c_/(c_+d_),"")</f>
        <v>2.6097271648873072E-2</v>
      </c>
      <c r="CS2" s="2"/>
      <c r="CT2" s="2" t="s">
        <v>33</v>
      </c>
      <c r="CU2" s="2" t="s">
        <v>57</v>
      </c>
      <c r="CV2" s="2" t="s">
        <v>58</v>
      </c>
      <c r="CX2" s="128" t="s">
        <v>265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28" t="s">
        <v>266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98</v>
      </c>
      <c r="FP2" s="3" t="e">
        <f>SUMPRODUCT('Moderator Analysis'!F:F,Calculations!FE:FE)/SUM(Calculations!FE:FE)</f>
        <v>#DIV/0!</v>
      </c>
      <c r="FR2" s="128" t="s">
        <v>267</v>
      </c>
      <c r="FS2" s="115" t="s">
        <v>111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31.263894490975879</v>
      </c>
      <c r="FU2" s="74">
        <f>IF(AND(Include_study?="Yes",Sufficient_data="Yes"),1/('Publication Bias Analysis'!F:F^2+IF(Additional_model="Fixed effect",0,Calculations!GH$12)),"")</f>
        <v>31.263894490975879</v>
      </c>
      <c r="FV2" s="74">
        <f>IF(AND(Include_study?="Yes",Sufficient_data="Yes"),1/('Publication Bias Analysis'!F:F^2+IF(Additional_model="Fixed effect",0,'Publication Bias Analysis'!L$32)),"")</f>
        <v>31.263894490975879</v>
      </c>
      <c r="FW2" s="74">
        <f>IF(AND(Include_study?="Yes",Sufficient_data="Yes"),'Publication Bias Analysis'!E:E-'Publication Bias Analysis'!I$37,"")</f>
        <v>7.5099342211593423E-2</v>
      </c>
      <c r="FX2" s="74">
        <f>IF(AND(Include_study?="Yes",Sufficient_data="Yes"),IF(Additional_model="Fixed effect",1/'Publication Bias Analysis'!F:F,1/SQRT('Publication Bias Analysis'!F:F^2+GH$12)),"")</f>
        <v>5.591412566693311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-2.0560164586400433</v>
      </c>
      <c r="FZ2" s="37">
        <f t="shared" ref="FZ2:FZ33" si="80">IF(AND(Include_study?="Yes",Sufficient_data="Yes"),RANK(GM:GM,GM:GM,1)*IF(GL:GL&gt;0,1,-1),"")</f>
        <v>-2</v>
      </c>
      <c r="GA2" s="82">
        <f>IF(AND(Include_study?="Yes",Sufficient_data="Yes"),FZ:FZ,"")</f>
        <v>-2</v>
      </c>
      <c r="GB2" s="82">
        <f>IF(AND(Include_study?="Yes",Sufficient_data="Yes"),RANK(GP:GP,GP:GP,1)*IF(GO:GO&lt;0,-1,1),"")</f>
        <v>-2</v>
      </c>
      <c r="GC2" s="82">
        <f>IF(AND(Include_study?="Yes",Sufficient_data="Yes"),RANK(GS:GS,GS:GS,1)*IF(GR:GR&lt;0,-1,1),"")</f>
        <v>-2</v>
      </c>
      <c r="GD2" s="74">
        <f>IF(AND(Include_study?="Yes",Sufficient_data="Yes"),'Publication Bias Analysis'!E2,NA())</f>
        <v>-0.36770966801613514</v>
      </c>
      <c r="GE2" s="34">
        <f>IF(AND(Include_study?="Yes",Sufficient_data="Yes"),'Publication Bias Analysis'!F2,NA())</f>
        <v>0.17884568310282764</v>
      </c>
      <c r="GG2" s="24" t="s">
        <v>268</v>
      </c>
      <c r="GH2" s="2" t="s">
        <v>238</v>
      </c>
      <c r="GI2" s="2" t="s">
        <v>239</v>
      </c>
      <c r="GK2" s="112" t="s">
        <v>269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-7.5099342211593423E-2</v>
      </c>
      <c r="GM2" s="74">
        <f t="shared" ref="GM2:GM33" si="81">IF(AND(Include_study?="Yes",Sufficient_data="Yes"),ABS(GL2),"")</f>
        <v>7.5099342211593423E-2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31.263894490975879</v>
      </c>
      <c r="GO2" s="74">
        <f>IF(AND(Include_study?="Yes",Sufficient_data="Yes"),IF('Publication Bias Analysis'!L$38="Left",'Publication Bias Analysis'!E:E-GW$3,GW$3-'Publication Bias Analysis'!E:E),"")</f>
        <v>-7.5099342211593423E-2</v>
      </c>
      <c r="GP2" s="74">
        <f t="shared" ref="GP2:GP33" si="82">IF(GO2&lt;&gt;"",ABS(GO2),"")</f>
        <v>7.5099342211593423E-2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31.263894490975879</v>
      </c>
      <c r="GR2" s="74">
        <f>IF(AND(Include_study?="Yes",Sufficient_data="Yes"),IF('Publication Bias Analysis'!L$38="Left",'Publication Bias Analysis'!E:E-GW$10,GW$10-'Publication Bias Analysis'!E:E),"")</f>
        <v>-7.5099342211593423E-2</v>
      </c>
      <c r="GS2" s="74">
        <f t="shared" ref="GS2:GS33" si="83">IF(GR2&lt;&gt;"",ABS(GR2),"")</f>
        <v>7.5099342211593423E-2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31.263894490975879</v>
      </c>
      <c r="GV2" s="125" t="s">
        <v>98</v>
      </c>
      <c r="GW2" s="125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12" t="s">
        <v>102</v>
      </c>
      <c r="HL2" s="3">
        <f t="shared" ref="HL2:HL65" si="89">IF(AND(Include_study?="Yes",Sufficient_data="Yes"),Inverse_standard_error-AVERAGE(Inverse_standard_error),"")</f>
        <v>-0.18304055237056893</v>
      </c>
      <c r="HM2" s="34">
        <f>IF(AND(Include_study?="Yes",Sufficient_data="Yes"),Z_score-('Publication Bias Analysis'!P$3+'Publication Bias Analysis'!P$4*Inverse_standard_error),"")</f>
        <v>1.3322676295501878E-15</v>
      </c>
      <c r="HO2" s="112" t="s">
        <v>270</v>
      </c>
      <c r="HP2" s="3">
        <f>IF(AND(Include_study?="Yes",Sufficient_data="Yes"),(GD:GD-SUMPRODUCT(Calculations!FT:FT,'Publication Bias Analysis'!E:E)/SUM(Calculations!FT:FT))/SQRT(Calculations!HQ:HQ),"")</f>
        <v>0.57588798249403195</v>
      </c>
      <c r="HQ2" s="3">
        <f>IF(AND(Include_study?="Yes",Sufficient_data="Yes"),GE:GE^2-1/SUM(Calculations!FT:FT),"")</f>
        <v>1.7005767392192866E-2</v>
      </c>
      <c r="HR2" s="6">
        <f t="shared" ref="HR2:HR33" si="90">IF(AND(Include_study?="Yes",Sufficient_data="Yes"),RANK(HP:HP,HP:HP,0),"")</f>
        <v>1</v>
      </c>
      <c r="HS2" s="6">
        <f t="shared" ref="HS2:HS33" si="91">IF(AND(Include_study?="Yes",Sufficient_data="Yes"),RANK(HQ:HQ,HQ:HQ,0),"")</f>
        <v>1</v>
      </c>
      <c r="HT2" s="6">
        <f>IF(AND(Include_study?="Yes",Sufficient_data="Yes"),COUNTIFS(HR3:HR201,"&lt;"&amp;HR2,HS3:HS201,"&lt;"&amp;HS2)+COUNTIFS(HR3:HR201,"&gt;"&amp;HR2,HS3:HS201,"&gt;"&amp;HS2),"")</f>
        <v>1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12" t="s">
        <v>114</v>
      </c>
      <c r="HX2" s="20">
        <v>1</v>
      </c>
      <c r="HY2" s="3"/>
      <c r="HZ2" s="34">
        <f>HZ3-HY14</f>
        <v>-0.35</v>
      </c>
      <c r="IB2" s="112" t="s">
        <v>271</v>
      </c>
      <c r="IC2" s="77">
        <f t="shared" ref="IC2:IC33" si="92">IF(AND(Include_study?="Yes",Sufficient_data="Yes"),a_/(a_+b_),NA())</f>
        <v>1.8213866039952998E-2</v>
      </c>
      <c r="ID2" s="74">
        <f t="shared" ref="ID2:ID33" si="93">IF(AND(Include_study?="Yes",Sufficient_data="Yes"),c_/(c_+d_),NA())</f>
        <v>2.6097271648873072E-2</v>
      </c>
      <c r="IE2" s="74">
        <f t="shared" ref="IE2:IE33" si="94">IF(AND(Include_study?="Yes",Sufficient_data="Yes"),1/SELogRiskRatio^2,"")</f>
        <v>32.688966069798596</v>
      </c>
      <c r="IF2" s="74">
        <f t="shared" ref="IF2:IF33" si="95">IF(AND(Include_study?="Yes",Sufficient_data="Yes"),IF(Additional_model="Fixed effect",Weightf,Weightr),"")</f>
        <v>31.263894490975879</v>
      </c>
      <c r="IH2" s="2" t="s">
        <v>238</v>
      </c>
      <c r="II2" s="2" t="s">
        <v>239</v>
      </c>
      <c r="IK2" s="112" t="s">
        <v>116</v>
      </c>
      <c r="IL2" s="3">
        <f>IF(AND(Include_study?="Yes",Sufficient_data="Yes"),'Publication Bias Analysis'!AV:AV,NA())</f>
        <v>-2.0560164586400433</v>
      </c>
      <c r="IM2" s="3">
        <f>IF(AND(Sufficient_data="Yes",Include_study?="Yes"),'Publication Bias Analysis'!AU:AU,NA())</f>
        <v>5.591412566693311</v>
      </c>
      <c r="IN2" s="3">
        <f t="shared" ref="IN2:IN33" si="96">IF(AND(Include_study?="Yes",Sufficient_data="Yes"),Inverse_standard_error-AVERAGE(Inverse_standard_error),"")</f>
        <v>-0.18304055237056893</v>
      </c>
      <c r="IO2" s="34">
        <f>IF(AND(Include_study?="Yes",Sufficient_data="Yes"),Z_score-('Publication Bias Analysis'!AY$30+'Publication Bias Analysis'!AY$31*Inverse_standard_error),"")</f>
        <v>0.41991140579230501</v>
      </c>
      <c r="IQ2" s="24" t="s">
        <v>272</v>
      </c>
      <c r="IR2" s="2" t="s">
        <v>238</v>
      </c>
      <c r="IS2" s="2" t="s">
        <v>239</v>
      </c>
      <c r="IU2" s="112" t="s">
        <v>117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0.7142857142857143</v>
      </c>
      <c r="IX2" s="3">
        <f>IF('Publication Bias Analysis'!BF2&lt;&gt;"",'Publication Bias Analysis'!BF2,NA())</f>
        <v>0.56594882193286311</v>
      </c>
      <c r="IY2" s="3">
        <f>IF('Publication Bias Analysis'!BG2&lt;&gt;"",'Publication Bias Analysis'!BG2,NA())</f>
        <v>-2.0560164586400433</v>
      </c>
      <c r="IZ2" s="3">
        <f>IF(AND(Include_study?="Yes",Sufficient_data="Yes"),'Publication Bias Analysis'!BF:BF-AVERAGE('Publication Bias Analysis'!BF:BF),"")</f>
        <v>0.56594882193286311</v>
      </c>
      <c r="JA2" s="34">
        <f>IF(AND(Include_study?="Yes",Sufficient_data="Yes"),'Publication Bias Analysis'!BG:BG-('Publication Bias Analysis'!BJ$30+'Publication Bias Analysis'!BJ$31*'Publication Bias Analysis'!BF:BF),"")</f>
        <v>0</v>
      </c>
      <c r="JC2" s="24" t="s">
        <v>273</v>
      </c>
      <c r="JD2" s="2" t="s">
        <v>238</v>
      </c>
      <c r="JE2" s="2" t="s">
        <v>239</v>
      </c>
      <c r="JG2" s="112" t="s">
        <v>119</v>
      </c>
      <c r="JH2" s="74">
        <f t="shared" ref="JH2:JH33" si="98">IF(AND(Include_study?="Yes",Sufficient_data="Yes"),IF(AND(Additional_valid_options="No",Additional_model="Random effects"),NA(),Z_score),"")</f>
        <v>-2.0560164586400433</v>
      </c>
      <c r="JI2" s="84">
        <f>IF(JH2&lt;&gt;"",1-NORMSDIST(ABS(JH2)),"")</f>
        <v>1.989046489544033E-2</v>
      </c>
      <c r="JJ2" s="34">
        <f>IF(JI2&lt;&gt;"",LN(MAX(10^-306,JI2)),"")</f>
        <v>-3.9175148130641024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65</v>
      </c>
      <c r="C3" s="6">
        <f>IF(AND(Include_study?="Yes",Sufficient_data="Yes"),IF(Input!b_&lt;&gt;"",Input!b_,Input!n1_-Input!a_),"")</f>
        <v>2581</v>
      </c>
      <c r="D3" s="6">
        <f>IF(AND(Include_study?="Yes",Sufficient_data="Yes"),IF(Input!c_&lt;&gt;"",Input!c_,Input!n2_-Input!d_),"")</f>
        <v>84</v>
      </c>
      <c r="E3" s="6">
        <f>IF(AND(Include_study?="Yes",Sufficient_data="Yes"),IF(Input!d_&lt;&gt;"",Input!d_,Input!n2_-Input!c_),"")</f>
        <v>2005</v>
      </c>
      <c r="F3" s="35" t="str">
        <f t="shared" si="1"/>
        <v>No</v>
      </c>
      <c r="H3" s="128"/>
      <c r="I3" s="115"/>
      <c r="J3" s="76">
        <f t="shared" si="2"/>
        <v>0.60111898304459332</v>
      </c>
      <c r="K3" s="3">
        <f t="shared" si="3"/>
        <v>-0.50896238892562073</v>
      </c>
      <c r="L3" s="3">
        <f t="shared" si="4"/>
        <v>0.16785582245683178</v>
      </c>
      <c r="M3" s="3">
        <f t="shared" si="5"/>
        <v>0.43255841018519997</v>
      </c>
      <c r="N3" s="35">
        <f t="shared" si="6"/>
        <v>0.83536471206710905</v>
      </c>
      <c r="P3" s="112"/>
      <c r="Q3" s="76">
        <f t="shared" si="7"/>
        <v>0.59856033591376079</v>
      </c>
      <c r="R3" s="3">
        <f t="shared" si="8"/>
        <v>0.16763311328657929</v>
      </c>
      <c r="S3" s="3">
        <f t="shared" si="9"/>
        <v>0.43090533476287984</v>
      </c>
      <c r="T3" s="35">
        <f t="shared" si="10"/>
        <v>0.8314459042990191</v>
      </c>
      <c r="V3" s="112"/>
      <c r="W3" s="76">
        <f t="shared" si="11"/>
        <v>-1.5645245386064644E-2</v>
      </c>
      <c r="X3" s="3">
        <f t="shared" si="12"/>
        <v>5.2469653130446893E-3</v>
      </c>
      <c r="Y3" s="3">
        <f t="shared" si="13"/>
        <v>-2.5931738969587489E-2</v>
      </c>
      <c r="Z3" s="35">
        <f t="shared" si="14"/>
        <v>-5.3587518025418005E-3</v>
      </c>
      <c r="AB3" s="112"/>
      <c r="AC3" s="76">
        <f t="shared" si="15"/>
        <v>0.61091764748227328</v>
      </c>
      <c r="AD3" s="3">
        <f t="shared" si="16"/>
        <v>-0.49279311206601178</v>
      </c>
      <c r="AE3" s="3">
        <f t="shared" si="17"/>
        <v>0.16258151924010586</v>
      </c>
      <c r="AF3" s="3">
        <f t="shared" si="18"/>
        <v>0.44417860060286801</v>
      </c>
      <c r="AG3" s="35">
        <f t="shared" si="19"/>
        <v>0.84024843047079767</v>
      </c>
      <c r="AI3" s="128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Van et al.</v>
      </c>
      <c r="AN3" s="6">
        <f t="shared" si="21"/>
        <v>4735</v>
      </c>
      <c r="AO3" s="3">
        <f t="shared" si="22"/>
        <v>0.60111898304459332</v>
      </c>
      <c r="AP3" s="3">
        <f t="shared" si="23"/>
        <v>35.491730845181522</v>
      </c>
      <c r="AQ3" s="3">
        <f t="shared" si="24"/>
        <v>35.491730845181522</v>
      </c>
      <c r="AR3" s="3">
        <f t="shared" si="25"/>
        <v>0.16785582245683178</v>
      </c>
      <c r="AS3" s="3">
        <f t="shared" si="26"/>
        <v>0.43255841018519997</v>
      </c>
      <c r="AT3" s="3">
        <f t="shared" si="27"/>
        <v>0.83536471206710905</v>
      </c>
      <c r="AU3" s="80">
        <f t="shared" si="28"/>
        <v>0.53166651748759575</v>
      </c>
      <c r="AW3" s="44">
        <f t="shared" si="29"/>
        <v>0.60111898304459332</v>
      </c>
      <c r="AX3" s="3">
        <f t="shared" si="30"/>
        <v>0.16856057285939335</v>
      </c>
      <c r="AY3" s="35">
        <f t="shared" si="31"/>
        <v>0.23424572902251573</v>
      </c>
      <c r="BA3" s="2" t="s">
        <v>274</v>
      </c>
      <c r="BB3" s="6">
        <f>IF(BB2&lt;&gt;"",MAX(Entry_number)+1,"")</f>
        <v>3</v>
      </c>
      <c r="BD3" s="128"/>
      <c r="BE3" s="115"/>
      <c r="BF3" s="3">
        <f t="shared" si="32"/>
        <v>-0.50896238892562073</v>
      </c>
      <c r="BG3" s="3">
        <f t="shared" si="33"/>
        <v>0.16785582245683178</v>
      </c>
      <c r="BH3" s="3">
        <f t="shared" si="34"/>
        <v>35.491730845181522</v>
      </c>
      <c r="BI3" s="3">
        <f t="shared" ref="BI3:BI33" si="99">IF(Weightf&lt;&gt;"",1/(IF(Model_effect_size_measure="Odds Ratio",SELogOddsRatio,IF(Model_effect_size_measure="Risk Ratio",SELogRiskRatio,SERiskDifference))^2+T2_),"")</f>
        <v>35.491730845181522</v>
      </c>
      <c r="BJ3" s="35">
        <f t="shared" si="35"/>
        <v>-6.6153378697892173E-2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7.0484574378271853E-2</v>
      </c>
      <c r="BO3" s="112"/>
      <c r="BP3" s="3">
        <f t="shared" si="36"/>
        <v>27.523759239704329</v>
      </c>
      <c r="BQ3" s="3">
        <f t="shared" si="37"/>
        <v>45.787539598732842</v>
      </c>
      <c r="BR3" s="3">
        <f t="shared" si="38"/>
        <v>12.032562117463138</v>
      </c>
      <c r="BS3" s="3">
        <f>IF(AND(Sufficient_data="Yes",Include_study?="Yes"),IF(Add_0_5="Yes",(a_+d_+1)*(ab_+0.5)*(c_+0.5)/(Number_of_subjects+2)^2,(a_+d_)*b_*c_/Number_of_subjects^2),"")</f>
        <v>20.016939169878981</v>
      </c>
      <c r="BT3" s="3">
        <f t="shared" si="39"/>
        <v>15.491197122241191</v>
      </c>
      <c r="BU3" s="3">
        <f t="shared" si="40"/>
        <v>25.770600428853857</v>
      </c>
      <c r="BV3" s="3">
        <f t="shared" si="41"/>
        <v>45.787539598732842</v>
      </c>
      <c r="BW3" s="3">
        <f t="shared" si="42"/>
        <v>0.15354366061710037</v>
      </c>
      <c r="BX3" s="3">
        <f t="shared" si="43"/>
        <v>35.491730845181522</v>
      </c>
      <c r="BY3" s="35">
        <f t="shared" si="44"/>
        <v>-6.6153378697892229E-2</v>
      </c>
      <c r="CA3" s="3" t="s">
        <v>275</v>
      </c>
      <c r="CB3" s="3">
        <f>IF(Meta_analysis_model="Fixed effect model",0.5*(SUM(BR:BR)/SUM(BP:BP)^2+(SUM(BS:BS)+SUM(BT:BT))/(SUM(BP:BP)*SUM(BQ:BQ))+SUM(BU:BU)/SUM(BQ:BQ)^2),SUMPRODUCT(Weight_MH,BY:BY,BY:BY)/((k_-1)*SUM(Weight_MH)))</f>
        <v>4.9680752252861376E-3</v>
      </c>
      <c r="CD3" s="112"/>
      <c r="CE3" s="76">
        <f t="shared" si="45"/>
        <v>83.263780359028516</v>
      </c>
      <c r="CF3" s="3">
        <f t="shared" si="46"/>
        <v>35.58609865149807</v>
      </c>
      <c r="CG3" s="3">
        <f t="shared" si="47"/>
        <v>-0.51322794717930298</v>
      </c>
      <c r="CH3" s="3">
        <f t="shared" si="48"/>
        <v>2.8100860670151124E-2</v>
      </c>
      <c r="CI3" s="3">
        <f t="shared" si="49"/>
        <v>35.58609865149807</v>
      </c>
      <c r="CJ3" s="3">
        <f t="shared" si="50"/>
        <v>35.58609865149807</v>
      </c>
      <c r="CK3" s="35">
        <f t="shared" si="51"/>
        <v>-6.4684264427769311E-2</v>
      </c>
      <c r="CM3" s="3" t="s">
        <v>275</v>
      </c>
      <c r="CN3" s="3">
        <f>IF(Meta_analysis_model="Fixed effect model",1/SUM(Weightf_Peto),SUMPRODUCT(Weight_Peto,CK:CK,CK:CK)/((k_-1)*SUM(Weight_Peto)))</f>
        <v>4.8604550443801676E-3</v>
      </c>
      <c r="CP3" s="112"/>
      <c r="CQ3" s="52">
        <f t="shared" si="52"/>
        <v>4.0210627094303494E-2</v>
      </c>
      <c r="CS3" s="2" t="s">
        <v>276</v>
      </c>
      <c r="CT3" s="3">
        <f>IF(Weighting_method="Inverse variance",IF(Model_effect_size_measure="Odds Ratio",CES_IV,NA()),NA())</f>
        <v>0.6422298547088986</v>
      </c>
      <c r="CU3" s="3">
        <f>IF(Model_effect_size_measure="Odds Ratio",CES_OddsRatio_MH,NA())</f>
        <v>0.6422298547088986</v>
      </c>
      <c r="CV3" s="3" t="e">
        <f>IF(Model_effect_size_measure="Peto Odds Ratio",CES_PetoOddsRatio,NA())</f>
        <v>#N/A</v>
      </c>
      <c r="CX3" s="128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28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277</v>
      </c>
      <c r="FP3" s="3" t="str">
        <f>IF(SUM(Moderator)&lt;&gt;0,SUMPRODUCT(Moderator,FE:FE)/SUM(Calculations!FE:FE),"")</f>
        <v/>
      </c>
      <c r="FR3" s="128"/>
      <c r="FS3" s="115"/>
      <c r="FT3" s="76">
        <f>IF(AND(Include_study?="Yes",Sufficient_data="Yes"),IF(Additional_weighting_method="Inverse Variance",1/'Publication Bias Analysis'!F:F^2,IF(Additional_weighting_method="Mantel-Haenszel",Weightf_MH,Weightf_Peto)),"")</f>
        <v>35.491730845181522</v>
      </c>
      <c r="FU3" s="3">
        <f>IF(AND(Include_study?="Yes",Sufficient_data="Yes"),1/('Publication Bias Analysis'!F:F^2+IF(Additional_model="Fixed effect",0,Calculations!GH$12)),"")</f>
        <v>35.491730845181522</v>
      </c>
      <c r="FV3" s="3">
        <f>IF(AND(Include_study?="Yes",Sufficient_data="Yes"),1/('Publication Bias Analysis'!F:F^2+IF(Additional_model="Fixed effect",0,'Publication Bias Analysis'!L$32)),"")</f>
        <v>35.491730845181522</v>
      </c>
      <c r="FW3" s="3">
        <f>IF(AND(Include_study?="Yes",Sufficient_data="Yes"),'Publication Bias Analysis'!E:E-'Publication Bias Analysis'!I$37,"")</f>
        <v>-6.6153378697892173E-2</v>
      </c>
      <c r="FX3" s="3">
        <f>IF(AND(Include_study?="Yes",Sufficient_data="Yes"),IF(Additional_model="Fixed effect",1/'Publication Bias Analysis'!F:F,1/SQRT('Publication Bias Analysis'!F:F^2+GH$12)),"")</f>
        <v>5.9574936714344497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-3.0321402110225448</v>
      </c>
      <c r="FZ3" s="6">
        <f t="shared" si="80"/>
        <v>1</v>
      </c>
      <c r="GA3" s="83">
        <f>IF(AND(Include_study?="Yes",Sufficient_data="Yes"),FZ:FZ+IF(GL:GL&lt;0,-1,1)*COUNTIF(FZ$2:FZ2,FZ:FZ),"")</f>
        <v>1</v>
      </c>
      <c r="GB3" s="83">
        <f>IF(AND(Include_study?="Yes",Sufficient_data="Yes"),RANK(GP:GP,GP:GP,1)*IF(GO:GO&lt;0,-1,1)+IF(GO:GO&lt;0,-1,1)*COUNTIF(FZ$2:FZ2,FZ:FZ),"")</f>
        <v>1</v>
      </c>
      <c r="GC3" s="83">
        <f>IF(AND(Include_study?="Yes",Sufficient_data="Yes"),RANK(GS:GS,GS:GS,1)*IF(GR:GR&lt;0,-1,1)+IF(GR:GR&lt;0,-1,1)*COUNTIF(FZ$2:FZ2,FZ:FZ),"")</f>
        <v>1</v>
      </c>
      <c r="GD3" s="3">
        <f>IF(AND(Include_study?="Yes",Sufficient_data="Yes"),'Publication Bias Analysis'!E3,NA())</f>
        <v>-0.50896238892562073</v>
      </c>
      <c r="GE3" s="35">
        <f>IF(AND(Include_study?="Yes",Sufficient_data="Yes"),'Publication Bias Analysis'!F3,NA())</f>
        <v>0.16785582245683178</v>
      </c>
      <c r="GG3" s="2" t="s">
        <v>278</v>
      </c>
      <c r="GH3" s="3">
        <f>IF(Additional_valid_options="Yes",IF(Trim_and_fill="Off",'Publication Bias Analysis'!I29,'Publication Bias Analysis'!I37)-ABS(TINV((1-Additional_confidence_level),k_-1))*GI3,"")</f>
        <v>-3.1697488490503849</v>
      </c>
      <c r="GI3" s="3">
        <f>IF(Trim_and_fill="Off",GH17,GH22)</f>
        <v>0.21461481972339316</v>
      </c>
      <c r="GK3" s="11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6.6153378697892173E-2</v>
      </c>
      <c r="GM3" s="3">
        <f t="shared" si="81"/>
        <v>6.6153378697892173E-2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35.491730845181522</v>
      </c>
      <c r="GO3" s="3">
        <f>IF(AND(Include_study?="Yes",Sufficient_data="Yes"),IF('Publication Bias Analysis'!L$38="Left",'Publication Bias Analysis'!E:E-GW$3,GW$3-'Publication Bias Analysis'!E:E),"")</f>
        <v>6.6153378697892173E-2</v>
      </c>
      <c r="GP3" s="3">
        <f t="shared" si="82"/>
        <v>6.6153378697892173E-2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35.491730845181522</v>
      </c>
      <c r="GR3" s="3">
        <f>IF(AND(Include_study?="Yes",Sufficient_data="Yes"),IF('Publication Bias Analysis'!L$38="Left",'Publication Bias Analysis'!E:E-GW$10,GW$10-'Publication Bias Analysis'!E:E),"")</f>
        <v>6.6153378697892173E-2</v>
      </c>
      <c r="GS3" s="3">
        <f t="shared" si="83"/>
        <v>6.6153378697892173E-2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35.491730845181522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-0.44280901022772856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12"/>
      <c r="HL3" s="3">
        <f t="shared" si="89"/>
        <v>0.18304055237056982</v>
      </c>
      <c r="HM3" s="35">
        <f>IF(AND(Include_study?="Yes",Sufficient_data="Yes"),Z_score-('Publication Bias Analysis'!P$3+'Publication Bias Analysis'!P$4*Inverse_standard_error),"")</f>
        <v>4.4408920985006262E-16</v>
      </c>
      <c r="HO3" s="112"/>
      <c r="HP3" s="3">
        <f>IF(AND(Include_study?="Yes",Sufficient_data="Yes"),(GD:GD-SUMPRODUCT(Calculations!FT:FT,'Publication Bias Analysis'!E:E)/SUM(Calculations!FT:FT))/SQRT(Calculations!HQ:HQ),"")</f>
        <v>-0.57588798249403339</v>
      </c>
      <c r="HQ3" s="3">
        <f>IF(AND(Include_study?="Yes",Sufficient_data="Yes"),GE:GE^2-1/SUM(Calculations!FT:FT),"")</f>
        <v>1.3195566160335253E-2</v>
      </c>
      <c r="HR3" s="6">
        <f t="shared" si="90"/>
        <v>2</v>
      </c>
      <c r="HS3" s="6">
        <f t="shared" si="91"/>
        <v>2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1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12"/>
      <c r="HX3" s="20">
        <v>2</v>
      </c>
      <c r="HY3" s="3">
        <f t="shared" ref="HY3:HY10" si="123">HZ2</f>
        <v>-0.35</v>
      </c>
      <c r="HZ3" s="35">
        <f>HZ4-HY14</f>
        <v>-0.25</v>
      </c>
      <c r="IB3" s="112"/>
      <c r="IC3" s="76">
        <f t="shared" si="92"/>
        <v>2.456538170823885E-2</v>
      </c>
      <c r="ID3" s="3">
        <f t="shared" si="93"/>
        <v>4.0210627094303494E-2</v>
      </c>
      <c r="IE3" s="3">
        <f t="shared" si="94"/>
        <v>37.831855744370053</v>
      </c>
      <c r="IF3" s="35">
        <f t="shared" si="95"/>
        <v>35.491730845181522</v>
      </c>
      <c r="IH3" s="3">
        <v>0</v>
      </c>
      <c r="II3" s="3">
        <v>0</v>
      </c>
      <c r="IK3" s="112"/>
      <c r="IL3" s="3">
        <f>IF(AND(Include_study?="Yes",Sufficient_data="Yes"),'Publication Bias Analysis'!AV:AV,NA())</f>
        <v>-3.0321402110225448</v>
      </c>
      <c r="IM3" s="3">
        <f>IF(AND(Sufficient_data="Yes",Include_study?="Yes"),'Publication Bias Analysis'!AU:AU,NA())</f>
        <v>5.9574936714344497</v>
      </c>
      <c r="IN3" s="3">
        <f t="shared" si="96"/>
        <v>0.18304055237056982</v>
      </c>
      <c r="IO3" s="35">
        <f>IF(AND(Include_study?="Yes",Sufficient_data="Yes"),Z_score-('Publication Bias Analysis'!AY$30+'Publication Bias Analysis'!AY$31*Inverse_standard_error),"")</f>
        <v>-0.39410833493669939</v>
      </c>
      <c r="IQ3" s="2" t="s">
        <v>94</v>
      </c>
      <c r="IR3" s="3">
        <v>0</v>
      </c>
      <c r="IS3" s="3">
        <v>0</v>
      </c>
      <c r="IU3" s="112"/>
      <c r="IV3" s="6">
        <f>IF('Publication Bias Analysis'!BG:BG&lt;&gt;"",RANK('Publication Bias Analysis'!BG:BG,'Publication Bias Analysis'!BG:BG,1)+COUNTIF('Publication Bias Analysis'!BG$2:BG2,'Publication Bias Analysis'!BG3),"")</f>
        <v>1</v>
      </c>
      <c r="IW3" s="3">
        <f t="shared" si="97"/>
        <v>0.28571428571428575</v>
      </c>
      <c r="IX3" s="3">
        <f>IF('Publication Bias Analysis'!BF3&lt;&gt;"",'Publication Bias Analysis'!BF3,NA())</f>
        <v>-0.56594882193286311</v>
      </c>
      <c r="IY3" s="3">
        <f>IF('Publication Bias Analysis'!BG3&lt;&gt;"",'Publication Bias Analysis'!BG3,NA())</f>
        <v>-3.0321402110225448</v>
      </c>
      <c r="IZ3" s="3">
        <f>IF(AND(Include_study?="Yes",Sufficient_data="Yes"),'Publication Bias Analysis'!BF:BF-AVERAGE('Publication Bias Analysis'!BF:BF),"")</f>
        <v>-0.56594882193286311</v>
      </c>
      <c r="JA3" s="35">
        <f>IF(AND(Include_study?="Yes",Sufficient_data="Yes"),'Publication Bias Analysis'!BG:BG-('Publication Bias Analysis'!BJ$30+'Publication Bias Analysis'!BJ$31*'Publication Bias Analysis'!BF:BF),"")</f>
        <v>0</v>
      </c>
      <c r="JC3" s="2" t="s">
        <v>241</v>
      </c>
      <c r="JD3" s="3">
        <f>MIN('Publication Bias Analysis'!BF:BF)</f>
        <v>-0.56594882193286311</v>
      </c>
      <c r="JE3" s="3">
        <f>'Publication Bias Analysis'!BJ$30+JD3*'Publication Bias Analysis'!BJ$31</f>
        <v>-3.0321402110225448</v>
      </c>
      <c r="JG3" s="112"/>
      <c r="JH3" s="3">
        <f t="shared" si="98"/>
        <v>-3.0321402110225448</v>
      </c>
      <c r="JI3" s="10">
        <f t="shared" ref="JI3:JI66" si="124">IF(JH3&lt;&gt;"",1-NORMSDIST(ABS(JH3)),"")</f>
        <v>1.2141319142764395E-3</v>
      </c>
      <c r="JJ3" s="35">
        <f t="shared" ref="JJ3:JJ66" si="125">IF(JI3&lt;&gt;"",LN(MAX(10^-306,JI3)),"")</f>
        <v>-6.7137259313942543</v>
      </c>
    </row>
    <row r="4" spans="1:270" ht="13" x14ac:dyDescent="0.35">
      <c r="A4" s="2">
        <f t="shared" si="0"/>
        <v>0</v>
      </c>
      <c r="B4" s="6" t="str">
        <f>IF(AND(Include_study?="Yes",Sufficient_data="Yes"),IF(Input!a_&lt;&gt;"",Input!a_,Input!n1_-Input!b_),"")</f>
        <v/>
      </c>
      <c r="C4" s="6" t="str">
        <f>IF(AND(Include_study?="Yes",Sufficient_data="Yes"),IF(Input!b_&lt;&gt;"",Input!b_,Input!n1_-Input!a_),"")</f>
        <v/>
      </c>
      <c r="D4" s="6" t="str">
        <f>IF(AND(Include_study?="Yes",Sufficient_data="Yes"),IF(Input!c_&lt;&gt;"",Input!c_,Input!n2_-Input!d_),"")</f>
        <v/>
      </c>
      <c r="E4" s="6" t="str">
        <f>IF(AND(Include_study?="Yes",Sufficient_data="Yes"),IF(Input!d_&lt;&gt;"",Input!d_,Input!n2_-Input!c_),"")</f>
        <v/>
      </c>
      <c r="F4" s="35" t="str">
        <f t="shared" si="1"/>
        <v/>
      </c>
      <c r="H4" s="128"/>
      <c r="I4" s="115"/>
      <c r="J4" s="76" t="str">
        <f t="shared" si="2"/>
        <v/>
      </c>
      <c r="K4" s="3" t="str">
        <f t="shared" si="3"/>
        <v/>
      </c>
      <c r="L4" s="3" t="str">
        <f t="shared" si="4"/>
        <v/>
      </c>
      <c r="M4" s="3" t="str">
        <f t="shared" si="5"/>
        <v/>
      </c>
      <c r="N4" s="35" t="str">
        <f t="shared" si="6"/>
        <v/>
      </c>
      <c r="P4" s="112"/>
      <c r="Q4" s="76" t="str">
        <f t="shared" si="7"/>
        <v/>
      </c>
      <c r="R4" s="3" t="str">
        <f t="shared" si="8"/>
        <v/>
      </c>
      <c r="S4" s="3" t="str">
        <f t="shared" si="9"/>
        <v/>
      </c>
      <c r="T4" s="35" t="str">
        <f t="shared" si="10"/>
        <v/>
      </c>
      <c r="V4" s="112"/>
      <c r="W4" s="76" t="str">
        <f t="shared" si="11"/>
        <v/>
      </c>
      <c r="X4" s="3" t="str">
        <f t="shared" si="12"/>
        <v/>
      </c>
      <c r="Y4" s="3" t="str">
        <f t="shared" si="13"/>
        <v/>
      </c>
      <c r="Z4" s="35" t="str">
        <f t="shared" si="14"/>
        <v/>
      </c>
      <c r="AB4" s="112"/>
      <c r="AC4" s="76" t="str">
        <f t="shared" si="15"/>
        <v/>
      </c>
      <c r="AD4" s="3" t="str">
        <f t="shared" si="16"/>
        <v/>
      </c>
      <c r="AE4" s="3" t="str">
        <f t="shared" si="17"/>
        <v/>
      </c>
      <c r="AF4" s="3" t="str">
        <f t="shared" si="18"/>
        <v/>
      </c>
      <c r="AG4" s="35" t="str">
        <f t="shared" si="19"/>
        <v/>
      </c>
      <c r="AI4" s="128"/>
      <c r="AJ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" s="6" t="str">
        <f>IF(AJ4&lt;&gt;"",IF(AJ4=0,COUNTIF(AJ$2:AJ3,0)+1,COUNTIF(AJ$2:AJ3,AJ4)+AJ4+COUNTIF(AJ:AJ,0)),"")</f>
        <v/>
      </c>
      <c r="AL4" s="6">
        <f t="shared" si="20"/>
        <v>0</v>
      </c>
      <c r="AM4" s="3" t="str">
        <f>IF(AND(Include_study?="Yes",Sufficient_data="Yes",Input!Study_name&lt;&gt;""),Input!Study_name,"")</f>
        <v/>
      </c>
      <c r="AN4" s="6" t="str">
        <f t="shared" si="21"/>
        <v/>
      </c>
      <c r="AO4" s="3" t="str">
        <f t="shared" si="22"/>
        <v/>
      </c>
      <c r="AP4" s="3" t="str">
        <f t="shared" si="23"/>
        <v/>
      </c>
      <c r="AQ4" s="3" t="str">
        <f t="shared" si="24"/>
        <v/>
      </c>
      <c r="AR4" s="3" t="str">
        <f t="shared" si="25"/>
        <v/>
      </c>
      <c r="AS4" s="3" t="str">
        <f t="shared" si="26"/>
        <v/>
      </c>
      <c r="AT4" s="3" t="str">
        <f t="shared" si="27"/>
        <v/>
      </c>
      <c r="AU4" s="80" t="str">
        <f t="shared" si="28"/>
        <v/>
      </c>
      <c r="AW4" s="44" t="e">
        <f t="shared" si="29"/>
        <v>#N/A</v>
      </c>
      <c r="AX4" s="3" t="e">
        <f t="shared" si="30"/>
        <v>#N/A</v>
      </c>
      <c r="AY4" s="35" t="e">
        <f t="shared" si="31"/>
        <v>#N/A</v>
      </c>
      <c r="BA4" s="2" t="s">
        <v>279</v>
      </c>
      <c r="BB4" s="3">
        <f>'Forest Plot'!$B$16-CES_CI_Lower_limit</f>
        <v>0.37996501390620718</v>
      </c>
      <c r="BD4" s="128"/>
      <c r="BE4" s="115"/>
      <c r="BF4" s="3" t="str">
        <f t="shared" si="32"/>
        <v/>
      </c>
      <c r="BG4" s="3" t="str">
        <f t="shared" si="33"/>
        <v/>
      </c>
      <c r="BH4" s="3" t="str">
        <f t="shared" si="34"/>
        <v/>
      </c>
      <c r="BI4" s="3" t="str">
        <f t="shared" si="99"/>
        <v/>
      </c>
      <c r="BJ4" s="35" t="str">
        <f t="shared" si="35"/>
        <v/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-1.3384004430201839</v>
      </c>
      <c r="BO4" s="112"/>
      <c r="BP4" s="3" t="str">
        <f t="shared" si="36"/>
        <v/>
      </c>
      <c r="BQ4" s="3" t="str">
        <f t="shared" si="37"/>
        <v/>
      </c>
      <c r="BR4" s="3" t="str">
        <f t="shared" si="38"/>
        <v/>
      </c>
      <c r="BS4" s="3" t="str">
        <f>IF(AND(Sufficient_data="Yes",Include_study?="Yes"),IF(Add_0_5="Yes",(a_+d_+1)*(ab_+0.5)*(c_+0.5)/(Number_of_subjects+2)^2,(a_+d_)*b_*c_/Number_of_subjects^2),"")</f>
        <v/>
      </c>
      <c r="BT4" s="3" t="str">
        <f t="shared" si="39"/>
        <v/>
      </c>
      <c r="BU4" s="3" t="str">
        <f t="shared" si="40"/>
        <v/>
      </c>
      <c r="BV4" s="3" t="str">
        <f t="shared" si="41"/>
        <v/>
      </c>
      <c r="BW4" s="3" t="str">
        <f t="shared" si="42"/>
        <v/>
      </c>
      <c r="BX4" s="3" t="str">
        <f t="shared" si="43"/>
        <v/>
      </c>
      <c r="BY4" s="35" t="str">
        <f t="shared" si="44"/>
        <v/>
      </c>
      <c r="CA4" s="3" t="s">
        <v>280</v>
      </c>
      <c r="CB4" s="3">
        <f>SQRT(VarlnCES_MH)</f>
        <v>7.0484574378271853E-2</v>
      </c>
      <c r="CD4" s="112"/>
      <c r="CE4" s="76" t="str">
        <f t="shared" si="45"/>
        <v/>
      </c>
      <c r="CF4" s="3" t="str">
        <f t="shared" si="46"/>
        <v/>
      </c>
      <c r="CG4" s="3" t="str">
        <f t="shared" si="47"/>
        <v/>
      </c>
      <c r="CH4" s="3" t="str">
        <f t="shared" si="48"/>
        <v/>
      </c>
      <c r="CI4" s="3" t="str">
        <f t="shared" si="49"/>
        <v/>
      </c>
      <c r="CJ4" s="3" t="str">
        <f t="shared" si="50"/>
        <v/>
      </c>
      <c r="CK4" s="35" t="str">
        <f t="shared" si="51"/>
        <v/>
      </c>
      <c r="CM4" s="3" t="s">
        <v>280</v>
      </c>
      <c r="CN4" s="3">
        <f>SQRT(VarlnCES_Peto)</f>
        <v>6.9716963820724204E-2</v>
      </c>
      <c r="CP4" s="112"/>
      <c r="CQ4" s="52" t="str">
        <f t="shared" si="52"/>
        <v/>
      </c>
      <c r="CS4" s="2" t="s">
        <v>90</v>
      </c>
      <c r="CT4" s="3">
        <f>IF(Weighting_method="Inverse variance",IF(Model_effect_size_measure="Odds Ratio",CICES_LL,""),"")</f>
        <v>0.26226484080269141</v>
      </c>
      <c r="CU4" s="3">
        <f>IF(Model_effect_size_measure="Odds Ratio",CICES_LL_MH,"")</f>
        <v>0.26226484080269141</v>
      </c>
      <c r="CV4" s="3" t="str">
        <f>IF(Model_effect_size_measure="Peto Odds Ratio",CICES_LL_Peto,"")</f>
        <v/>
      </c>
      <c r="CX4" s="128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28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121</v>
      </c>
      <c r="FP4" s="3" t="str">
        <f>IF(FP3&lt;&gt;"",SUMPRODUCT(FF:FF,FG:FG,FE:FE)/SUMPRODUCT(FG:FG,FG:FG,FE:FE),"")</f>
        <v/>
      </c>
      <c r="FR4" s="128"/>
      <c r="FS4" s="115"/>
      <c r="FT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" s="3" t="str">
        <f>IF(AND(Include_study?="Yes",Sufficient_data="Yes"),1/('Publication Bias Analysis'!F:F^2+IF(Additional_model="Fixed effect",0,Calculations!GH$12)),"")</f>
        <v/>
      </c>
      <c r="FV4" s="3" t="str">
        <f>IF(AND(Include_study?="Yes",Sufficient_data="Yes"),1/('Publication Bias Analysis'!F:F^2+IF(Additional_model="Fixed effect",0,'Publication Bias Analysis'!L$32)),"")</f>
        <v/>
      </c>
      <c r="FW4" s="3" t="str">
        <f>IF(AND(Include_study?="Yes",Sufficient_data="Yes"),'Publication Bias Analysis'!E:E-'Publication Bias Analysis'!I$37,"")</f>
        <v/>
      </c>
      <c r="FX4" s="3" t="str">
        <f>IF(AND(Include_study?="Yes",Sufficient_data="Yes"),IF(Additional_model="Fixed effect",1/'Publication Bias Analysis'!F:F,1/SQRT('Publication Bias Analysis'!F:F^2+GH$12)),"")</f>
        <v/>
      </c>
      <c r="FY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" s="6" t="str">
        <f t="shared" si="80"/>
        <v/>
      </c>
      <c r="GA4" s="83" t="str">
        <f>IF(AND(Include_study?="Yes",Sufficient_data="Yes"),FZ:FZ+IF(GL:GL&lt;0,-1,1)*COUNTIF(FZ$2:FZ3,FZ:FZ),"")</f>
        <v/>
      </c>
      <c r="GB4" s="83" t="str">
        <f>IF(AND(Include_study?="Yes",Sufficient_data="Yes"),RANK(GP:GP,GP:GP,1)*IF(GO:GO&lt;0,-1,1)+IF(GO:GO&lt;0,-1,1)*COUNTIF(FZ$2:FZ3,FZ:FZ),"")</f>
        <v/>
      </c>
      <c r="GC4" s="83" t="str">
        <f>IF(AND(Include_study?="Yes",Sufficient_data="Yes"),RANK(GS:GS,GS:GS,1)*IF(GR:GR&lt;0,-1,1)+IF(GR:GR&lt;0,-1,1)*COUNTIF(FZ$2:FZ3,FZ:FZ),"")</f>
        <v/>
      </c>
      <c r="GD4" s="3" t="e">
        <f>IF(AND(Include_study?="Yes",Sufficient_data="Yes"),'Publication Bias Analysis'!E4,NA())</f>
        <v>#N/A</v>
      </c>
      <c r="GE4" s="35" t="e">
        <f>IF(AND(Include_study?="Yes",Sufficient_data="Yes"),'Publication Bias Analysis'!F4,NA())</f>
        <v>#N/A</v>
      </c>
      <c r="GG4" s="2" t="s">
        <v>272</v>
      </c>
      <c r="GH4" s="3">
        <f>IF(Trim_and_fill="Off",'Publication Bias Analysis'!I29,'Publication Bias Analysis'!I37)</f>
        <v>-0.44280901022772856</v>
      </c>
      <c r="GI4" s="3">
        <v>0</v>
      </c>
      <c r="GK4" s="112"/>
      <c r="GL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" s="3" t="str">
        <f t="shared" si="81"/>
        <v/>
      </c>
      <c r="GN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" s="3" t="str">
        <f>IF(AND(Include_study?="Yes",Sufficient_data="Yes"),IF('Publication Bias Analysis'!L$38="Left",'Publication Bias Analysis'!E:E-GW$3,GW$3-'Publication Bias Analysis'!E:E),"")</f>
        <v/>
      </c>
      <c r="GP4" s="3" t="str">
        <f t="shared" si="82"/>
        <v/>
      </c>
      <c r="GQ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" s="3" t="str">
        <f>IF(AND(Include_study?="Yes",Sufficient_data="Yes"),IF('Publication Bias Analysis'!L$38="Left",'Publication Bias Analysis'!E:E-GW$10,GW$10-'Publication Bias Analysis'!E:E),"")</f>
        <v/>
      </c>
      <c r="GS4" s="3" t="str">
        <f t="shared" si="83"/>
        <v/>
      </c>
      <c r="GT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4" s="110" t="s">
        <v>52</v>
      </c>
      <c r="GW4" s="110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12"/>
      <c r="HL4" s="3" t="str">
        <f t="shared" si="89"/>
        <v/>
      </c>
      <c r="HM4" s="35" t="str">
        <f>IF(AND(Include_study?="Yes",Sufficient_data="Yes"),Z_score-('Publication Bias Analysis'!P$3+'Publication Bias Analysis'!P$4*Inverse_standard_error),"")</f>
        <v/>
      </c>
      <c r="HO4" s="112"/>
      <c r="HP4" s="3" t="str">
        <f>IF(AND(Include_study?="Yes",Sufficient_data="Yes"),(GD:GD-SUMPRODUCT(Calculations!FT:FT,'Publication Bias Analysis'!E:E)/SUM(Calculations!FT:FT))/SQRT(Calculations!HQ:HQ),"")</f>
        <v/>
      </c>
      <c r="HQ4" s="3" t="str">
        <f>IF(AND(Include_study?="Yes",Sufficient_data="Yes"),GE:GE^2-1/SUM(Calculations!FT:FT),"")</f>
        <v/>
      </c>
      <c r="HR4" s="6" t="str">
        <f t="shared" si="90"/>
        <v/>
      </c>
      <c r="HS4" s="6" t="str">
        <f t="shared" si="91"/>
        <v/>
      </c>
      <c r="HT4" s="6" t="str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/>
      </c>
      <c r="HU4" s="57" t="str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/>
      </c>
      <c r="HW4" s="112"/>
      <c r="HX4" s="20">
        <v>3</v>
      </c>
      <c r="HY4" s="3">
        <f t="shared" si="123"/>
        <v>-0.25</v>
      </c>
      <c r="HZ4" s="35">
        <f>HZ5-HY14</f>
        <v>-0.15000000000000002</v>
      </c>
      <c r="IB4" s="112"/>
      <c r="IC4" s="76" t="e">
        <f t="shared" si="92"/>
        <v>#N/A</v>
      </c>
      <c r="ID4" s="3" t="e">
        <f t="shared" si="93"/>
        <v>#N/A</v>
      </c>
      <c r="IE4" s="3" t="str">
        <f t="shared" si="94"/>
        <v/>
      </c>
      <c r="IF4" s="35" t="str">
        <f t="shared" si="95"/>
        <v/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12"/>
      <c r="IL4" s="3" t="e">
        <f>IF(AND(Include_study?="Yes",Sufficient_data="Yes"),'Publication Bias Analysis'!AV:AV,NA())</f>
        <v>#N/A</v>
      </c>
      <c r="IM4" s="3" t="e">
        <f>IF(AND(Sufficient_data="Yes",Include_study?="Yes"),'Publication Bias Analysis'!AU:AU,NA())</f>
        <v>#N/A</v>
      </c>
      <c r="IN4" s="3" t="str">
        <f t="shared" si="96"/>
        <v/>
      </c>
      <c r="IO4" s="35" t="str">
        <f>IF(AND(Include_study?="Yes",Sufficient_data="Yes"),Z_score-('Publication Bias Analysis'!AY$30+'Publication Bias Analysis'!AY$31*Inverse_standard_error),"")</f>
        <v/>
      </c>
      <c r="IQ4" s="2" t="s">
        <v>281</v>
      </c>
      <c r="IR4" s="3">
        <f>MAX(Inverse_standard_error)</f>
        <v>5.9574936714344497</v>
      </c>
      <c r="IS4" s="3">
        <f>IR4*'Publication Bias Analysis'!AY31</f>
        <v>-2.6380318760858454</v>
      </c>
      <c r="IU4" s="112"/>
      <c r="IV4" s="6" t="str">
        <f>IF('Publication Bias Analysis'!BG:BG&lt;&gt;"",RANK('Publication Bias Analysis'!BG:BG,'Publication Bias Analysis'!BG:BG,1)+COUNTIF('Publication Bias Analysis'!BG$2:BG3,'Publication Bias Analysis'!BG4),"")</f>
        <v/>
      </c>
      <c r="IW4" s="3" t="str">
        <f t="shared" si="97"/>
        <v/>
      </c>
      <c r="IX4" s="3" t="e">
        <f>IF('Publication Bias Analysis'!BF4&lt;&gt;"",'Publication Bias Analysis'!BF4,NA())</f>
        <v>#N/A</v>
      </c>
      <c r="IY4" s="3" t="e">
        <f>IF('Publication Bias Analysis'!BG4&lt;&gt;"",'Publication Bias Analysis'!BG4,NA())</f>
        <v>#N/A</v>
      </c>
      <c r="IZ4" s="3" t="str">
        <f>IF(AND(Include_study?="Yes",Sufficient_data="Yes"),'Publication Bias Analysis'!BF:BF-AVERAGE('Publication Bias Analysis'!BF:BF),"")</f>
        <v/>
      </c>
      <c r="JA4" s="35" t="str">
        <f>IF(AND(Include_study?="Yes",Sufficient_data="Yes"),'Publication Bias Analysis'!BG:BG-('Publication Bias Analysis'!BJ$30+'Publication Bias Analysis'!BJ$31*'Publication Bias Analysis'!BF:BF),"")</f>
        <v/>
      </c>
      <c r="JC4" s="2" t="s">
        <v>242</v>
      </c>
      <c r="JD4" s="3">
        <f>MAX('Publication Bias Analysis'!BF:BF)</f>
        <v>0.56594882193286311</v>
      </c>
      <c r="JE4" s="3">
        <f>'Publication Bias Analysis'!BJ$30+JD4*'Publication Bias Analysis'!BJ$31</f>
        <v>-2.0560164586400433</v>
      </c>
      <c r="JG4" s="112"/>
      <c r="JH4" s="3" t="str">
        <f t="shared" si="98"/>
        <v/>
      </c>
      <c r="JI4" s="10" t="str">
        <f t="shared" si="124"/>
        <v/>
      </c>
      <c r="JJ4" s="35" t="str">
        <f t="shared" si="125"/>
        <v/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28"/>
      <c r="I5" s="11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1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1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1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28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282</v>
      </c>
      <c r="BB5" s="3">
        <f>CES_CI_Upper_limit-'Forest Plot'!$B$16</f>
        <v>0.93045211446788734</v>
      </c>
      <c r="BD5" s="128"/>
      <c r="BE5" s="11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0.45278242256472678</v>
      </c>
      <c r="BO5" s="11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283</v>
      </c>
      <c r="CB5" s="3">
        <f>lnCES_OddsRatio_MH-ABS(TINV((1-Confidence_level),k_-1))*SElnCES_MH</f>
        <v>-1.3384004430201839</v>
      </c>
      <c r="CD5" s="11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283</v>
      </c>
      <c r="CN5" s="3">
        <f>lnCES_PetoOddsRatio-ABS(TINV((1-Confidence_level),k_-1))*SElnCES_Peto</f>
        <v>-1.3343816986421393</v>
      </c>
      <c r="CP5" s="112"/>
      <c r="CQ5" s="52" t="str">
        <f t="shared" si="52"/>
        <v/>
      </c>
      <c r="CS5" s="2" t="s">
        <v>91</v>
      </c>
      <c r="CT5" s="3">
        <f>IF(Weighting_method="Inverse variance",IF(Model_effect_size_measure="Odds Ratio",CICES_UL,""),"")</f>
        <v>1.5726819691767859</v>
      </c>
      <c r="CU5" s="3">
        <f>IF(Model_effect_size_measure="Odds Ratio",CICES_UL_MH,"")</f>
        <v>1.5726819691767859</v>
      </c>
      <c r="CV5" s="3" t="str">
        <f>IF(Model_effect_size_measure="Peto Odds Ratio",CICES_UL_Peto,"")</f>
        <v/>
      </c>
      <c r="CX5" s="128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28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94</v>
      </c>
      <c r="FP5" s="3" t="str">
        <f>IF(FP3&lt;&gt;"",FP2-FP3*FP4,"")</f>
        <v/>
      </c>
      <c r="FR5" s="128"/>
      <c r="FS5" s="11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284</v>
      </c>
      <c r="GH5" s="3">
        <f>IF(Additional_valid_options="Yes",IF(Trim_and_fill="Off",'Publication Bias Analysis'!I29,'Publication Bias Analysis'!I37)+ABS(TINV((1-Additional_confidence_level),k_-1))*GI3,"")</f>
        <v>2.284130828594928</v>
      </c>
      <c r="GI5" s="3">
        <f>IF(Trim_and_fill="Off",GH17,GH22)</f>
        <v>0.21461481972339316</v>
      </c>
      <c r="GK5" s="11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53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0.33164696838105101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1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1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12"/>
      <c r="HX5" s="20">
        <v>4</v>
      </c>
      <c r="HY5" s="3">
        <f t="shared" si="123"/>
        <v>-0.15000000000000002</v>
      </c>
      <c r="HZ5" s="35">
        <f>HZ6-HY14</f>
        <v>-0.05</v>
      </c>
      <c r="IB5" s="11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10" t="s">
        <v>285</v>
      </c>
      <c r="II5" s="110"/>
      <c r="IK5" s="11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241</v>
      </c>
      <c r="IR5" s="2" t="s">
        <v>238</v>
      </c>
      <c r="IS5" s="2" t="s">
        <v>239</v>
      </c>
      <c r="IU5" s="11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286</v>
      </c>
      <c r="JD5" s="2" t="s">
        <v>238</v>
      </c>
      <c r="JE5" s="2" t="s">
        <v>239</v>
      </c>
      <c r="JG5" s="11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28"/>
      <c r="I6" s="11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1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1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1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28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287</v>
      </c>
      <c r="BB6" s="3">
        <f>'Forest Plot'!$B$16-CES_PI_Lower_limit</f>
        <v>0.37996501390620718</v>
      </c>
      <c r="BD6" s="128"/>
      <c r="BE6" s="11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-1.3384004430201839</v>
      </c>
      <c r="BO6" s="11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288</v>
      </c>
      <c r="CB6" s="3">
        <f>lnCES_OddsRatio_MH+ABS(TINV((1-Confidence_level),k_-1))*SElnCES_MH</f>
        <v>0.45278242256472684</v>
      </c>
      <c r="CD6" s="11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288</v>
      </c>
      <c r="CN6" s="3">
        <f>lnCES_PetoOddsRatio+ABS(TINV((1-Confidence_level),k_-1))*SElnCES_Peto</f>
        <v>0.43729433313907196</v>
      </c>
      <c r="CP6" s="112"/>
      <c r="CQ6" s="52" t="str">
        <f t="shared" si="52"/>
        <v/>
      </c>
      <c r="CS6" s="2" t="s">
        <v>289</v>
      </c>
      <c r="CT6" s="3">
        <f>IF(Weighting_method="Inverse variance",IF(Model_effect_size_measure="Odds Ratio",PICES_LL,""),"")</f>
        <v>0.26226484080269141</v>
      </c>
      <c r="CU6" s="3">
        <f>IF(Model_effect_size_measure="Odds Ratio",PICES_LL_MH,"")</f>
        <v>0.26226484080269141</v>
      </c>
      <c r="CV6" s="3" t="str">
        <f>IF(Model_effect_size_measure="Peto Odds Ratio",PICES_LL_Peto,"")</f>
        <v/>
      </c>
      <c r="CX6" s="128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28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290</v>
      </c>
      <c r="FP6" s="3" t="str">
        <f>IF(FP3&lt;&gt;"",SUM(FH:FH),"")</f>
        <v/>
      </c>
      <c r="FR6" s="128"/>
      <c r="FS6" s="11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291</v>
      </c>
      <c r="GH6" s="2" t="s">
        <v>238</v>
      </c>
      <c r="GI6" s="2" t="s">
        <v>239</v>
      </c>
      <c r="GK6" s="11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141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1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1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12"/>
      <c r="HX6" s="20">
        <v>5</v>
      </c>
      <c r="HY6" s="3">
        <f t="shared" si="123"/>
        <v>-0.05</v>
      </c>
      <c r="HZ6" s="35">
        <f>1/2*HY14</f>
        <v>0.05</v>
      </c>
      <c r="IB6" s="11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1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94</v>
      </c>
      <c r="IR6" s="3">
        <v>0</v>
      </c>
      <c r="IS6" s="3">
        <f>ABS(TINV((1-Additional_confidence_level),k_-1))*-1</f>
        <v>-12.706204736174694</v>
      </c>
      <c r="IU6" s="11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278</v>
      </c>
      <c r="JD6" s="3">
        <f>MIN('Publication Bias Analysis'!BF:BF)</f>
        <v>-0.56594882193286311</v>
      </c>
      <c r="JE6" s="3">
        <f>'Publication Bias Analysis'!BJ30</f>
        <v>-2.5440783348312941</v>
      </c>
      <c r="JG6" s="11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28"/>
      <c r="I7" s="11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1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1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1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28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292</v>
      </c>
      <c r="BB7" s="3">
        <f>CES_PI_Upper_limit-'Forest Plot'!$B$16</f>
        <v>0.93045211446788734</v>
      </c>
      <c r="BD7" s="128"/>
      <c r="BE7" s="11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0.45278242256472678</v>
      </c>
      <c r="BO7" s="11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293</v>
      </c>
      <c r="CB7" s="3">
        <f>lnCES_OddsRatio_MH-ABS(TINV((1-Confidence_level),k_-1))*SQRT(T2_MH+SElnCES_MH^2)</f>
        <v>-1.3384004430201839</v>
      </c>
      <c r="CD7" s="11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293</v>
      </c>
      <c r="CN7" s="3">
        <f>lnCES_PetoOddsRatio-ABS(TINV((1-Confidence_level),k_-1))*SQRT(T2_Peto+SElnCES_Peto^2)</f>
        <v>-1.3343816986421393</v>
      </c>
      <c r="CP7" s="112"/>
      <c r="CQ7" s="52" t="str">
        <f t="shared" si="52"/>
        <v/>
      </c>
      <c r="CS7" s="2" t="s">
        <v>294</v>
      </c>
      <c r="CT7" s="3">
        <f>IF(Weighting_method="Inverse variance",IF(Model_effect_size_measure="Odds Ratio",PICES_UL,""),"")</f>
        <v>1.5726819691767859</v>
      </c>
      <c r="CU7" s="3">
        <f>IF(Model_effect_size_measure="Odds Ratio",PICES_UL_MH,"")</f>
        <v>1.5726819691767859</v>
      </c>
      <c r="CV7" s="3" t="str">
        <f>IF(Model_effect_size_measure="Peto Odds Ratio",PICES_UL_Peto,"")</f>
        <v/>
      </c>
      <c r="CX7" s="128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28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99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28"/>
      <c r="FS7" s="11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241</v>
      </c>
      <c r="GH7" s="3">
        <f>IF(Trim_and_fill="Off",'Publication Bias Analysis'!I29,'Publication Bias Analysis'!I37)</f>
        <v>-0.44280901022772856</v>
      </c>
      <c r="GI7" s="3">
        <v>0</v>
      </c>
      <c r="GK7" s="11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295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1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1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12"/>
      <c r="HX7" s="20">
        <v>6</v>
      </c>
      <c r="HY7" s="3">
        <f t="shared" si="123"/>
        <v>0.05</v>
      </c>
      <c r="HZ7" s="35">
        <f>HZ6+HY14</f>
        <v>0.15000000000000002</v>
      </c>
      <c r="IB7" s="11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4.0210627094303494E-2</v>
      </c>
      <c r="II7" s="3">
        <f>EXP(SUMPRODUCT(LogRiskRatio,IE:IE)/SUM(IE:IE))*MAX('Publication Bias Analysis'!AH:AH)</f>
        <v>2.6129266086829837E-2</v>
      </c>
      <c r="IK7" s="11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281</v>
      </c>
      <c r="IR7" s="3">
        <f>MAX(Inverse_standard_error)</f>
        <v>5.9574936714344497</v>
      </c>
      <c r="IS7" s="3">
        <f>IR7*'Publication Bias Analysis'!AY31+IS6</f>
        <v>-15.34423661226054</v>
      </c>
      <c r="IU7" s="11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284</v>
      </c>
      <c r="JD7" s="3">
        <f>MAX('Publication Bias Analysis'!BF:BF)</f>
        <v>0.56594882193286311</v>
      </c>
      <c r="JE7" s="3">
        <f>'Publication Bias Analysis'!BJ30</f>
        <v>-2.5440783348312941</v>
      </c>
      <c r="JG7" s="11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28"/>
      <c r="I8" s="11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1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1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1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28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296</v>
      </c>
      <c r="BB8" s="9">
        <f>IF(BB2&lt;&gt;"",MAX(Weight_lookup),"")</f>
        <v>0.53166651748759575</v>
      </c>
      <c r="BD8" s="128"/>
      <c r="BE8" s="11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1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297</v>
      </c>
      <c r="CB8" s="3">
        <f>lnCES_OddsRatio_MH+ABS(TINV((1-Confidence_level),k_-1))*SQRT(T2_MH+SElnCES_MH^2)</f>
        <v>0.45278242256472684</v>
      </c>
      <c r="CD8" s="11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297</v>
      </c>
      <c r="CN8" s="3">
        <f>lnCES_PetoOddsRatio+ABS(TINV((1-Confidence_level),k_-1))*SQRT(T2_Peto+SElnCES_Peto^2)</f>
        <v>0.43729433313907196</v>
      </c>
      <c r="CP8" s="112"/>
      <c r="CQ8" s="52" t="str">
        <f t="shared" si="52"/>
        <v/>
      </c>
      <c r="CX8" s="128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28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298</v>
      </c>
      <c r="FP8" s="6">
        <f>COUNTIFS(Include_study?,"Yes",Sufficient_data,"Yes",Moderator,"&lt;&gt;")</f>
        <v>0</v>
      </c>
      <c r="FR8" s="128"/>
      <c r="FS8" s="11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242</v>
      </c>
      <c r="GH8" s="3">
        <f>IF(Trim_and_fill="Off",'Publication Bias Analysis'!I29,'Publication Bias Analysis'!I37)</f>
        <v>-0.44280901022772856</v>
      </c>
      <c r="GI8" s="3">
        <f>IF(Trim_and_fill="Off",GH17,GH22)</f>
        <v>0.21461481972339316</v>
      </c>
      <c r="GK8" s="11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1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1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12"/>
      <c r="HX8" s="20">
        <v>7</v>
      </c>
      <c r="HY8" s="3">
        <f t="shared" si="123"/>
        <v>0.15000000000000002</v>
      </c>
      <c r="HZ8" s="35">
        <f>HZ7+HY14</f>
        <v>0.25</v>
      </c>
      <c r="IB8" s="11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1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242</v>
      </c>
      <c r="IR8" s="2" t="s">
        <v>238</v>
      </c>
      <c r="IS8" s="2" t="s">
        <v>239</v>
      </c>
      <c r="IU8" s="11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1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28"/>
      <c r="I9" s="11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1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1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1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28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28"/>
      <c r="BE9" s="11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0.6422298547088986</v>
      </c>
      <c r="BO9" s="11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1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12"/>
      <c r="CQ9" s="52" t="str">
        <f t="shared" si="52"/>
        <v/>
      </c>
      <c r="CS9" s="110" t="s">
        <v>145</v>
      </c>
      <c r="CT9" s="110"/>
      <c r="CU9" s="110"/>
      <c r="CV9" s="110"/>
      <c r="CX9" s="128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28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28"/>
      <c r="FS9" s="11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1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10" t="s">
        <v>98</v>
      </c>
      <c r="GW9" s="110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1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1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12"/>
      <c r="HX9" s="20">
        <v>8</v>
      </c>
      <c r="HY9" s="3">
        <f t="shared" si="123"/>
        <v>0.25</v>
      </c>
      <c r="HZ9" s="35">
        <f>HZ8+HY14</f>
        <v>0.35</v>
      </c>
      <c r="IB9" s="11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1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94</v>
      </c>
      <c r="IR9" s="3">
        <v>0</v>
      </c>
      <c r="IS9" s="3">
        <f>ABS(TINV((1-Additional_confidence_level),k_-1))</f>
        <v>12.706204736174694</v>
      </c>
      <c r="IU9" s="11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1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28"/>
      <c r="I10" s="11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1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1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1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28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28"/>
      <c r="BE10" s="11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1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299</v>
      </c>
      <c r="CB10" s="3">
        <f>IF(Meta_analysis_model="Fixed effect model",SUMPRODUCT(Weightf_MH,OddsRatio)/SUM(Weightf_MH),EXP(SUMPRODUCT(Weight_MH,LogOddsRatio)/SUM(Weight_MH)))</f>
        <v>0.6422298547088986</v>
      </c>
      <c r="CD10" s="11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300</v>
      </c>
      <c r="CN10" s="3">
        <f>EXP(lnCES_PetoOddsRatio)</f>
        <v>0.63855741698543977</v>
      </c>
      <c r="CP10" s="112"/>
      <c r="CQ10" s="52" t="str">
        <f t="shared" si="52"/>
        <v/>
      </c>
      <c r="CS10" s="2"/>
      <c r="CT10" s="2" t="s">
        <v>33</v>
      </c>
      <c r="CU10" s="2" t="s">
        <v>57</v>
      </c>
      <c r="CV10" s="2" t="s">
        <v>58</v>
      </c>
      <c r="CX10" s="128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28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301</v>
      </c>
      <c r="FP10" s="1"/>
      <c r="FR10" s="128"/>
      <c r="FS10" s="11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10" t="s">
        <v>52</v>
      </c>
      <c r="GH10" s="110"/>
      <c r="GK10" s="11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-0.44280901022772856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1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1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12"/>
      <c r="HX10" s="54">
        <v>9</v>
      </c>
      <c r="HY10" s="32">
        <f t="shared" si="123"/>
        <v>0.35</v>
      </c>
      <c r="HZ10" s="39"/>
      <c r="IB10" s="11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1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281</v>
      </c>
      <c r="IR10" s="3">
        <f>MAX(Inverse_standard_error)</f>
        <v>5.9574936714344497</v>
      </c>
      <c r="IS10" s="3">
        <f>IR10*'Publication Bias Analysis'!AY31+IS9</f>
        <v>10.068172860088849</v>
      </c>
      <c r="IU10" s="11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1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28"/>
      <c r="I11" s="11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1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1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1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28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28"/>
      <c r="BE11" s="11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302</v>
      </c>
      <c r="BM11" s="3">
        <f>IF(Model_effect_size_measure="Risk Difference",CES_IV-ABS(TINV((1-Confidence_level),k_-1))*SECES_Risk_Difference,EXP(CIlnCES_LL))</f>
        <v>0.26226484080269141</v>
      </c>
      <c r="BO11" s="11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302</v>
      </c>
      <c r="CB11" s="3">
        <f>EXP(CIlnCES_LL_MH)</f>
        <v>0.26226484080269141</v>
      </c>
      <c r="CD11" s="11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302</v>
      </c>
      <c r="CN11" s="3">
        <f>EXP(CIlnCES_LL_Peto)</f>
        <v>0.26332093682584801</v>
      </c>
      <c r="CP11" s="112"/>
      <c r="CQ11" s="52" t="str">
        <f t="shared" si="52"/>
        <v/>
      </c>
      <c r="CS11" s="2" t="s">
        <v>276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0.64993910301407964</v>
      </c>
      <c r="CU11" s="3">
        <f>IF(Model_effect_size_measure="Odds Ratio",CES_OddsRatio_MH/(1-MEDIAN(Control_group_risk)+(MEDIAN(Control_group_risk)*CES_OddsRatio_MH)),NA())</f>
        <v>0.64993910301407964</v>
      </c>
      <c r="CV11" s="3" t="e">
        <f>IF(Model_effect_size_measure="Peto Odds Ratio",CES_PetoOddsRatio/(1-MEDIAN(Control_group_risk)+(MEDIAN(Control_group_risk)*CES_PetoOddsRatio)),NA())</f>
        <v>#N/A</v>
      </c>
      <c r="CX11" s="128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191</v>
      </c>
      <c r="EY11" s="3" t="e">
        <f>IF(Subgroup_valid_options="Yes",IF(Subgroup_effect_size_measure="Risk Difference",EY9-ABS(TINV((1-Subgroup_confidence_level),Subgroup_k-1))*EY10,EXP(EY4)),"")</f>
        <v>#DIV/0!</v>
      </c>
      <c r="FA11" s="128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238</v>
      </c>
      <c r="FP11" s="2" t="s">
        <v>239</v>
      </c>
      <c r="FR11" s="128"/>
      <c r="FS11" s="11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53</v>
      </c>
      <c r="GH11" s="3">
        <f>SUMPRODUCT(Calculations!FT:FT,'Publication Bias Analysis'!E:E,'Publication Bias Analysis'!E:E)-SUMPRODUCT(Calculations!FT:FT,'Publication Bias Analysis'!E:E)^2/SUM(Calculations!FT:FT)</f>
        <v>0.33164696838105101</v>
      </c>
      <c r="GK11" s="11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10" t="s">
        <v>52</v>
      </c>
      <c r="GW11" s="110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1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1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12"/>
      <c r="IB11" s="11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1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1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1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28"/>
      <c r="I12" s="11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1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1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1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28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28"/>
      <c r="BE12" s="11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303</v>
      </c>
      <c r="BM12" s="3">
        <f>IF(Model_effect_size_measure="Risk Difference",CES_IV+ABS(TINV((1-Confidence_level),k_-1))*SECES_Risk_Difference,EXP(CIlnCES_UL))</f>
        <v>1.5726819691767859</v>
      </c>
      <c r="BO12" s="11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303</v>
      </c>
      <c r="CB12" s="3">
        <f>EXP(CIlnCES_UL_MH)</f>
        <v>1.5726819691767859</v>
      </c>
      <c r="CD12" s="11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303</v>
      </c>
      <c r="CN12" s="3">
        <f>EXP(CIlnCES_UL_Peto)</f>
        <v>1.5485117883231334</v>
      </c>
      <c r="CP12" s="112"/>
      <c r="CQ12" s="52" t="str">
        <f t="shared" si="52"/>
        <v/>
      </c>
      <c r="CS12" s="2" t="s">
        <v>90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0.26884036263655264</v>
      </c>
      <c r="CU12" s="3">
        <f>IF(Model_effect_size_measure="Odds Ratio",CICES_LL_MH/(1-MEDIAN(Control_group_risk)+(MEDIAN(Control_group_risk)*CICES_LL_MH)),"")</f>
        <v>0.26884036263655264</v>
      </c>
      <c r="CV12" s="3" t="str">
        <f>IF(Model_effect_size_measure="Peto Odds Ratio",CICES_LL_Peto/(1-MEDIAN(Control_group_risk)+(MEDIAN(Control_group_risk)*CICES_LL_Peto)),"")</f>
        <v/>
      </c>
      <c r="CX12" s="128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192</v>
      </c>
      <c r="EY12" s="3" t="e">
        <f>IF(Subgroup_valid_options="Yes",IF(Subgroup_effect_size_measure="Risk Difference",EY9+ABS(TINV((1-Subgroup_confidence_level),Subgroup_k-1))*EY10,EXP(EY5)),"")</f>
        <v>#DIV/0!</v>
      </c>
      <c r="FA12" s="128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28"/>
      <c r="FS12" s="11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141</v>
      </c>
      <c r="GH12" s="3">
        <f>MAX(0,(GH11-(k_-1))/((SUM(Calculations!FT:FT))-SUMPRODUCT(Calculations!FT:FT,Calculations!FT:FT)/SUM(Calculations!FT:FT)))</f>
        <v>0</v>
      </c>
      <c r="GK12" s="11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53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0.33164696838105101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1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1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12"/>
      <c r="HX12" s="130" t="s">
        <v>304</v>
      </c>
      <c r="HY12" s="110"/>
      <c r="IB12" s="11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1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1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1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28"/>
      <c r="I13" s="11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1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1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1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28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28"/>
      <c r="BE13" s="11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305</v>
      </c>
      <c r="BM13" s="3">
        <f>IF(Model_effect_size_measure="Risk Difference",CES_IV-ABS(TINV((1-Confidence_level),k_-1))*SQRT(T2_+SECES_Risk_Difference^2),EXP(PIlnCES_LL))</f>
        <v>0.26226484080269141</v>
      </c>
      <c r="BO13" s="11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305</v>
      </c>
      <c r="CB13" s="3">
        <f>EXP(PIlnCES_LL_MH)</f>
        <v>0.26226484080269141</v>
      </c>
      <c r="CD13" s="11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305</v>
      </c>
      <c r="CN13" s="3">
        <f>EXP(PIlnCES_LL_Peto)</f>
        <v>0.26332093682584801</v>
      </c>
      <c r="CP13" s="112"/>
      <c r="CQ13" s="52" t="str">
        <f t="shared" si="52"/>
        <v/>
      </c>
      <c r="CS13" s="2" t="s">
        <v>91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1.5433783551864091</v>
      </c>
      <c r="CU13" s="3">
        <f>IF(Model_effect_size_measure="Odds Ratio",CICES_UL_MH/(1-MEDIAN(Control_group_risk)+(MEDIAN(Control_group_risk)*CICES_UL_MH)),"")</f>
        <v>1.5433783551864091</v>
      </c>
      <c r="CV13" s="3" t="str">
        <f>IF(Model_effect_size_measure="Peto Odds Ratio",CICES_UL_Peto/(1-MEDIAN(Control_group_risk)+(MEDIAN(Control_group_risk)*CICES_UL_Peto)),"")</f>
        <v/>
      </c>
      <c r="CX13" s="128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306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28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28"/>
      <c r="FS13" s="11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1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141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1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1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12"/>
      <c r="HX13" s="2" t="s">
        <v>307</v>
      </c>
      <c r="HY13" s="3">
        <f>MAX(MAX(Standardized_residual),ABS(MIN(Standardized_residual)))</f>
        <v>0.57588798249403328</v>
      </c>
      <c r="IB13" s="11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1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1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1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28"/>
      <c r="I14" s="11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1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1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1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28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28"/>
      <c r="BE14" s="11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308</v>
      </c>
      <c r="BM14" s="3">
        <f>IF(Model_effect_size_measure="Risk Difference",CES_IV+ABS(TINV((1-Confidence_level),k_-1))*SQRT(T2_+SECES_Risk_Difference^2),EXP(PIlnCES_UL))</f>
        <v>1.5726819691767859</v>
      </c>
      <c r="BO14" s="11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308</v>
      </c>
      <c r="CB14" s="3">
        <f>EXP(PIlnCES_UL_MH)</f>
        <v>1.5726819691767859</v>
      </c>
      <c r="CD14" s="11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308</v>
      </c>
      <c r="CN14" s="3">
        <f>EXP(PIlnCES_UL_Peto)</f>
        <v>1.5485117883231334</v>
      </c>
      <c r="CP14" s="112"/>
      <c r="CQ14" s="52" t="str">
        <f t="shared" si="52"/>
        <v/>
      </c>
      <c r="CS14" s="2" t="s">
        <v>289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0.26884036263655264</v>
      </c>
      <c r="CU14" s="3">
        <f>IF(Model_effect_size_measure="Odds Ratio",PICES_LL_MH/(1-MEDIAN(Control_group_risk)+(MEDIAN(Control_group_risk)*PICES_LL_MH)),"")</f>
        <v>0.26884036263655264</v>
      </c>
      <c r="CV14" s="3" t="str">
        <f>IF(Model_effect_size_measure="Peto Odds Ratio",PICES_LL_Peto/(1-MEDIAN(Control_group_risk)+(MEDIAN(Control_group_risk)*PICES_LL_Peto)),"")</f>
        <v/>
      </c>
      <c r="CX14" s="128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309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28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28"/>
      <c r="FS14" s="11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10" t="s">
        <v>310</v>
      </c>
      <c r="GH14" s="110"/>
      <c r="GK14" s="11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295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1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1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12"/>
      <c r="HX14" s="2" t="s">
        <v>304</v>
      </c>
      <c r="HY14" s="21">
        <f>ROUND(HY13/4,1)</f>
        <v>0.1</v>
      </c>
      <c r="IB14" s="11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1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1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1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28"/>
      <c r="I15" s="11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1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1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1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28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28"/>
      <c r="BE15" s="11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1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1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12"/>
      <c r="CQ15" s="52" t="str">
        <f t="shared" si="52"/>
        <v/>
      </c>
      <c r="CS15" s="2" t="s">
        <v>294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1.5433783551864091</v>
      </c>
      <c r="CU15" s="3">
        <f>IF(Model_effect_size_measure="Odds Ratio",PICES_UL_MH/(1-MEDIAN(Control_group_risk)+(MEDIAN(Control_group_risk)*PICES_UL_MH)),"")</f>
        <v>1.5433783551864091</v>
      </c>
      <c r="CV15" s="3" t="str">
        <f>IF(Model_effect_size_measure="Peto Odds Ratio",PICES_UL_Peto/(1-MEDIAN(Control_group_risk)+(MEDIAN(Control_group_risk)*PICES_UL_Peto)),"")</f>
        <v/>
      </c>
      <c r="CX15" s="128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28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28"/>
      <c r="FS15" s="11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311</v>
      </c>
      <c r="GH15" s="3">
        <f>IF(Additional_valid_options="Yes",'Publication Bias Analysis'!I29-'Publication Bias Analysis'!I31,NA())</f>
        <v>1.5551486747715484</v>
      </c>
      <c r="GK15" s="11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1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1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12"/>
      <c r="IB15" s="11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1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1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1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28"/>
      <c r="I16" s="11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1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1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1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28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28"/>
      <c r="BE16" s="11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47</v>
      </c>
      <c r="BM16" s="3">
        <f>IF(Model_effect_size_measure="Risk Difference",CES_IV/SECES_Risk_Difference,lnCES_IV/SElnCES)</f>
        <v>-6.2823534671755423</v>
      </c>
      <c r="BO16" s="11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47</v>
      </c>
      <c r="CB16" s="3">
        <f>lnCES_OddsRatio_MH/SElnCES_MH</f>
        <v>-6.2823534671755414</v>
      </c>
      <c r="CD16" s="11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47</v>
      </c>
      <c r="CN16" s="3">
        <f>lnCES_PetoOddsRatio/SElnCES_Peto</f>
        <v>-6.4337810795225518</v>
      </c>
      <c r="CP16" s="112"/>
      <c r="CQ16" s="52" t="str">
        <f t="shared" si="52"/>
        <v/>
      </c>
      <c r="CX16" s="128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10" t="s">
        <v>312</v>
      </c>
      <c r="EY16" s="110"/>
      <c r="FA16" s="128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28"/>
      <c r="FS16" s="11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313</v>
      </c>
      <c r="GH16" s="3">
        <f>IF(Additional_valid_options="Yes",'Publication Bias Analysis'!I29-'Publication Bias Analysis'!I33,NA())</f>
        <v>1.5551486747715484</v>
      </c>
      <c r="GK16" s="11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10" t="s">
        <v>98</v>
      </c>
      <c r="GW16" s="110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1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1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12"/>
      <c r="IB16" s="11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1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1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1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28"/>
      <c r="I17" s="11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1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1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1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28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28"/>
      <c r="BE17" s="11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1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1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12"/>
      <c r="CQ17" s="52" t="str">
        <f t="shared" si="52"/>
        <v/>
      </c>
      <c r="CS17" s="110" t="s">
        <v>164</v>
      </c>
      <c r="CT17" s="110"/>
      <c r="CU17" s="110"/>
      <c r="CV17" s="110"/>
      <c r="CX17" s="128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53</v>
      </c>
      <c r="EY17" s="3" t="e">
        <f>SUMPRODUCT(Subgroup_weightf,Subgroup_effect_size,Subgroup_effect_size)-SUMPRODUCT(Subgroup_weightf,Subgroup_effect_size)^2/SUM(Subgroup_weightf)</f>
        <v>#DIV/0!</v>
      </c>
      <c r="FA17" s="128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28"/>
      <c r="FS17" s="11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314</v>
      </c>
      <c r="GH17" s="3">
        <f>IF(Additional_valid_options="Yes",MAX('Publication Bias Analysis'!F:F)*1.1,NA())</f>
        <v>0.19673025141311043</v>
      </c>
      <c r="GK17" s="11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-0.44280901022772856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1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1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12"/>
      <c r="IB17" s="11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1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1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1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28"/>
      <c r="I18" s="11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1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1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1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28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28"/>
      <c r="BE18" s="11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52</v>
      </c>
      <c r="BM18" s="28"/>
      <c r="BO18" s="11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10" t="s">
        <v>52</v>
      </c>
      <c r="CB18" s="110"/>
      <c r="CD18" s="11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52</v>
      </c>
      <c r="CN18" s="1"/>
      <c r="CP18" s="112"/>
      <c r="CQ18" s="52" t="str">
        <f t="shared" si="52"/>
        <v/>
      </c>
      <c r="CS18" s="2"/>
      <c r="CT18" s="2" t="s">
        <v>33</v>
      </c>
      <c r="CU18" s="2" t="s">
        <v>57</v>
      </c>
      <c r="CV18" s="2" t="s">
        <v>58</v>
      </c>
      <c r="CX18" s="128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54</v>
      </c>
      <c r="EY18" s="3" t="e">
        <f>CHIDIST(EY17,Subgroup_k-1)</f>
        <v>#DIV/0!</v>
      </c>
      <c r="FA18" s="128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28"/>
      <c r="FS18" s="11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1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10" t="s">
        <v>52</v>
      </c>
      <c r="GW18" s="110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1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1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12"/>
      <c r="IB18" s="11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1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1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1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28"/>
      <c r="I19" s="11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1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1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1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28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28"/>
      <c r="BE19" s="11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53</v>
      </c>
      <c r="BM19" s="3">
        <f>SUMPRODUCT(Weightf,Model_Effect_size,Model_Effect_size)-SUMPRODUCT(Weightf,Model_Effect_size)^2/SUM(Weightf)</f>
        <v>0.33164696838105101</v>
      </c>
      <c r="BO19" s="11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53</v>
      </c>
      <c r="CB19" s="3">
        <f>SUM(Weighted_squared_residual)</f>
        <v>0.33165659096676453</v>
      </c>
      <c r="CD19" s="11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53</v>
      </c>
      <c r="CN19" s="3">
        <f>SUMPRODUCT(Weightf_Peto,LogPetoOddsRatio,LogPetoOddsRatio)-SUMPRODUCT(Weightf_Peto,LogPetoOddsRatio)^2/SUM(Weightf_Peto)</f>
        <v>0.32185879340517687</v>
      </c>
      <c r="CP19" s="112"/>
      <c r="CQ19" s="52" t="str">
        <f t="shared" si="52"/>
        <v/>
      </c>
      <c r="CS19" s="2" t="s">
        <v>276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-1.1605901255643983E-2</v>
      </c>
      <c r="CU19" s="3">
        <f>IF(Model_effect_size_measure="Odds Ratio",CU11*MEDIAN(Control_group_risk)-MEDIAN(Control_group_risk),NA())</f>
        <v>-1.1605901255643983E-2</v>
      </c>
      <c r="CV19" s="3" t="e">
        <f>IF(Model_effect_size_measure="Peto Odds Ratio",CV11*MEDIAN(Control_group_risk)-MEDIAN(Control_group_risk),NA())</f>
        <v>#N/A</v>
      </c>
      <c r="CX19" s="128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55</v>
      </c>
      <c r="EY19" s="9" t="e">
        <f>MAX(0,(EY17-(Subgroup_k-1))/EY17)</f>
        <v>#DIV/0!</v>
      </c>
      <c r="FA19" s="128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28"/>
      <c r="FS19" s="11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10" t="s">
        <v>315</v>
      </c>
      <c r="GH19" s="110"/>
      <c r="GK19" s="11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53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0.33164696838105101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1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1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12"/>
      <c r="IB19" s="11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1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1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1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28"/>
      <c r="I20" s="11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1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1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1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28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28"/>
      <c r="BE20" s="11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141</v>
      </c>
      <c r="BM20" s="3">
        <f>MAX((Q_-(k_-1))/(SUM(Weightf)-SUMPRODUCT(Weightf,Weightf)/SUM(Weightf)),0)</f>
        <v>0</v>
      </c>
      <c r="BO20" s="11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141</v>
      </c>
      <c r="CB20" s="3">
        <f>MAX((Q_MH-(k_-1))/(SUM(Weightf_MH)-SUMPRODUCT(Weightf_MH,Weightf_MH)/SUM(Weightf_MH)),0)</f>
        <v>0</v>
      </c>
      <c r="CD20" s="11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141</v>
      </c>
      <c r="CN20" s="3">
        <f>MAX((Q_Peto-(k_-1))/(SUM(Weightf_Peto)-SUMPRODUCT(Weightf_Peto,Weightf_Peto)/SUM(Weightf_Peto)),0)</f>
        <v>0</v>
      </c>
      <c r="CP20" s="112"/>
      <c r="CQ20" s="52" t="str">
        <f t="shared" si="52"/>
        <v/>
      </c>
      <c r="CS20" s="2" t="s">
        <v>316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1.8473811313360936E-3</v>
      </c>
      <c r="CU20" s="3">
        <f>IF(Model_effect_size_measure="Odds Ratio",CU19/Z_value_MH,"")</f>
        <v>1.8473811313360938E-3</v>
      </c>
      <c r="CV20" s="3" t="str">
        <f>IF(Model_effect_size_measure="Peto Odds Ratio",CV19/Z_value_Peto,"")</f>
        <v/>
      </c>
      <c r="CX20" s="128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141</v>
      </c>
      <c r="EY20" s="3" t="e">
        <f>MAX(0,(EY17-(Subgroup_k-1))/(SUM(Subgroup_weightf)-(SUMPRODUCT(Subgroup_weightf,Subgroup_weightf)/SUM(Subgroup_weightf))))</f>
        <v>#DIV/0!</v>
      </c>
      <c r="FA20" s="128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28"/>
      <c r="FS20" s="11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317</v>
      </c>
      <c r="GH20" s="3">
        <f>IF(AND(Trim_and_fill="On",Additional_valid_options="Yes"),'Publication Bias Analysis'!I37-'Publication Bias Analysis'!I39,NA())</f>
        <v>1.5551486747715484</v>
      </c>
      <c r="GK20" s="11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141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1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1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12"/>
      <c r="IB20" s="11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1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1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1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28"/>
      <c r="I21" s="11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1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1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1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28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28"/>
      <c r="BE21" s="11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1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1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12"/>
      <c r="CQ21" s="52" t="str">
        <f t="shared" si="52"/>
        <v/>
      </c>
      <c r="CS21" s="2" t="s">
        <v>90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-3.507910413614642E-2</v>
      </c>
      <c r="CU21" s="3">
        <f>IF(Model_effect_size_measure="Odds Ratio",CU19-CU20*ABS(TINV((1-Confidence_level),k_-1)),"")</f>
        <v>-3.5079104136146427E-2</v>
      </c>
      <c r="CV21" s="3" t="str">
        <f>IF(Model_effect_size_measure="Peto Odds Ratio",CV19-CV20*ABS(TINV((1-Confidence_level),k_-1)),"")</f>
        <v/>
      </c>
      <c r="CX21" s="128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65</v>
      </c>
      <c r="EY21" s="3" t="e">
        <f>SQRT(EY20)</f>
        <v>#DIV/0!</v>
      </c>
      <c r="FA21" s="128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28"/>
      <c r="FS21" s="11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318</v>
      </c>
      <c r="GH21" s="3">
        <f>IF(AND(Trim_and_fill="On",Additional_valid_options="Yes"),'Publication Bias Analysis'!I37-'Publication Bias Analysis'!I41,NA())</f>
        <v>1.5551486747715484</v>
      </c>
      <c r="GK21" s="11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295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1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1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12"/>
      <c r="IB21" s="11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1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1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1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28"/>
      <c r="I22" s="11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1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1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1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28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28"/>
      <c r="BE22" s="11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1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1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12"/>
      <c r="CQ22" s="52" t="str">
        <f t="shared" si="52"/>
        <v/>
      </c>
      <c r="CS22" s="2" t="s">
        <v>91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1.1867301624858453E-2</v>
      </c>
      <c r="CU22" s="3">
        <f>IF(Model_effect_size_measure="Odds Ratio",CU19+CU20*ABS(TINV((1-Confidence_level),k_-1)),"")</f>
        <v>1.1867301624858457E-2</v>
      </c>
      <c r="CV22" s="3" t="str">
        <f>IF(Model_effect_size_measure="Peto Odds Ratio",CV19+CV20*ABS(TINV((1-Confidence_level),k_-1)),"")</f>
        <v/>
      </c>
      <c r="CX22" s="128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28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28"/>
      <c r="FS22" s="11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319</v>
      </c>
      <c r="GH22" s="3">
        <f>IF(AND(Trim_and_fill="On",Additional_valid_options="Yes"),MAX('Publication Bias Analysis'!F:F)*1.2,NA())</f>
        <v>0.21461481972339316</v>
      </c>
      <c r="GK22" s="11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1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1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12"/>
      <c r="IB22" s="11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1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1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1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28"/>
      <c r="I23" s="11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1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1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1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28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28"/>
      <c r="BE23" s="11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1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1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12"/>
      <c r="CQ23" s="52" t="str">
        <f t="shared" si="52"/>
        <v/>
      </c>
      <c r="CS23" s="2" t="s">
        <v>289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-3.507910413614642E-2</v>
      </c>
      <c r="CU23" s="3">
        <f>IF(Model_effect_size_measure="Odds Ratio",CU19-((lnCES_OddsRatio_MH-PIlnCES_LL_MH)/SElnCES_MH)*CU20,"")</f>
        <v>-3.5079104136146427E-2</v>
      </c>
      <c r="CV23" s="3" t="str">
        <f>IF(Model_effect_size_measure="Peto Odds Ratio",CV19-((lnCES_PetoOddsRatio-PIlnCES_LL_Peto)/SElnCES_Peto)*CV20,"")</f>
        <v/>
      </c>
      <c r="CX23" s="128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10" t="s">
        <v>320</v>
      </c>
      <c r="EY23" s="110"/>
      <c r="FA23" s="128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28"/>
      <c r="FS23" s="11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1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1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1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12"/>
      <c r="IB23" s="11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1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1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1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28"/>
      <c r="I24" s="11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1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1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1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28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28"/>
      <c r="BE24" s="11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1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1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12"/>
      <c r="CQ24" s="52" t="str">
        <f t="shared" si="52"/>
        <v/>
      </c>
      <c r="CS24" s="2" t="s">
        <v>294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1.1867301624858453E-2</v>
      </c>
      <c r="CU24" s="3">
        <f>IF(Model_effect_size_measure="Odds Ratio",CU19+((lnCES_OddsRatio_MH-PIlnCES_LL_MH)/SElnCES_MH)*CU20,"")</f>
        <v>1.186730162485846E-2</v>
      </c>
      <c r="CV24" s="3" t="str">
        <f>IF(Model_effect_size_measure="Peto Odds Ratio",CV19+((lnCES_PetoOddsRatio-PIlnCES_LL_Peto)/SElnCES_Peto)*CV20,"")</f>
        <v/>
      </c>
      <c r="CX24" s="128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257</v>
      </c>
      <c r="EY24" s="3" t="e">
        <f>EY9</f>
        <v>#DIV/0!</v>
      </c>
      <c r="FA24" s="128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28"/>
      <c r="FS24" s="11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1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1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1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12"/>
      <c r="IB24" s="11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1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1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1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28"/>
      <c r="I25" s="11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1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1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1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28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28"/>
      <c r="BE25" s="11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1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1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12"/>
      <c r="CQ25" s="52" t="str">
        <f t="shared" si="52"/>
        <v/>
      </c>
      <c r="CX25" s="128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274</v>
      </c>
      <c r="EY25" s="6">
        <f>IF(Subgroup_valid_options="Yes",MAX(DP:DP)+1,"")</f>
        <v>1</v>
      </c>
      <c r="FA25" s="128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28"/>
      <c r="FS25" s="11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1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1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1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12"/>
      <c r="IB25" s="11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1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1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1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28"/>
      <c r="I26" s="11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1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1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1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28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28"/>
      <c r="BE26" s="11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1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1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12"/>
      <c r="CQ26" s="52" t="str">
        <f t="shared" si="52"/>
        <v/>
      </c>
      <c r="CX26" s="128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321</v>
      </c>
      <c r="EY26" s="6">
        <f>IF(Subgroup_valid_options="Yes",MAX(DR:DR)+1,"")</f>
        <v>1</v>
      </c>
      <c r="FA26" s="128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28"/>
      <c r="FS26" s="11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1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1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1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12"/>
      <c r="IB26" s="11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1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1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1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28"/>
      <c r="I27" s="11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1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1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1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28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28"/>
      <c r="BE27" s="11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1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1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12"/>
      <c r="CQ27" s="52" t="str">
        <f t="shared" si="52"/>
        <v/>
      </c>
      <c r="CX27" s="128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279</v>
      </c>
      <c r="EY27" s="3" t="e">
        <f>IF(Subgroup_valid_options="Yes",EY9-EY11,"")</f>
        <v>#DIV/0!</v>
      </c>
      <c r="FA27" s="128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28"/>
      <c r="FS27" s="11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1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1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1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12"/>
      <c r="IB27" s="11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1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1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1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28"/>
      <c r="I28" s="11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1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1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1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28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28"/>
      <c r="BE28" s="11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1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1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12"/>
      <c r="CQ28" s="52" t="str">
        <f t="shared" si="52"/>
        <v/>
      </c>
      <c r="CX28" s="128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282</v>
      </c>
      <c r="EY28" s="3" t="e">
        <f>IF(Subgroup_valid_options="Yes",EY12-EY9,"")</f>
        <v>#DIV/0!</v>
      </c>
      <c r="FA28" s="128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28"/>
      <c r="FS28" s="11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1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1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1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12"/>
      <c r="IB28" s="11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1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1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1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28"/>
      <c r="I29" s="11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1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1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1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28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28"/>
      <c r="BE29" s="11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1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1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12"/>
      <c r="CQ29" s="52" t="str">
        <f t="shared" si="52"/>
        <v/>
      </c>
      <c r="CX29" s="128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287</v>
      </c>
      <c r="EY29" s="3" t="e">
        <f>IF(Subgroup_valid_options="Yes",EY9-EY13,"")</f>
        <v>#DIV/0!</v>
      </c>
      <c r="FA29" s="128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28"/>
      <c r="FS29" s="11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1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1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1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12"/>
      <c r="IB29" s="11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1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1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1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28"/>
      <c r="I30" s="11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1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1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1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28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28"/>
      <c r="BE30" s="11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1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1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12"/>
      <c r="CQ30" s="52" t="str">
        <f t="shared" si="52"/>
        <v/>
      </c>
      <c r="CX30" s="128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292</v>
      </c>
      <c r="EY30" s="3" t="e">
        <f>IF(Subgroup_valid_options="Yes",EY14-EY9,"")</f>
        <v>#DIV/0!</v>
      </c>
      <c r="FA30" s="128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28"/>
      <c r="FS30" s="11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1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1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1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12"/>
      <c r="IB30" s="11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1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1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1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28"/>
      <c r="I31" s="11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1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1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1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28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28"/>
      <c r="BE31" s="11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1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1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12"/>
      <c r="CQ31" s="52" t="str">
        <f t="shared" si="52"/>
        <v/>
      </c>
      <c r="CX31" s="128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322</v>
      </c>
      <c r="EY31" s="3">
        <f>IF(Subgroup_valid_options="Yes",MAX(ER:ER),"")</f>
        <v>0</v>
      </c>
      <c r="FA31" s="128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28"/>
      <c r="FS31" s="11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1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1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1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12"/>
      <c r="IB31" s="11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1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1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1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28"/>
      <c r="I32" s="11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1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1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1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28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28"/>
      <c r="BE32" s="11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1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1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12"/>
      <c r="CQ32" s="52" t="str">
        <f t="shared" si="52"/>
        <v/>
      </c>
      <c r="CX32" s="128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28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28"/>
      <c r="FS32" s="11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1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1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1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12"/>
      <c r="IB32" s="11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1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1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1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28"/>
      <c r="I33" s="11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1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1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1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28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28"/>
      <c r="BE33" s="11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1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1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12"/>
      <c r="CQ33" s="52" t="str">
        <f t="shared" si="52"/>
        <v/>
      </c>
      <c r="CX33" s="128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10" t="s">
        <v>323</v>
      </c>
      <c r="EY33" s="110"/>
      <c r="FA33" s="128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28"/>
      <c r="FS33" s="11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1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1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1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12"/>
      <c r="IB33" s="11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1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1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1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28"/>
      <c r="I34" s="11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1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1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1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28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28"/>
      <c r="BE34" s="11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1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1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12"/>
      <c r="CQ34" s="52" t="str">
        <f t="shared" ref="CQ34:CQ97" si="175">IF(AND(Sufficient_data="Yes",Include_study?="Yes"),c_/(c_+d_),"")</f>
        <v/>
      </c>
      <c r="CX34" s="128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324</v>
      </c>
      <c r="EY34" s="3" t="e">
        <f>IF(Subgroup_valid_options="Yes",SUMPRODUCT(ES:ES,DZ:DZ,DZ:DZ)-SUMPRODUCT(ES:ES,DZ:DZ)^2/SUM(ES:ES),"")</f>
        <v>#DIV/0!</v>
      </c>
      <c r="FA34" s="128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28"/>
      <c r="FS34" s="11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1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1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1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12"/>
      <c r="IB34" s="11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1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1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1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28"/>
      <c r="I35" s="11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1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1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1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28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28"/>
      <c r="BE35" s="11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1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1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12"/>
      <c r="CQ35" s="52" t="str">
        <f t="shared" si="175"/>
        <v/>
      </c>
      <c r="CX35" s="128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141</v>
      </c>
      <c r="EY35" s="3" t="e">
        <f>IF(Subgroup_valid_options="Yes",MAX(0,(EY34-(COUNT(DT:DT)-1))/(SUM(ES:ES)-(SUMPRODUCT(ES:ES,ES:ES)/SUM(ES:ES)))),"")</f>
        <v>#DIV/0!</v>
      </c>
      <c r="FA35" s="128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28"/>
      <c r="FS35" s="11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1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1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1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12"/>
      <c r="IB35" s="11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1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1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1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28"/>
      <c r="I36" s="11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1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1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1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28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28"/>
      <c r="BE36" s="11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1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1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12"/>
      <c r="CQ36" s="52" t="str">
        <f t="shared" si="175"/>
        <v/>
      </c>
      <c r="CX36" s="128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28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28"/>
      <c r="FS36" s="11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1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1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1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12"/>
      <c r="IB36" s="11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1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1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1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28"/>
      <c r="I37" s="11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1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1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1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28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28"/>
      <c r="BE37" s="11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1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1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12"/>
      <c r="CQ37" s="52" t="str">
        <f t="shared" si="175"/>
        <v/>
      </c>
      <c r="CX37" s="128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10" t="s">
        <v>325</v>
      </c>
      <c r="EY37" s="110"/>
      <c r="FA37" s="128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28"/>
      <c r="FS37" s="11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1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1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1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12"/>
      <c r="IB37" s="11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1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1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1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28"/>
      <c r="I38" s="11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1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1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1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28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28"/>
      <c r="BE38" s="11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1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1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12"/>
      <c r="CQ38" s="52" t="str">
        <f t="shared" si="175"/>
        <v/>
      </c>
      <c r="CX38" s="128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87</v>
      </c>
      <c r="EY38" s="3"/>
      <c r="FA38" s="128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28"/>
      <c r="FS38" s="11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1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1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1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12"/>
      <c r="IB38" s="11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1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1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1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28"/>
      <c r="I39" s="11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1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1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1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28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28"/>
      <c r="BE39" s="11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1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1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12"/>
      <c r="CQ39" s="52" t="str">
        <f t="shared" si="175"/>
        <v/>
      </c>
      <c r="CX39" s="128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75</v>
      </c>
      <c r="EY39" s="3"/>
      <c r="FA39" s="128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28"/>
      <c r="FS39" s="11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1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1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1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12"/>
      <c r="IB39" s="11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1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1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1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28"/>
      <c r="I40" s="11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1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1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1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28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28"/>
      <c r="BE40" s="11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1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1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12"/>
      <c r="CQ40" s="52" t="str">
        <f t="shared" si="175"/>
        <v/>
      </c>
      <c r="CX40" s="128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28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28"/>
      <c r="FS40" s="11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1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1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1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12"/>
      <c r="IB40" s="11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1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1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1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28"/>
      <c r="I41" s="11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1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1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1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28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28"/>
      <c r="BE41" s="11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1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1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12"/>
      <c r="CQ41" s="52" t="str">
        <f t="shared" si="175"/>
        <v/>
      </c>
      <c r="CX41" s="128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10" t="s">
        <v>326</v>
      </c>
      <c r="EY41" s="110"/>
      <c r="FA41" s="128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28"/>
      <c r="FS41" s="11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1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1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1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12"/>
      <c r="IB41" s="11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1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1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1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28"/>
      <c r="I42" s="11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1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1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1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28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28"/>
      <c r="BE42" s="11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1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1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12"/>
      <c r="CQ42" s="52" t="str">
        <f t="shared" si="175"/>
        <v/>
      </c>
      <c r="CX42" s="128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87</v>
      </c>
      <c r="EY42" s="30"/>
      <c r="FA42" s="128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28"/>
      <c r="FS42" s="11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1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1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1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12"/>
      <c r="IB42" s="11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1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1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1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28"/>
      <c r="I43" s="11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1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1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1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28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28"/>
      <c r="BE43" s="11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1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1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12"/>
      <c r="CQ43" s="52" t="str">
        <f t="shared" si="175"/>
        <v/>
      </c>
      <c r="CX43" s="128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77</v>
      </c>
      <c r="EY43" s="31"/>
      <c r="FA43" s="128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28"/>
      <c r="FS43" s="11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1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1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1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12"/>
      <c r="IB43" s="11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1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1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1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28"/>
      <c r="I44" s="11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1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1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1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28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28"/>
      <c r="BE44" s="11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1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1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12"/>
      <c r="CQ44" s="52" t="str">
        <f t="shared" si="175"/>
        <v/>
      </c>
      <c r="CX44" s="128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327</v>
      </c>
      <c r="EY44" s="31"/>
      <c r="FA44" s="128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28"/>
      <c r="FS44" s="11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1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1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1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12"/>
      <c r="IB44" s="11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1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1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1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28"/>
      <c r="I45" s="11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1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1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1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28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28"/>
      <c r="BE45" s="11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1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1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12"/>
      <c r="CQ45" s="52" t="str">
        <f t="shared" si="175"/>
        <v/>
      </c>
      <c r="CX45" s="128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28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28"/>
      <c r="FS45" s="11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1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1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1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12"/>
      <c r="IB45" s="11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1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1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1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28"/>
      <c r="I46" s="11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1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1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1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28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28"/>
      <c r="BE46" s="11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1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1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12"/>
      <c r="CQ46" s="52" t="str">
        <f t="shared" si="175"/>
        <v/>
      </c>
      <c r="CX46" s="128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28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28"/>
      <c r="FS46" s="11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1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1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1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12"/>
      <c r="IB46" s="11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1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1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1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28"/>
      <c r="I47" s="11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1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1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1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28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28"/>
      <c r="BE47" s="11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1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1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12"/>
      <c r="CQ47" s="52" t="str">
        <f t="shared" si="175"/>
        <v/>
      </c>
      <c r="CX47" s="128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28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28"/>
      <c r="FS47" s="11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1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1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1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12"/>
      <c r="IB47" s="11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1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1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1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28"/>
      <c r="I48" s="11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1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1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1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28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28"/>
      <c r="BE48" s="11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1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1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12"/>
      <c r="CQ48" s="52" t="str">
        <f t="shared" si="175"/>
        <v/>
      </c>
      <c r="CX48" s="128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28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28"/>
      <c r="FS48" s="11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1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1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1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12"/>
      <c r="IB48" s="11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1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1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1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28"/>
      <c r="I49" s="11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1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1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1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28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28"/>
      <c r="BE49" s="11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1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1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12"/>
      <c r="CQ49" s="52" t="str">
        <f t="shared" si="175"/>
        <v/>
      </c>
      <c r="CX49" s="128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28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28"/>
      <c r="FS49" s="11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1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1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1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12"/>
      <c r="IB49" s="11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1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1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1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28"/>
      <c r="I50" s="11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1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1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1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28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28"/>
      <c r="BE50" s="11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1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1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12"/>
      <c r="CQ50" s="52" t="str">
        <f t="shared" si="175"/>
        <v/>
      </c>
      <c r="CX50" s="128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28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28"/>
      <c r="FS50" s="11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1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1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1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12"/>
      <c r="IB50" s="11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1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1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1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28"/>
      <c r="I51" s="11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1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1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1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28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28"/>
      <c r="BE51" s="11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1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1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12"/>
      <c r="CQ51" s="52" t="str">
        <f t="shared" si="175"/>
        <v/>
      </c>
      <c r="CX51" s="128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28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28"/>
      <c r="FS51" s="11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1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1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1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12"/>
      <c r="IB51" s="11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1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1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1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28"/>
      <c r="I52" s="11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1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1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1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28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28"/>
      <c r="BE52" s="11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1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1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12"/>
      <c r="CQ52" s="52" t="str">
        <f t="shared" si="175"/>
        <v/>
      </c>
      <c r="CX52" s="128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28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28"/>
      <c r="FS52" s="11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1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1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1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12"/>
      <c r="IB52" s="11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1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1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1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28"/>
      <c r="I53" s="11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1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1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1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28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28"/>
      <c r="BE53" s="11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1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1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12"/>
      <c r="CQ53" s="52" t="str">
        <f t="shared" si="175"/>
        <v/>
      </c>
      <c r="CX53" s="128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28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28"/>
      <c r="FS53" s="11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1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1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1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12"/>
      <c r="IB53" s="11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1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1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1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28"/>
      <c r="I54" s="11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1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1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1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28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28"/>
      <c r="BE54" s="11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1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1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12"/>
      <c r="CQ54" s="52" t="str">
        <f t="shared" si="175"/>
        <v/>
      </c>
      <c r="CX54" s="128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28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28"/>
      <c r="FS54" s="11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1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1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1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12"/>
      <c r="IB54" s="11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1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1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1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28"/>
      <c r="I55" s="11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1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1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1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28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28"/>
      <c r="BE55" s="11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1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1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12"/>
      <c r="CQ55" s="52" t="str">
        <f t="shared" si="175"/>
        <v/>
      </c>
      <c r="CX55" s="128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28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28"/>
      <c r="FS55" s="11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1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1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1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12"/>
      <c r="IB55" s="11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1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1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1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28"/>
      <c r="I56" s="11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1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1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1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28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28"/>
      <c r="BE56" s="11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1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1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12"/>
      <c r="CQ56" s="52" t="str">
        <f t="shared" si="175"/>
        <v/>
      </c>
      <c r="CX56" s="128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28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28"/>
      <c r="FS56" s="11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1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1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1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12"/>
      <c r="IB56" s="11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1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1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1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28"/>
      <c r="I57" s="11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1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1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1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28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28"/>
      <c r="BE57" s="11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1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1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12"/>
      <c r="CQ57" s="52" t="str">
        <f t="shared" si="175"/>
        <v/>
      </c>
      <c r="CX57" s="128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28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28"/>
      <c r="FS57" s="11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1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1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1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12"/>
      <c r="IB57" s="11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1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1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1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28"/>
      <c r="I58" s="11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1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1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1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28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28"/>
      <c r="BE58" s="11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1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1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12"/>
      <c r="CQ58" s="52" t="str">
        <f t="shared" si="175"/>
        <v/>
      </c>
      <c r="CX58" s="128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28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28"/>
      <c r="FS58" s="11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1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1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1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12"/>
      <c r="IB58" s="11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1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1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1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28"/>
      <c r="I59" s="11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1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1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1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28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28"/>
      <c r="BE59" s="11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1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1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12"/>
      <c r="CQ59" s="52" t="str">
        <f t="shared" si="175"/>
        <v/>
      </c>
      <c r="CX59" s="128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28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28"/>
      <c r="FS59" s="11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1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1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1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12"/>
      <c r="IB59" s="11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1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1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1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28"/>
      <c r="I60" s="11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1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1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1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28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28"/>
      <c r="BE60" s="11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1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1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12"/>
      <c r="CQ60" s="52" t="str">
        <f t="shared" si="175"/>
        <v/>
      </c>
      <c r="CX60" s="128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28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28"/>
      <c r="FS60" s="11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1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1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1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12"/>
      <c r="IB60" s="11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1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1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1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28"/>
      <c r="I61" s="11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1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1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1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28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28"/>
      <c r="BE61" s="11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1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1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12"/>
      <c r="CQ61" s="52" t="str">
        <f t="shared" si="175"/>
        <v/>
      </c>
      <c r="CX61" s="128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28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28"/>
      <c r="FS61" s="11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1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1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1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12"/>
      <c r="IB61" s="11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1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1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1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28"/>
      <c r="I62" s="11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1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1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1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28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28"/>
      <c r="BE62" s="11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1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1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12"/>
      <c r="CQ62" s="52" t="str">
        <f t="shared" si="175"/>
        <v/>
      </c>
      <c r="CX62" s="128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28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28"/>
      <c r="FS62" s="11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1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1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1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12"/>
      <c r="IB62" s="11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1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1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1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28"/>
      <c r="I63" s="11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1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1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1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28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28"/>
      <c r="BE63" s="11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1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1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12"/>
      <c r="CQ63" s="52" t="str">
        <f t="shared" si="175"/>
        <v/>
      </c>
      <c r="CX63" s="128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28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28"/>
      <c r="FS63" s="11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1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1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1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12"/>
      <c r="IB63" s="11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1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1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1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28"/>
      <c r="I64" s="11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1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1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1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28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28"/>
      <c r="BE64" s="11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1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1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12"/>
      <c r="CQ64" s="52" t="str">
        <f t="shared" si="175"/>
        <v/>
      </c>
      <c r="CX64" s="128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28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28"/>
      <c r="FS64" s="11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1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1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1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12"/>
      <c r="IB64" s="11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1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1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1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28"/>
      <c r="I65" s="11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1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1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1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28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28"/>
      <c r="BE65" s="11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1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1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12"/>
      <c r="CQ65" s="52" t="str">
        <f t="shared" si="175"/>
        <v/>
      </c>
      <c r="CX65" s="128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28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28"/>
      <c r="FS65" s="11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1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1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1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12"/>
      <c r="IB65" s="11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1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1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1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28"/>
      <c r="I66" s="11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1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1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1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28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28"/>
      <c r="BE66" s="11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1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1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12"/>
      <c r="CQ66" s="52" t="str">
        <f t="shared" si="175"/>
        <v/>
      </c>
      <c r="CX66" s="128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28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28"/>
      <c r="FS66" s="11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1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1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1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12"/>
      <c r="IB66" s="11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1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1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1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28"/>
      <c r="I67" s="11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1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1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1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28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28"/>
      <c r="BE67" s="11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1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1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12"/>
      <c r="CQ67" s="52" t="str">
        <f t="shared" si="175"/>
        <v/>
      </c>
      <c r="CX67" s="128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28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28"/>
      <c r="FS67" s="11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1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1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1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12"/>
      <c r="IB67" s="11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1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1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1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28"/>
      <c r="I68" s="11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1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1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1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28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28"/>
      <c r="BE68" s="11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1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1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12"/>
      <c r="CQ68" s="52" t="str">
        <f t="shared" si="175"/>
        <v/>
      </c>
      <c r="CX68" s="128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28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28"/>
      <c r="FS68" s="11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1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1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1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12"/>
      <c r="IB68" s="11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1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1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1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28"/>
      <c r="I69" s="11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1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1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1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28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28"/>
      <c r="BE69" s="11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1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1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12"/>
      <c r="CQ69" s="52" t="str">
        <f t="shared" si="175"/>
        <v/>
      </c>
      <c r="CX69" s="128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28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28"/>
      <c r="FS69" s="11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1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1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1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12"/>
      <c r="IB69" s="11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1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1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1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28"/>
      <c r="I70" s="11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1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1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1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28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28"/>
      <c r="BE70" s="11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1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1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12"/>
      <c r="CQ70" s="52" t="str">
        <f t="shared" si="175"/>
        <v/>
      </c>
      <c r="CX70" s="128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28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28"/>
      <c r="FS70" s="11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1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1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1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12"/>
      <c r="IB70" s="11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1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1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1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28"/>
      <c r="I71" s="11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1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1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1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28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28"/>
      <c r="BE71" s="11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1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1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12"/>
      <c r="CQ71" s="52" t="str">
        <f t="shared" si="175"/>
        <v/>
      </c>
      <c r="CX71" s="128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28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28"/>
      <c r="FS71" s="11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1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1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1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12"/>
      <c r="IB71" s="11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1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1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1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28"/>
      <c r="I72" s="11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1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1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1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28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28"/>
      <c r="BE72" s="11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1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1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12"/>
      <c r="CQ72" s="52" t="str">
        <f t="shared" si="175"/>
        <v/>
      </c>
      <c r="CX72" s="128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28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28"/>
      <c r="FS72" s="11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1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1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1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12"/>
      <c r="IB72" s="11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1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1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1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28"/>
      <c r="I73" s="11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1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1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1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28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28"/>
      <c r="BE73" s="11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1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1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12"/>
      <c r="CQ73" s="52" t="str">
        <f t="shared" si="175"/>
        <v/>
      </c>
      <c r="CX73" s="128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28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28"/>
      <c r="FS73" s="11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1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1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1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12"/>
      <c r="IB73" s="11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1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1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1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28"/>
      <c r="I74" s="11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1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1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1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28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28"/>
      <c r="BE74" s="11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1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1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12"/>
      <c r="CQ74" s="52" t="str">
        <f t="shared" si="175"/>
        <v/>
      </c>
      <c r="CX74" s="128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28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28"/>
      <c r="FS74" s="11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1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1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1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12"/>
      <c r="IB74" s="11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1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1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1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28"/>
      <c r="I75" s="11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1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1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1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28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28"/>
      <c r="BE75" s="11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1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1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12"/>
      <c r="CQ75" s="52" t="str">
        <f t="shared" si="175"/>
        <v/>
      </c>
      <c r="CX75" s="128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28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28"/>
      <c r="FS75" s="11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1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1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1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12"/>
      <c r="IB75" s="11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1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1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1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28"/>
      <c r="I76" s="11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1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1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1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28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28"/>
      <c r="BE76" s="11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1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1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12"/>
      <c r="CQ76" s="52" t="str">
        <f t="shared" si="175"/>
        <v/>
      </c>
      <c r="CX76" s="128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28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28"/>
      <c r="FS76" s="11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1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1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1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12"/>
      <c r="IB76" s="11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1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1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1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28"/>
      <c r="I77" s="11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1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1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1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28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28"/>
      <c r="BE77" s="11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1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1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12"/>
      <c r="CQ77" s="52" t="str">
        <f t="shared" si="175"/>
        <v/>
      </c>
      <c r="CX77" s="128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28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28"/>
      <c r="FS77" s="11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1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1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1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12"/>
      <c r="IB77" s="11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1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1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1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28"/>
      <c r="I78" s="11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1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1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1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28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28"/>
      <c r="BE78" s="11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1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1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12"/>
      <c r="CQ78" s="52" t="str">
        <f t="shared" si="175"/>
        <v/>
      </c>
      <c r="CX78" s="128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28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28"/>
      <c r="FS78" s="11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1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1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1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12"/>
      <c r="IB78" s="11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1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1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1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28"/>
      <c r="I79" s="11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1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1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1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28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28"/>
      <c r="BE79" s="11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1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1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12"/>
      <c r="CQ79" s="52" t="str">
        <f t="shared" si="175"/>
        <v/>
      </c>
      <c r="CX79" s="128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28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28"/>
      <c r="FS79" s="11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1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1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1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12"/>
      <c r="IB79" s="11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1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1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1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28"/>
      <c r="I80" s="11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1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1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1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28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28"/>
      <c r="BE80" s="11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1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1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12"/>
      <c r="CQ80" s="52" t="str">
        <f t="shared" si="175"/>
        <v/>
      </c>
      <c r="CX80" s="128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28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28"/>
      <c r="FS80" s="11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1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1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1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12"/>
      <c r="IB80" s="11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1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1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1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28"/>
      <c r="I81" s="11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1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1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1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28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28"/>
      <c r="BE81" s="11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1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1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12"/>
      <c r="CQ81" s="52" t="str">
        <f t="shared" si="175"/>
        <v/>
      </c>
      <c r="CX81" s="128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28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28"/>
      <c r="FS81" s="11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1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1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1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12"/>
      <c r="IB81" s="11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1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1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1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28"/>
      <c r="I82" s="11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1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1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1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28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28"/>
      <c r="BE82" s="11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1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1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12"/>
      <c r="CQ82" s="52" t="str">
        <f t="shared" si="175"/>
        <v/>
      </c>
      <c r="CX82" s="128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28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28"/>
      <c r="FS82" s="11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1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1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1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12"/>
      <c r="IB82" s="11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1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1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1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28"/>
      <c r="I83" s="11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1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1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1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28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28"/>
      <c r="BE83" s="11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1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1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12"/>
      <c r="CQ83" s="52" t="str">
        <f t="shared" si="175"/>
        <v/>
      </c>
      <c r="CX83" s="128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28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28"/>
      <c r="FS83" s="11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1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1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1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12"/>
      <c r="IB83" s="11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1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1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1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28"/>
      <c r="I84" s="11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1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1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1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28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28"/>
      <c r="BE84" s="11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1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1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12"/>
      <c r="CQ84" s="52" t="str">
        <f t="shared" si="175"/>
        <v/>
      </c>
      <c r="CX84" s="128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28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28"/>
      <c r="FS84" s="11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1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1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1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12"/>
      <c r="IB84" s="11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1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1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1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28"/>
      <c r="I85" s="11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1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1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1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28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28"/>
      <c r="BE85" s="11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1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1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12"/>
      <c r="CQ85" s="52" t="str">
        <f t="shared" si="175"/>
        <v/>
      </c>
      <c r="CX85" s="128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28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28"/>
      <c r="FS85" s="11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1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1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1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12"/>
      <c r="IB85" s="11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1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1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1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28"/>
      <c r="I86" s="11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1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1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1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28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28"/>
      <c r="BE86" s="11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1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1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12"/>
      <c r="CQ86" s="52" t="str">
        <f t="shared" si="175"/>
        <v/>
      </c>
      <c r="CX86" s="128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28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28"/>
      <c r="FS86" s="11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1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1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1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12"/>
      <c r="IB86" s="11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1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1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1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28"/>
      <c r="I87" s="11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1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1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1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28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28"/>
      <c r="BE87" s="11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1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1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12"/>
      <c r="CQ87" s="52" t="str">
        <f t="shared" si="175"/>
        <v/>
      </c>
      <c r="CX87" s="128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28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28"/>
      <c r="FS87" s="11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1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1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1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12"/>
      <c r="IB87" s="11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1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1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1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28"/>
      <c r="I88" s="11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1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1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1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28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28"/>
      <c r="BE88" s="11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1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1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12"/>
      <c r="CQ88" s="52" t="str">
        <f t="shared" si="175"/>
        <v/>
      </c>
      <c r="CX88" s="128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28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28"/>
      <c r="FS88" s="11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1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1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1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12"/>
      <c r="IB88" s="11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1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1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1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28"/>
      <c r="I89" s="11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1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1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1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28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28"/>
      <c r="BE89" s="11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1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1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12"/>
      <c r="CQ89" s="52" t="str">
        <f t="shared" si="175"/>
        <v/>
      </c>
      <c r="CX89" s="128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28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28"/>
      <c r="FS89" s="11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1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1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1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12"/>
      <c r="IB89" s="11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1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1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1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28"/>
      <c r="I90" s="11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1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1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1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28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28"/>
      <c r="BE90" s="11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1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1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12"/>
      <c r="CQ90" s="52" t="str">
        <f t="shared" si="175"/>
        <v/>
      </c>
      <c r="CX90" s="128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28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28"/>
      <c r="FS90" s="11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1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1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1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12"/>
      <c r="IB90" s="11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1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1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1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28"/>
      <c r="I91" s="11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1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1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1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28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28"/>
      <c r="BE91" s="11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1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1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12"/>
      <c r="CQ91" s="52" t="str">
        <f t="shared" si="175"/>
        <v/>
      </c>
      <c r="CX91" s="128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28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28"/>
      <c r="FS91" s="11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1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1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1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12"/>
      <c r="IB91" s="11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1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1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1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28"/>
      <c r="I92" s="11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1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1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1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28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28"/>
      <c r="BE92" s="11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1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1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12"/>
      <c r="CQ92" s="52" t="str">
        <f t="shared" si="175"/>
        <v/>
      </c>
      <c r="CX92" s="128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28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28"/>
      <c r="FS92" s="11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1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1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1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12"/>
      <c r="IB92" s="11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1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1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1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28"/>
      <c r="I93" s="11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1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1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1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28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28"/>
      <c r="BE93" s="11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1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1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12"/>
      <c r="CQ93" s="52" t="str">
        <f t="shared" si="175"/>
        <v/>
      </c>
      <c r="CX93" s="128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28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28"/>
      <c r="FS93" s="11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1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1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1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12"/>
      <c r="IB93" s="11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1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1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1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28"/>
      <c r="I94" s="11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1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1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1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28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28"/>
      <c r="BE94" s="11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1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1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12"/>
      <c r="CQ94" s="52" t="str">
        <f t="shared" si="175"/>
        <v/>
      </c>
      <c r="CX94" s="128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28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28"/>
      <c r="FS94" s="11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1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1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1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12"/>
      <c r="IB94" s="11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1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1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1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28"/>
      <c r="I95" s="11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1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1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1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28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28"/>
      <c r="BE95" s="11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1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1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12"/>
      <c r="CQ95" s="52" t="str">
        <f t="shared" si="175"/>
        <v/>
      </c>
      <c r="CX95" s="128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28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28"/>
      <c r="FS95" s="11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1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1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1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12"/>
      <c r="IB95" s="11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1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1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1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28"/>
      <c r="I96" s="11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1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1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1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28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28"/>
      <c r="BE96" s="11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1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1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12"/>
      <c r="CQ96" s="52" t="str">
        <f t="shared" si="175"/>
        <v/>
      </c>
      <c r="CX96" s="128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28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28"/>
      <c r="FS96" s="11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1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1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1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12"/>
      <c r="IB96" s="11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1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1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1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28"/>
      <c r="I97" s="11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1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1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1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28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28"/>
      <c r="BE97" s="11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1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1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12"/>
      <c r="CQ97" s="52" t="str">
        <f t="shared" si="175"/>
        <v/>
      </c>
      <c r="CX97" s="128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28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28"/>
      <c r="FS97" s="11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1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1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1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12"/>
      <c r="IB97" s="11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1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1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1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28"/>
      <c r="I98" s="11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1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1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1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28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28"/>
      <c r="BE98" s="11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1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1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12"/>
      <c r="CQ98" s="52" t="str">
        <f t="shared" ref="CQ98:CQ161" si="383">IF(AND(Sufficient_data="Yes",Include_study?="Yes"),c_/(c_+d_),"")</f>
        <v/>
      </c>
      <c r="CX98" s="128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28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28"/>
      <c r="FS98" s="11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1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1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1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12"/>
      <c r="IB98" s="11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1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1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1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28"/>
      <c r="I99" s="11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1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1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1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28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28"/>
      <c r="BE99" s="11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1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1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12"/>
      <c r="CQ99" s="52" t="str">
        <f t="shared" si="383"/>
        <v/>
      </c>
      <c r="CX99" s="128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28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28"/>
      <c r="FS99" s="11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1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1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1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12"/>
      <c r="IB99" s="11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1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1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1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28"/>
      <c r="I100" s="11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1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1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1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28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28"/>
      <c r="BE100" s="11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1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1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12"/>
      <c r="CQ100" s="52" t="str">
        <f t="shared" si="383"/>
        <v/>
      </c>
      <c r="CX100" s="128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28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28"/>
      <c r="FS100" s="11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1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1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1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12"/>
      <c r="IB100" s="11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1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1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1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28"/>
      <c r="I101" s="11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1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1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1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28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28"/>
      <c r="BE101" s="11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1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1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12"/>
      <c r="CQ101" s="52" t="str">
        <f t="shared" si="383"/>
        <v/>
      </c>
      <c r="CX101" s="128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28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28"/>
      <c r="FS101" s="11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1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1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1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12"/>
      <c r="IB101" s="11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1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1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1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28"/>
      <c r="I102" s="11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1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1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1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28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28"/>
      <c r="BE102" s="11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1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1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12"/>
      <c r="CQ102" s="52" t="str">
        <f t="shared" si="383"/>
        <v/>
      </c>
      <c r="CX102" s="128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28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28"/>
      <c r="FS102" s="11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1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1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1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12"/>
      <c r="IB102" s="11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1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1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1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28"/>
      <c r="I103" s="11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1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1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1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28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28"/>
      <c r="BE103" s="11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1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1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12"/>
      <c r="CQ103" s="52" t="str">
        <f t="shared" si="383"/>
        <v/>
      </c>
      <c r="CX103" s="128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28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28"/>
      <c r="FS103" s="11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1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1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1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12"/>
      <c r="IB103" s="11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1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1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1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28"/>
      <c r="I104" s="11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1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1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1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28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28"/>
      <c r="BE104" s="11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1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1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12"/>
      <c r="CQ104" s="52" t="str">
        <f t="shared" si="383"/>
        <v/>
      </c>
      <c r="CX104" s="128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28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28"/>
      <c r="FS104" s="11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1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1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1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12"/>
      <c r="IB104" s="11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1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1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1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28"/>
      <c r="I105" s="11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1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1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1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28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28"/>
      <c r="BE105" s="11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1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1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12"/>
      <c r="CQ105" s="52" t="str">
        <f t="shared" si="383"/>
        <v/>
      </c>
      <c r="CX105" s="128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28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28"/>
      <c r="FS105" s="11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1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1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1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12"/>
      <c r="IB105" s="11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1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1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1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28"/>
      <c r="I106" s="11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1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1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1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28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28"/>
      <c r="BE106" s="11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1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1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12"/>
      <c r="CQ106" s="52" t="str">
        <f t="shared" si="383"/>
        <v/>
      </c>
      <c r="CX106" s="128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28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28"/>
      <c r="FS106" s="11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1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1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1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12"/>
      <c r="IB106" s="11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1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1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1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28"/>
      <c r="I107" s="11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1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1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1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28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28"/>
      <c r="BE107" s="11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1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1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12"/>
      <c r="CQ107" s="52" t="str">
        <f t="shared" si="383"/>
        <v/>
      </c>
      <c r="CX107" s="128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28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28"/>
      <c r="FS107" s="11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1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1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1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12"/>
      <c r="IB107" s="11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1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1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1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28"/>
      <c r="I108" s="11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1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1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1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28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28"/>
      <c r="BE108" s="11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1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1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12"/>
      <c r="CQ108" s="52" t="str">
        <f t="shared" si="383"/>
        <v/>
      </c>
      <c r="CX108" s="128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28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28"/>
      <c r="FS108" s="11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1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1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1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12"/>
      <c r="IB108" s="11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1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1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1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28"/>
      <c r="I109" s="11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1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1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1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28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28"/>
      <c r="BE109" s="11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1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1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12"/>
      <c r="CQ109" s="52" t="str">
        <f t="shared" si="383"/>
        <v/>
      </c>
      <c r="CX109" s="128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28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28"/>
      <c r="FS109" s="11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1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1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1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12"/>
      <c r="IB109" s="11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1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1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1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28"/>
      <c r="I110" s="11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1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1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1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28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28"/>
      <c r="BE110" s="11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1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1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12"/>
      <c r="CQ110" s="52" t="str">
        <f t="shared" si="383"/>
        <v/>
      </c>
      <c r="CX110" s="128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28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28"/>
      <c r="FS110" s="11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1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1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1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12"/>
      <c r="IB110" s="11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1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1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1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28"/>
      <c r="I111" s="11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1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1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1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28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28"/>
      <c r="BE111" s="11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1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1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12"/>
      <c r="CQ111" s="52" t="str">
        <f t="shared" si="383"/>
        <v/>
      </c>
      <c r="CX111" s="128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28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28"/>
      <c r="FS111" s="11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1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1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1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12"/>
      <c r="IB111" s="11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1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1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1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28"/>
      <c r="I112" s="11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1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1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1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28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28"/>
      <c r="BE112" s="11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1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1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12"/>
      <c r="CQ112" s="52" t="str">
        <f t="shared" si="383"/>
        <v/>
      </c>
      <c r="CX112" s="128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28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28"/>
      <c r="FS112" s="11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1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1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1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12"/>
      <c r="IB112" s="11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1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1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1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28"/>
      <c r="I113" s="11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1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1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1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28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28"/>
      <c r="BE113" s="11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1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1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12"/>
      <c r="CQ113" s="52" t="str">
        <f t="shared" si="383"/>
        <v/>
      </c>
      <c r="CX113" s="128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28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28"/>
      <c r="FS113" s="11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1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1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1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12"/>
      <c r="IB113" s="11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1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1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1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28"/>
      <c r="I114" s="11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1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1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1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28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28"/>
      <c r="BE114" s="11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1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1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12"/>
      <c r="CQ114" s="52" t="str">
        <f t="shared" si="383"/>
        <v/>
      </c>
      <c r="CX114" s="128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28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28"/>
      <c r="FS114" s="11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1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1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1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12"/>
      <c r="IB114" s="11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1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1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1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28"/>
      <c r="I115" s="11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1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1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1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28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28"/>
      <c r="BE115" s="11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1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1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12"/>
      <c r="CQ115" s="52" t="str">
        <f t="shared" si="383"/>
        <v/>
      </c>
      <c r="CX115" s="128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28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28"/>
      <c r="FS115" s="11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1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1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1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12"/>
      <c r="IB115" s="11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1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1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1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28"/>
      <c r="I116" s="11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1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1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1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28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28"/>
      <c r="BE116" s="11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1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1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12"/>
      <c r="CQ116" s="52" t="str">
        <f t="shared" si="383"/>
        <v/>
      </c>
      <c r="CX116" s="128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28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28"/>
      <c r="FS116" s="11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1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1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1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12"/>
      <c r="IB116" s="11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1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1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1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28"/>
      <c r="I117" s="11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1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1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1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28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28"/>
      <c r="BE117" s="11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1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1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12"/>
      <c r="CQ117" s="52" t="str">
        <f t="shared" si="383"/>
        <v/>
      </c>
      <c r="CX117" s="128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28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28"/>
      <c r="FS117" s="11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1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1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1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12"/>
      <c r="IB117" s="11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1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1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1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28"/>
      <c r="I118" s="11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1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1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1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28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28"/>
      <c r="BE118" s="11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1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1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12"/>
      <c r="CQ118" s="52" t="str">
        <f t="shared" si="383"/>
        <v/>
      </c>
      <c r="CX118" s="128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28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28"/>
      <c r="FS118" s="11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1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1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1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12"/>
      <c r="IB118" s="11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1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1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1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28"/>
      <c r="I119" s="11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1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1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1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28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28"/>
      <c r="BE119" s="11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1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1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12"/>
      <c r="CQ119" s="52" t="str">
        <f t="shared" si="383"/>
        <v/>
      </c>
      <c r="CX119" s="128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28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28"/>
      <c r="FS119" s="11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1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1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1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12"/>
      <c r="IB119" s="11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1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1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1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28"/>
      <c r="I120" s="11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1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1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1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28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28"/>
      <c r="BE120" s="11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1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1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12"/>
      <c r="CQ120" s="52" t="str">
        <f t="shared" si="383"/>
        <v/>
      </c>
      <c r="CX120" s="128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28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28"/>
      <c r="FS120" s="11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1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1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1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12"/>
      <c r="IB120" s="11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1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1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1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28"/>
      <c r="I121" s="11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1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1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1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28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28"/>
      <c r="BE121" s="11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1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1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12"/>
      <c r="CQ121" s="52" t="str">
        <f t="shared" si="383"/>
        <v/>
      </c>
      <c r="CX121" s="128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28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28"/>
      <c r="FS121" s="11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1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1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1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12"/>
      <c r="IB121" s="11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1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1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1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28"/>
      <c r="I122" s="11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1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1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1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28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28"/>
      <c r="BE122" s="11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1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1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12"/>
      <c r="CQ122" s="52" t="str">
        <f t="shared" si="383"/>
        <v/>
      </c>
      <c r="CX122" s="128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28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28"/>
      <c r="FS122" s="11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1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1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1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12"/>
      <c r="IB122" s="11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1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1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1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28"/>
      <c r="I123" s="11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1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1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1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28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28"/>
      <c r="BE123" s="11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1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1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12"/>
      <c r="CQ123" s="52" t="str">
        <f t="shared" si="383"/>
        <v/>
      </c>
      <c r="CX123" s="128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28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28"/>
      <c r="FS123" s="11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1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1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1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12"/>
      <c r="IB123" s="11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1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1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1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28"/>
      <c r="I124" s="11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1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1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1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28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28"/>
      <c r="BE124" s="11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1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1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12"/>
      <c r="CQ124" s="52" t="str">
        <f t="shared" si="383"/>
        <v/>
      </c>
      <c r="CX124" s="128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28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28"/>
      <c r="FS124" s="11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1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1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1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12"/>
      <c r="IB124" s="11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1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1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1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28"/>
      <c r="I125" s="11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1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1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1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28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28"/>
      <c r="BE125" s="11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1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1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12"/>
      <c r="CQ125" s="52" t="str">
        <f t="shared" si="383"/>
        <v/>
      </c>
      <c r="CX125" s="128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28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28"/>
      <c r="FS125" s="11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1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1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1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12"/>
      <c r="IB125" s="11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1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1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1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28"/>
      <c r="I126" s="11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1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1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1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28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28"/>
      <c r="BE126" s="11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1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1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12"/>
      <c r="CQ126" s="52" t="str">
        <f t="shared" si="383"/>
        <v/>
      </c>
      <c r="CX126" s="128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28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28"/>
      <c r="FS126" s="11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1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1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1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12"/>
      <c r="IB126" s="11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1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1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1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28"/>
      <c r="I127" s="11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1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1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1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28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28"/>
      <c r="BE127" s="11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1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1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12"/>
      <c r="CQ127" s="52" t="str">
        <f t="shared" si="383"/>
        <v/>
      </c>
      <c r="CX127" s="128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28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28"/>
      <c r="FS127" s="11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1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1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1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12"/>
      <c r="IB127" s="11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1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1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1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28"/>
      <c r="I128" s="11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1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1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1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28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28"/>
      <c r="BE128" s="11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1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1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12"/>
      <c r="CQ128" s="52" t="str">
        <f t="shared" si="383"/>
        <v/>
      </c>
      <c r="CX128" s="128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28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28"/>
      <c r="FS128" s="11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1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1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1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12"/>
      <c r="IB128" s="11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1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1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1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28"/>
      <c r="I129" s="11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1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1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1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28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28"/>
      <c r="BE129" s="11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1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1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12"/>
      <c r="CQ129" s="52" t="str">
        <f t="shared" si="383"/>
        <v/>
      </c>
      <c r="CX129" s="128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28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28"/>
      <c r="FS129" s="11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1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1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1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12"/>
      <c r="IB129" s="11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1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1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1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28"/>
      <c r="I130" s="11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1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1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1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28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28"/>
      <c r="BE130" s="11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1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1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12"/>
      <c r="CQ130" s="52" t="str">
        <f t="shared" si="383"/>
        <v/>
      </c>
      <c r="CX130" s="128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28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28"/>
      <c r="FS130" s="11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1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1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1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12"/>
      <c r="IB130" s="11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1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1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1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28"/>
      <c r="I131" s="11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1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1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1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28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28"/>
      <c r="BE131" s="11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1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1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12"/>
      <c r="CQ131" s="52" t="str">
        <f t="shared" si="383"/>
        <v/>
      </c>
      <c r="CX131" s="128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28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28"/>
      <c r="FS131" s="11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1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1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1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12"/>
      <c r="IB131" s="11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1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1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1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28"/>
      <c r="I132" s="11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1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1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1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28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28"/>
      <c r="BE132" s="11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1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1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12"/>
      <c r="CQ132" s="52" t="str">
        <f t="shared" si="383"/>
        <v/>
      </c>
      <c r="CX132" s="128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28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28"/>
      <c r="FS132" s="11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1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1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1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12"/>
      <c r="IB132" s="11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1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1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1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28"/>
      <c r="I133" s="11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1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1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1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28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28"/>
      <c r="BE133" s="11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1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1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12"/>
      <c r="CQ133" s="52" t="str">
        <f t="shared" si="383"/>
        <v/>
      </c>
      <c r="CX133" s="128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28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28"/>
      <c r="FS133" s="11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1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1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1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12"/>
      <c r="IB133" s="11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1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1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1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28"/>
      <c r="I134" s="11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1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1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1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28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28"/>
      <c r="BE134" s="11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1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1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12"/>
      <c r="CQ134" s="52" t="str">
        <f t="shared" si="383"/>
        <v/>
      </c>
      <c r="CX134" s="128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28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28"/>
      <c r="FS134" s="11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1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1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1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12"/>
      <c r="IB134" s="11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1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1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1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28"/>
      <c r="I135" s="11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1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1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1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28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28"/>
      <c r="BE135" s="11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1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1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12"/>
      <c r="CQ135" s="52" t="str">
        <f t="shared" si="383"/>
        <v/>
      </c>
      <c r="CX135" s="128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28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28"/>
      <c r="FS135" s="11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1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1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1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12"/>
      <c r="IB135" s="11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1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1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1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28"/>
      <c r="I136" s="11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1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1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1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28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28"/>
      <c r="BE136" s="11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1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1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12"/>
      <c r="CQ136" s="52" t="str">
        <f t="shared" si="383"/>
        <v/>
      </c>
      <c r="CX136" s="128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28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28"/>
      <c r="FS136" s="11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1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1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1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12"/>
      <c r="IB136" s="11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1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1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1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28"/>
      <c r="I137" s="11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1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1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1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28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28"/>
      <c r="BE137" s="11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1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1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12"/>
      <c r="CQ137" s="52" t="str">
        <f t="shared" si="383"/>
        <v/>
      </c>
      <c r="CX137" s="128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28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28"/>
      <c r="FS137" s="11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1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1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1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12"/>
      <c r="IB137" s="11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1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1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1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28"/>
      <c r="I138" s="11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1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1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1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28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28"/>
      <c r="BE138" s="11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1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1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12"/>
      <c r="CQ138" s="52" t="str">
        <f t="shared" si="383"/>
        <v/>
      </c>
      <c r="CX138" s="128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28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28"/>
      <c r="FS138" s="11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1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1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1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12"/>
      <c r="IB138" s="11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1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1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1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28"/>
      <c r="I139" s="11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1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1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1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28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28"/>
      <c r="BE139" s="11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1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1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12"/>
      <c r="CQ139" s="52" t="str">
        <f t="shared" si="383"/>
        <v/>
      </c>
      <c r="CX139" s="128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28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28"/>
      <c r="FS139" s="11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1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1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1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12"/>
      <c r="IB139" s="11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1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1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1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28"/>
      <c r="I140" s="11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1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1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1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28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28"/>
      <c r="BE140" s="11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1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1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12"/>
      <c r="CQ140" s="52" t="str">
        <f t="shared" si="383"/>
        <v/>
      </c>
      <c r="CX140" s="128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28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28"/>
      <c r="FS140" s="11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1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1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1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12"/>
      <c r="IB140" s="11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1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1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1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28"/>
      <c r="I141" s="11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1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1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1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28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28"/>
      <c r="BE141" s="11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1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1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12"/>
      <c r="CQ141" s="52" t="str">
        <f t="shared" si="383"/>
        <v/>
      </c>
      <c r="CX141" s="128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28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28"/>
      <c r="FS141" s="11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1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1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1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12"/>
      <c r="IB141" s="11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1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1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1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28"/>
      <c r="I142" s="11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1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1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1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28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28"/>
      <c r="BE142" s="11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1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1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12"/>
      <c r="CQ142" s="52" t="str">
        <f t="shared" si="383"/>
        <v/>
      </c>
      <c r="CX142" s="128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28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28"/>
      <c r="FS142" s="11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1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1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1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12"/>
      <c r="IB142" s="11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1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1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1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28"/>
      <c r="I143" s="11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1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1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1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28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28"/>
      <c r="BE143" s="11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1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1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12"/>
      <c r="CQ143" s="52" t="str">
        <f t="shared" si="383"/>
        <v/>
      </c>
      <c r="CX143" s="128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28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28"/>
      <c r="FS143" s="11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1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1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1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12"/>
      <c r="IB143" s="11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1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1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1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28"/>
      <c r="I144" s="11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1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1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1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28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28"/>
      <c r="BE144" s="11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1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1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12"/>
      <c r="CQ144" s="52" t="str">
        <f t="shared" si="383"/>
        <v/>
      </c>
      <c r="CX144" s="128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28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28"/>
      <c r="FS144" s="11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1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1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1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12"/>
      <c r="IB144" s="11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1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1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1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28"/>
      <c r="I145" s="11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1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1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1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28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28"/>
      <c r="BE145" s="11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1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1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12"/>
      <c r="CQ145" s="52" t="str">
        <f t="shared" si="383"/>
        <v/>
      </c>
      <c r="CX145" s="128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28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28"/>
      <c r="FS145" s="11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1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1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1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12"/>
      <c r="IB145" s="11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1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1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1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28"/>
      <c r="I146" s="11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1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1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1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28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28"/>
      <c r="BE146" s="11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1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1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12"/>
      <c r="CQ146" s="52" t="str">
        <f t="shared" si="383"/>
        <v/>
      </c>
      <c r="CX146" s="128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28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28"/>
      <c r="FS146" s="11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1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1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1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12"/>
      <c r="IB146" s="11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1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1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1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28"/>
      <c r="I147" s="11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1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1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1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28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28"/>
      <c r="BE147" s="11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1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1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12"/>
      <c r="CQ147" s="52" t="str">
        <f t="shared" si="383"/>
        <v/>
      </c>
      <c r="CX147" s="128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28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28"/>
      <c r="FS147" s="11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1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1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1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12"/>
      <c r="IB147" s="11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1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1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1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28"/>
      <c r="I148" s="11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1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1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1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28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28"/>
      <c r="BE148" s="11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1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1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12"/>
      <c r="CQ148" s="52" t="str">
        <f t="shared" si="383"/>
        <v/>
      </c>
      <c r="CX148" s="128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28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28"/>
      <c r="FS148" s="11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1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1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1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12"/>
      <c r="IB148" s="11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1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1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1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28"/>
      <c r="I149" s="11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1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1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1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28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28"/>
      <c r="BE149" s="11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1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1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12"/>
      <c r="CQ149" s="52" t="str">
        <f t="shared" si="383"/>
        <v/>
      </c>
      <c r="CX149" s="128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28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28"/>
      <c r="FS149" s="11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1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1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1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12"/>
      <c r="IB149" s="11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1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1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1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28"/>
      <c r="I150" s="11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1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1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1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28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28"/>
      <c r="BE150" s="11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1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1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12"/>
      <c r="CQ150" s="52" t="str">
        <f t="shared" si="383"/>
        <v/>
      </c>
      <c r="CX150" s="128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28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28"/>
      <c r="FS150" s="11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1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1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1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12"/>
      <c r="IB150" s="11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1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1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1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28"/>
      <c r="I151" s="11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1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1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1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28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28"/>
      <c r="BE151" s="11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1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1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12"/>
      <c r="CQ151" s="52" t="str">
        <f t="shared" si="383"/>
        <v/>
      </c>
      <c r="CX151" s="128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28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28"/>
      <c r="FS151" s="11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1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1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1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12"/>
      <c r="IB151" s="11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1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1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1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28"/>
      <c r="I152" s="11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1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1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1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28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28"/>
      <c r="BE152" s="11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1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1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12"/>
      <c r="CQ152" s="52" t="str">
        <f t="shared" si="383"/>
        <v/>
      </c>
      <c r="CX152" s="128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28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28"/>
      <c r="FS152" s="11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1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1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1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12"/>
      <c r="IB152" s="11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1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1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1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28"/>
      <c r="I153" s="11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1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1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1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28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28"/>
      <c r="BE153" s="11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1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1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12"/>
      <c r="CQ153" s="52" t="str">
        <f t="shared" si="383"/>
        <v/>
      </c>
      <c r="CX153" s="128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28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28"/>
      <c r="FS153" s="11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1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1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1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12"/>
      <c r="IB153" s="11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1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1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1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28"/>
      <c r="I154" s="11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1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1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1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28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28"/>
      <c r="BE154" s="11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1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1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12"/>
      <c r="CQ154" s="52" t="str">
        <f t="shared" si="383"/>
        <v/>
      </c>
      <c r="CX154" s="128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28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28"/>
      <c r="FS154" s="11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1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1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1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12"/>
      <c r="IB154" s="11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1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1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1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28"/>
      <c r="I155" s="11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1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1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1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28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28"/>
      <c r="BE155" s="11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1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1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12"/>
      <c r="CQ155" s="52" t="str">
        <f t="shared" si="383"/>
        <v/>
      </c>
      <c r="CX155" s="128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28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28"/>
      <c r="FS155" s="11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1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1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1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12"/>
      <c r="IB155" s="11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1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1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1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28"/>
      <c r="I156" s="11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1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1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1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28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28"/>
      <c r="BE156" s="11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1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1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12"/>
      <c r="CQ156" s="52" t="str">
        <f t="shared" si="383"/>
        <v/>
      </c>
      <c r="CX156" s="128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28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28"/>
      <c r="FS156" s="11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1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1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1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12"/>
      <c r="IB156" s="11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1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1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1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28"/>
      <c r="I157" s="11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1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1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1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28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28"/>
      <c r="BE157" s="11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1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1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12"/>
      <c r="CQ157" s="52" t="str">
        <f t="shared" si="383"/>
        <v/>
      </c>
      <c r="CX157" s="128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28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28"/>
      <c r="FS157" s="11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1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1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1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12"/>
      <c r="IB157" s="11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1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1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1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28"/>
      <c r="I158" s="11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1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1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1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28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28"/>
      <c r="BE158" s="11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1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1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12"/>
      <c r="CQ158" s="52" t="str">
        <f t="shared" si="383"/>
        <v/>
      </c>
      <c r="CX158" s="128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28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28"/>
      <c r="FS158" s="11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1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1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1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12"/>
      <c r="IB158" s="11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1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1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1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28"/>
      <c r="I159" s="11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1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1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1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28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28"/>
      <c r="BE159" s="11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1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1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12"/>
      <c r="CQ159" s="52" t="str">
        <f t="shared" si="383"/>
        <v/>
      </c>
      <c r="CX159" s="128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28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28"/>
      <c r="FS159" s="11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1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1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1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12"/>
      <c r="IB159" s="11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1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1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1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28"/>
      <c r="I160" s="11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1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1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1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28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28"/>
      <c r="BE160" s="11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1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1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12"/>
      <c r="CQ160" s="52" t="str">
        <f t="shared" si="383"/>
        <v/>
      </c>
      <c r="CX160" s="128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28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28"/>
      <c r="FS160" s="11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1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1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1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12"/>
      <c r="IB160" s="11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1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1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1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28"/>
      <c r="I161" s="11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1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1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1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28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28"/>
      <c r="BE161" s="11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1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1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12"/>
      <c r="CQ161" s="52" t="str">
        <f t="shared" si="383"/>
        <v/>
      </c>
      <c r="CX161" s="128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28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28"/>
      <c r="FS161" s="11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1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1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1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12"/>
      <c r="IB161" s="11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1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1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1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28"/>
      <c r="I162" s="11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1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1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1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28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28"/>
      <c r="BE162" s="11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1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1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12"/>
      <c r="CQ162" s="52" t="str">
        <f t="shared" ref="CQ162:CQ201" si="582">IF(AND(Sufficient_data="Yes",Include_study?="Yes"),c_/(c_+d_),"")</f>
        <v/>
      </c>
      <c r="CX162" s="128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28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28"/>
      <c r="FS162" s="11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1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1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1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12"/>
      <c r="IB162" s="11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1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1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1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28"/>
      <c r="I163" s="11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1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1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1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28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28"/>
      <c r="BE163" s="11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1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1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12"/>
      <c r="CQ163" s="52" t="str">
        <f t="shared" si="582"/>
        <v/>
      </c>
      <c r="CX163" s="128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28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28"/>
      <c r="FS163" s="11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1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1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1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12"/>
      <c r="IB163" s="11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1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1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1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28"/>
      <c r="I164" s="11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1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1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1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28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28"/>
      <c r="BE164" s="11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1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1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12"/>
      <c r="CQ164" s="52" t="str">
        <f t="shared" si="582"/>
        <v/>
      </c>
      <c r="CX164" s="128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28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28"/>
      <c r="FS164" s="11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1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1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1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12"/>
      <c r="IB164" s="11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1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1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1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28"/>
      <c r="I165" s="11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1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1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1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28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28"/>
      <c r="BE165" s="11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1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1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12"/>
      <c r="CQ165" s="52" t="str">
        <f t="shared" si="582"/>
        <v/>
      </c>
      <c r="CX165" s="128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28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28"/>
      <c r="FS165" s="11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1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1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1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12"/>
      <c r="IB165" s="11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1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1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1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28"/>
      <c r="I166" s="11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1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1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1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28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28"/>
      <c r="BE166" s="11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1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1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12"/>
      <c r="CQ166" s="52" t="str">
        <f t="shared" si="582"/>
        <v/>
      </c>
      <c r="CX166" s="128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28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28"/>
      <c r="FS166" s="11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1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1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1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12"/>
      <c r="IB166" s="11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1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1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1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28"/>
      <c r="I167" s="11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1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1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1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28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28"/>
      <c r="BE167" s="11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1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1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12"/>
      <c r="CQ167" s="52" t="str">
        <f t="shared" si="582"/>
        <v/>
      </c>
      <c r="CX167" s="128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28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28"/>
      <c r="FS167" s="11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1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1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1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12"/>
      <c r="IB167" s="11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1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1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1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28"/>
      <c r="I168" s="11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1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1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1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28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28"/>
      <c r="BE168" s="11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1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1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12"/>
      <c r="CQ168" s="52" t="str">
        <f t="shared" si="582"/>
        <v/>
      </c>
      <c r="CX168" s="128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28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28"/>
      <c r="FS168" s="11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1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1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1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12"/>
      <c r="IB168" s="11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1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1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1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28"/>
      <c r="I169" s="11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1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1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1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28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28"/>
      <c r="BE169" s="11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1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1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12"/>
      <c r="CQ169" s="52" t="str">
        <f t="shared" si="582"/>
        <v/>
      </c>
      <c r="CX169" s="128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28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28"/>
      <c r="FS169" s="11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1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1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1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12"/>
      <c r="IB169" s="11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1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1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1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28"/>
      <c r="I170" s="11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1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1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1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28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28"/>
      <c r="BE170" s="11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1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1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12"/>
      <c r="CQ170" s="52" t="str">
        <f t="shared" si="582"/>
        <v/>
      </c>
      <c r="CX170" s="128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28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28"/>
      <c r="FS170" s="11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1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1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1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12"/>
      <c r="IB170" s="11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1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1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1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28"/>
      <c r="I171" s="11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1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1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1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28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28"/>
      <c r="BE171" s="11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1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1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12"/>
      <c r="CQ171" s="52" t="str">
        <f t="shared" si="582"/>
        <v/>
      </c>
      <c r="CX171" s="128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28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28"/>
      <c r="FS171" s="11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1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1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1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12"/>
      <c r="IB171" s="11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1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1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1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28"/>
      <c r="I172" s="11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1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1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1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28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28"/>
      <c r="BE172" s="11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1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1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12"/>
      <c r="CQ172" s="52" t="str">
        <f t="shared" si="582"/>
        <v/>
      </c>
      <c r="CX172" s="128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28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28"/>
      <c r="FS172" s="11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1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1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1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12"/>
      <c r="IB172" s="11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1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1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1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28"/>
      <c r="I173" s="11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1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1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1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28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28"/>
      <c r="BE173" s="11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1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1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12"/>
      <c r="CQ173" s="52" t="str">
        <f t="shared" si="582"/>
        <v/>
      </c>
      <c r="CX173" s="128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28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28"/>
      <c r="FS173" s="11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1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1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1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12"/>
      <c r="IB173" s="11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1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1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1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28"/>
      <c r="I174" s="11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1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1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1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28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28"/>
      <c r="BE174" s="11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1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1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12"/>
      <c r="CQ174" s="52" t="str">
        <f t="shared" si="582"/>
        <v/>
      </c>
      <c r="CX174" s="128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28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28"/>
      <c r="FS174" s="11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1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1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1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12"/>
      <c r="IB174" s="11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1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1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1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28"/>
      <c r="I175" s="11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1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1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1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28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28"/>
      <c r="BE175" s="11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1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1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12"/>
      <c r="CQ175" s="52" t="str">
        <f t="shared" si="582"/>
        <v/>
      </c>
      <c r="CX175" s="128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28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28"/>
      <c r="FS175" s="11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1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1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1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12"/>
      <c r="IB175" s="11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1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1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1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28"/>
      <c r="I176" s="11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1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1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1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28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28"/>
      <c r="BE176" s="11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1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1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12"/>
      <c r="CQ176" s="52" t="str">
        <f t="shared" si="582"/>
        <v/>
      </c>
      <c r="CX176" s="128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28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28"/>
      <c r="FS176" s="11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1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1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1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12"/>
      <c r="IB176" s="11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1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1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1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28"/>
      <c r="I177" s="11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1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1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1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28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28"/>
      <c r="BE177" s="11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1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1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12"/>
      <c r="CQ177" s="52" t="str">
        <f t="shared" si="582"/>
        <v/>
      </c>
      <c r="CX177" s="128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28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28"/>
      <c r="FS177" s="11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1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1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1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12"/>
      <c r="IB177" s="11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1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1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1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28"/>
      <c r="I178" s="11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1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1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1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28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28"/>
      <c r="BE178" s="11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1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1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12"/>
      <c r="CQ178" s="52" t="str">
        <f t="shared" si="582"/>
        <v/>
      </c>
      <c r="CX178" s="128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28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28"/>
      <c r="FS178" s="11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1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1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1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12"/>
      <c r="IB178" s="11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1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1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1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28"/>
      <c r="I179" s="11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1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1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1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28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28"/>
      <c r="BE179" s="11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1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1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12"/>
      <c r="CQ179" s="52" t="str">
        <f t="shared" si="582"/>
        <v/>
      </c>
      <c r="CX179" s="128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28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28"/>
      <c r="FS179" s="11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1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1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1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12"/>
      <c r="IB179" s="11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1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1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1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28"/>
      <c r="I180" s="11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1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1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1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28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28"/>
      <c r="BE180" s="11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1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1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12"/>
      <c r="CQ180" s="52" t="str">
        <f t="shared" si="582"/>
        <v/>
      </c>
      <c r="CX180" s="128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28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28"/>
      <c r="FS180" s="11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1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1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1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12"/>
      <c r="IB180" s="11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1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1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1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28"/>
      <c r="I181" s="11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1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1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1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28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28"/>
      <c r="BE181" s="11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1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1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12"/>
      <c r="CQ181" s="52" t="str">
        <f t="shared" si="582"/>
        <v/>
      </c>
      <c r="CX181" s="128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28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28"/>
      <c r="FS181" s="11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1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1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1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12"/>
      <c r="IB181" s="11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1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1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1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28"/>
      <c r="I182" s="11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1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1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1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28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28"/>
      <c r="BE182" s="11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1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1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12"/>
      <c r="CQ182" s="52" t="str">
        <f t="shared" si="582"/>
        <v/>
      </c>
      <c r="CX182" s="128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28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28"/>
      <c r="FS182" s="11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1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1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1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12"/>
      <c r="IB182" s="11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1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1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1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28"/>
      <c r="I183" s="11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1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1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1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28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28"/>
      <c r="BE183" s="11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1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1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12"/>
      <c r="CQ183" s="52" t="str">
        <f t="shared" si="582"/>
        <v/>
      </c>
      <c r="CX183" s="128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28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28"/>
      <c r="FS183" s="11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1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1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1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12"/>
      <c r="IB183" s="11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1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1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1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28"/>
      <c r="I184" s="11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1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1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1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28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28"/>
      <c r="BE184" s="11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1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1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12"/>
      <c r="CQ184" s="52" t="str">
        <f t="shared" si="582"/>
        <v/>
      </c>
      <c r="CX184" s="128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28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28"/>
      <c r="FS184" s="11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1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1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1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12"/>
      <c r="IB184" s="11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1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1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1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28"/>
      <c r="I185" s="11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1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1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1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28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28"/>
      <c r="BE185" s="11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1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1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12"/>
      <c r="CQ185" s="52" t="str">
        <f t="shared" si="582"/>
        <v/>
      </c>
      <c r="CX185" s="128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28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28"/>
      <c r="FS185" s="11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1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1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1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12"/>
      <c r="IB185" s="11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1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1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1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28"/>
      <c r="I186" s="11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1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1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1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28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28"/>
      <c r="BE186" s="11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1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1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12"/>
      <c r="CQ186" s="52" t="str">
        <f t="shared" si="582"/>
        <v/>
      </c>
      <c r="CX186" s="128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28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28"/>
      <c r="FS186" s="11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1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1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1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12"/>
      <c r="IB186" s="11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1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1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1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28"/>
      <c r="I187" s="11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1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1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1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28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28"/>
      <c r="BE187" s="11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1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1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12"/>
      <c r="CQ187" s="52" t="str">
        <f t="shared" si="582"/>
        <v/>
      </c>
      <c r="CX187" s="128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28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28"/>
      <c r="FS187" s="11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1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1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1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12"/>
      <c r="IB187" s="11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1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1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1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28"/>
      <c r="I188" s="11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1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1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1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28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28"/>
      <c r="BE188" s="11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1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1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12"/>
      <c r="CQ188" s="52" t="str">
        <f t="shared" si="582"/>
        <v/>
      </c>
      <c r="CX188" s="128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28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28"/>
      <c r="FS188" s="11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1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1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1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12"/>
      <c r="IB188" s="11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1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1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1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28"/>
      <c r="I189" s="11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1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1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1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28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28"/>
      <c r="BE189" s="11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1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1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12"/>
      <c r="CQ189" s="52" t="str">
        <f t="shared" si="582"/>
        <v/>
      </c>
      <c r="CX189" s="128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28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28"/>
      <c r="FS189" s="11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1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1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1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12"/>
      <c r="IB189" s="11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1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1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1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28"/>
      <c r="I190" s="11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1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1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1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28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28"/>
      <c r="BE190" s="11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1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1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12"/>
      <c r="CQ190" s="52" t="str">
        <f t="shared" si="582"/>
        <v/>
      </c>
      <c r="CX190" s="128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28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28"/>
      <c r="FS190" s="11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1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1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1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12"/>
      <c r="IB190" s="11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1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1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1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28"/>
      <c r="I191" s="11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1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1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1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28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28"/>
      <c r="BE191" s="11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1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1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12"/>
      <c r="CQ191" s="52" t="str">
        <f t="shared" si="582"/>
        <v/>
      </c>
      <c r="CX191" s="128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28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28"/>
      <c r="FS191" s="11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1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1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1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12"/>
      <c r="IB191" s="11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1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1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1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28"/>
      <c r="I192" s="11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1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1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1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28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28"/>
      <c r="BE192" s="11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1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1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12"/>
      <c r="CQ192" s="52" t="str">
        <f t="shared" si="582"/>
        <v/>
      </c>
      <c r="CX192" s="128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28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28"/>
      <c r="FS192" s="11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1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1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1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12"/>
      <c r="IB192" s="11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1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1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1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28"/>
      <c r="I193" s="11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1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1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1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28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28"/>
      <c r="BE193" s="11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1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1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12"/>
      <c r="CQ193" s="52" t="str">
        <f t="shared" si="582"/>
        <v/>
      </c>
      <c r="CX193" s="128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28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28"/>
      <c r="FS193" s="11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1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1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1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12"/>
      <c r="IB193" s="11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1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1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1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28"/>
      <c r="I194" s="11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1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1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1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28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28"/>
      <c r="BE194" s="11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1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1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12"/>
      <c r="CQ194" s="52" t="str">
        <f t="shared" si="582"/>
        <v/>
      </c>
      <c r="CX194" s="128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28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28"/>
      <c r="FS194" s="11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1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1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1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12"/>
      <c r="IB194" s="11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1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1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1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28"/>
      <c r="I195" s="11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1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1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1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28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28"/>
      <c r="BE195" s="11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1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1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12"/>
      <c r="CQ195" s="52" t="str">
        <f t="shared" si="582"/>
        <v/>
      </c>
      <c r="CX195" s="128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28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28"/>
      <c r="FS195" s="11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1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1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1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12"/>
      <c r="IB195" s="11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1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1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1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28"/>
      <c r="I196" s="11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1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1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1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28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28"/>
      <c r="BE196" s="11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1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1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12"/>
      <c r="CQ196" s="52" t="str">
        <f t="shared" si="582"/>
        <v/>
      </c>
      <c r="CX196" s="128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28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28"/>
      <c r="FS196" s="11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1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1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1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12"/>
      <c r="IB196" s="11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1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1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1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28"/>
      <c r="I197" s="11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1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1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1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28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28"/>
      <c r="BE197" s="11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1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1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12"/>
      <c r="CQ197" s="52" t="str">
        <f t="shared" si="582"/>
        <v/>
      </c>
      <c r="CX197" s="128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28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28"/>
      <c r="FS197" s="11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1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1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1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12"/>
      <c r="IB197" s="11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1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1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1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28"/>
      <c r="I198" s="11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1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1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1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28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28"/>
      <c r="BE198" s="11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1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1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12"/>
      <c r="CQ198" s="52" t="str">
        <f t="shared" si="582"/>
        <v/>
      </c>
      <c r="CX198" s="128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28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28"/>
      <c r="FS198" s="11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1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1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1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12"/>
      <c r="IB198" s="11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1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1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1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28"/>
      <c r="I199" s="11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1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1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1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28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28"/>
      <c r="BE199" s="11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1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1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12"/>
      <c r="CQ199" s="52" t="str">
        <f t="shared" si="582"/>
        <v/>
      </c>
      <c r="CX199" s="128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28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28"/>
      <c r="FS199" s="11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1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1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1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12"/>
      <c r="IB199" s="11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1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1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1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28"/>
      <c r="I200" s="11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1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1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1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28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28"/>
      <c r="BE200" s="11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1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1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12"/>
      <c r="CQ200" s="52" t="str">
        <f t="shared" si="582"/>
        <v/>
      </c>
      <c r="CX200" s="128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28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28"/>
      <c r="FS200" s="11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1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1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1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12"/>
      <c r="IB200" s="11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1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1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1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29"/>
      <c r="I201" s="11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1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1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1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29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29"/>
      <c r="BE201" s="11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1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1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13"/>
      <c r="CQ201" s="53" t="str">
        <f t="shared" si="582"/>
        <v/>
      </c>
      <c r="CX201" s="129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29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29"/>
      <c r="FS201" s="11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1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1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1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13"/>
      <c r="IB201" s="11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1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1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1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EX41:EY41"/>
    <mergeCell ref="EX33:EY33"/>
    <mergeCell ref="EX37:EY37"/>
    <mergeCell ref="EX16:EY16"/>
    <mergeCell ref="EX23:EY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Shiza Saleem (Biomedical Engineering)</cp:lastModifiedBy>
  <cp:revision/>
  <dcterms:created xsi:type="dcterms:W3CDTF">2013-09-05T11:10:04Z</dcterms:created>
  <dcterms:modified xsi:type="dcterms:W3CDTF">2023-07-06T19:02:34Z</dcterms:modified>
  <cp:category/>
  <cp:contentStatus/>
</cp:coreProperties>
</file>