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41" documentId="11_504AEC248D22737576B3406C9F60E98838EC1075" xr6:coauthVersionLast="47" xr6:coauthVersionMax="47" xr10:uidLastSave="{50F0B817-4C2A-468F-8A85-FC7B814A21D9}"/>
  <bookViews>
    <workbookView xWindow="-110" yWindow="-110" windowWidth="19420" windowHeight="10300" tabRatio="857" firstSheet="7" activeTab="2" xr2:uid="{00000000-000D-0000-FFFF-FFFF00000000}"/>
  </bookViews>
  <sheets>
    <sheet name="Input" sheetId="1" r:id="rId1"/>
    <sheet name="Forest Plot" sheetId="5" r:id="rId2"/>
    <sheet name="Subgroup Analysis" sheetId="9" r:id="rId3"/>
    <sheet name="Sheet1" sheetId="13" r:id="rId4"/>
    <sheet name="Moderator Analysis" sheetId="10" r:id="rId5"/>
    <sheet name="Publication Bias Analysis" sheetId="8" r:id="rId6"/>
    <sheet name="Calculations" sheetId="2" r:id="rId7"/>
    <sheet name="Final Image" sheetId="11" r:id="rId8"/>
    <sheet name="Sheet2" sheetId="12" r:id="rId9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1_">Input!$H:$H</definedName>
    <definedName name="n2_" localSheetId="0">Input!$I:$I</definedName>
    <definedName name="n2_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9" l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5" i="12" l="1"/>
  <c r="J6" i="12"/>
  <c r="J7" i="12"/>
  <c r="J8" i="12"/>
  <c r="J9" i="12"/>
  <c r="J10" i="12"/>
  <c r="J11" i="12"/>
  <c r="J12" i="12"/>
  <c r="J13" i="12"/>
  <c r="J14" i="12"/>
  <c r="J4" i="12"/>
  <c r="B4" i="8" l="1"/>
  <c r="A2" i="1"/>
  <c r="B3" i="2"/>
  <c r="B4" i="2"/>
  <c r="FB6" i="2"/>
  <c r="AM7" i="2"/>
  <c r="BE7" i="8" s="1"/>
  <c r="AM9" i="2"/>
  <c r="CZ9" i="2" s="1"/>
  <c r="B10" i="2"/>
  <c r="C11" i="2"/>
  <c r="B13" i="2"/>
  <c r="FJ15" i="2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D5" i="8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48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72" i="2" l="1"/>
  <c r="IW72" i="2" s="1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DR15" i="2" l="1"/>
  <c r="DP15" i="2"/>
  <c r="DR14" i="2"/>
  <c r="DP14" i="2"/>
  <c r="DR13" i="2"/>
  <c r="AC11" i="2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A7" i="1" l="1"/>
  <c r="S7" i="2"/>
  <c r="FT14" i="2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I9" i="2" l="1"/>
  <c r="DN9" i="2" s="1"/>
  <c r="DL9" i="2"/>
  <c r="AV12" i="8"/>
  <c r="IL12" i="2" s="1"/>
  <c r="JH12" i="2"/>
  <c r="JI12" i="2" s="1"/>
  <c r="JJ12" i="2" s="1"/>
  <c r="DT154" i="2"/>
  <c r="DZ154" i="2" s="1"/>
  <c r="DT30" i="2"/>
  <c r="EH30" i="2" s="1"/>
  <c r="DT36" i="2"/>
  <c r="DX36" i="2" s="1"/>
  <c r="DY36" i="2" s="1"/>
  <c r="DT48" i="2"/>
  <c r="EL48" i="2" s="1"/>
  <c r="DT107" i="2"/>
  <c r="EM107" i="2" s="1"/>
  <c r="DT145" i="2"/>
  <c r="EH145" i="2" s="1"/>
  <c r="DT108" i="2"/>
  <c r="EL108" i="2" s="1"/>
  <c r="DT161" i="2"/>
  <c r="EH161" i="2" s="1"/>
  <c r="DT94" i="2"/>
  <c r="EM94" i="2" s="1"/>
  <c r="DT72" i="2"/>
  <c r="DT21" i="2"/>
  <c r="DT50" i="2"/>
  <c r="EA50" i="2" s="1"/>
  <c r="ET50" i="2" s="1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DT183" i="2"/>
  <c r="EG183" i="2" s="1"/>
  <c r="DT35" i="2"/>
  <c r="EA35" i="2" s="1"/>
  <c r="ET35" i="2" s="1"/>
  <c r="DT155" i="2"/>
  <c r="DT197" i="2"/>
  <c r="DX197" i="2" s="1"/>
  <c r="DY197" i="2" s="1"/>
  <c r="DT163" i="2"/>
  <c r="EG163" i="2" s="1"/>
  <c r="DT62" i="2"/>
  <c r="EH62" i="2" s="1"/>
  <c r="DT152" i="2"/>
  <c r="EJ152" i="2" s="1"/>
  <c r="DT73" i="2"/>
  <c r="DT164" i="2"/>
  <c r="EJ164" i="2" s="1"/>
  <c r="DT9" i="2"/>
  <c r="DX9" i="2" s="1"/>
  <c r="DY9" i="2" s="1"/>
  <c r="DT186" i="2"/>
  <c r="DT173" i="2"/>
  <c r="EA173" i="2" s="1"/>
  <c r="ET173" i="2" s="1"/>
  <c r="DT76" i="2"/>
  <c r="ER76" i="2" s="1"/>
  <c r="DT14" i="2"/>
  <c r="EH14" i="2" s="1"/>
  <c r="DT25" i="2"/>
  <c r="DZ25" i="2" s="1"/>
  <c r="DT84" i="2"/>
  <c r="DT77" i="2"/>
  <c r="DT43" i="2"/>
  <c r="DU43" i="2" s="1"/>
  <c r="DT22" i="2"/>
  <c r="EI22" i="2" s="1"/>
  <c r="DT192" i="2"/>
  <c r="EM192" i="2" s="1"/>
  <c r="DT116" i="2"/>
  <c r="DW116" i="2" s="1"/>
  <c r="DT136" i="2"/>
  <c r="EM136" i="2" s="1"/>
  <c r="DT162" i="2"/>
  <c r="EK162" i="2" s="1"/>
  <c r="DT67" i="2"/>
  <c r="DT174" i="2"/>
  <c r="ES174" i="2" s="1"/>
  <c r="EU174" i="2" s="1"/>
  <c r="DT16" i="2"/>
  <c r="DU16" i="2" s="1"/>
  <c r="DT66" i="2"/>
  <c r="EN66" i="2" s="1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W124" i="2" s="1"/>
  <c r="DT60" i="2"/>
  <c r="DT85" i="2"/>
  <c r="EC85" i="2" s="1"/>
  <c r="DT127" i="2"/>
  <c r="EV127" i="2" s="1"/>
  <c r="DT49" i="2"/>
  <c r="EO49" i="2" s="1"/>
  <c r="DT141" i="2"/>
  <c r="DV141" i="2" s="1"/>
  <c r="DT89" i="2"/>
  <c r="DT135" i="2"/>
  <c r="EQ135" i="2" s="1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L80" i="2" s="1"/>
  <c r="DT23" i="2"/>
  <c r="DT93" i="2"/>
  <c r="EL93" i="2" s="1"/>
  <c r="DT142" i="2"/>
  <c r="DV142" i="2" s="1"/>
  <c r="DT188" i="2"/>
  <c r="EE188" i="2" s="1"/>
  <c r="DT130" i="2"/>
  <c r="EV130" i="2" s="1"/>
  <c r="DT193" i="2"/>
  <c r="DV193" i="2" s="1"/>
  <c r="AV7" i="8"/>
  <c r="IL7" i="2" s="1"/>
  <c r="DT105" i="2"/>
  <c r="ED105" i="2" s="1"/>
  <c r="DT182" i="2"/>
  <c r="DT53" i="2"/>
  <c r="ED53" i="2" s="1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EE92" i="2" s="1"/>
  <c r="DT55" i="2"/>
  <c r="DT41" i="2"/>
  <c r="DT19" i="2"/>
  <c r="EM19" i="2" s="1"/>
  <c r="DT143" i="2"/>
  <c r="EK143" i="2" s="1"/>
  <c r="DT54" i="2"/>
  <c r="EV54" i="2" s="1"/>
  <c r="DT114" i="2"/>
  <c r="EI114" i="2" s="1"/>
  <c r="DT110" i="2"/>
  <c r="DU110" i="2" s="1"/>
  <c r="DT52" i="2"/>
  <c r="DV52" i="2" s="1"/>
  <c r="DT98" i="2"/>
  <c r="DT194" i="2"/>
  <c r="EF194" i="2" s="1"/>
  <c r="DT146" i="2"/>
  <c r="EK146" i="2" s="1"/>
  <c r="DT122" i="2"/>
  <c r="DT79" i="2"/>
  <c r="DU79" i="2" s="1"/>
  <c r="DT189" i="2"/>
  <c r="EA189" i="2" s="1"/>
  <c r="ET189" i="2" s="1"/>
  <c r="DT44" i="2"/>
  <c r="EN44" i="2" s="1"/>
  <c r="DT125" i="2"/>
  <c r="EH125" i="2" s="1"/>
  <c r="DT71" i="2"/>
  <c r="DT28" i="2"/>
  <c r="EN28" i="2" s="1"/>
  <c r="DT121" i="2"/>
  <c r="EO121" i="2" s="1"/>
  <c r="DT111" i="2"/>
  <c r="DT64" i="2"/>
  <c r="EQ64" i="2" s="1"/>
  <c r="DT82" i="2"/>
  <c r="ER82" i="2" s="1"/>
  <c r="DT31" i="2"/>
  <c r="EN31" i="2" s="1"/>
  <c r="DT29" i="2"/>
  <c r="EI29" i="2" s="1"/>
  <c r="DT168" i="2"/>
  <c r="DV168" i="2" s="1"/>
  <c r="DT157" i="2"/>
  <c r="DT47" i="2"/>
  <c r="DU47" i="2" s="1"/>
  <c r="DT74" i="2"/>
  <c r="DU74" i="2" s="1"/>
  <c r="DT58" i="2"/>
  <c r="ES58" i="2" s="1"/>
  <c r="EU58" i="2" s="1"/>
  <c r="DT88" i="2"/>
  <c r="EN88" i="2" s="1"/>
  <c r="DT201" i="2"/>
  <c r="DZ201" i="2" s="1"/>
  <c r="DT45" i="2"/>
  <c r="EL45" i="2" s="1"/>
  <c r="DT171" i="2"/>
  <c r="EO171" i="2" s="1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V39" i="2" s="1"/>
  <c r="DT34" i="2"/>
  <c r="EV34" i="2" s="1"/>
  <c r="DT149" i="2"/>
  <c r="EH149" i="2" s="1"/>
  <c r="DT90" i="2"/>
  <c r="EA90" i="2" s="1"/>
  <c r="ET90" i="2" s="1"/>
  <c r="DT83" i="2"/>
  <c r="EQ83" i="2" s="1"/>
  <c r="DT87" i="2"/>
  <c r="EV87" i="2" s="1"/>
  <c r="DT129" i="2"/>
  <c r="EQ129" i="2" s="1"/>
  <c r="DT51" i="2"/>
  <c r="EC51" i="2" s="1"/>
  <c r="DT120" i="2"/>
  <c r="EM120" i="2" s="1"/>
  <c r="DT195" i="2"/>
  <c r="ED195" i="2" s="1"/>
  <c r="DT151" i="2"/>
  <c r="ER151" i="2" s="1"/>
  <c r="DT150" i="2"/>
  <c r="ED150" i="2" s="1"/>
  <c r="DT91" i="2"/>
  <c r="ER91" i="2" s="1"/>
  <c r="DT32" i="2"/>
  <c r="EM32" i="2" s="1"/>
  <c r="DT177" i="2"/>
  <c r="EK177" i="2" s="1"/>
  <c r="DT12" i="2"/>
  <c r="DV12" i="2" s="1"/>
  <c r="DT4" i="2"/>
  <c r="DW4" i="2" s="1"/>
  <c r="DX4" i="2" s="1"/>
  <c r="DT63" i="2"/>
  <c r="EI63" i="2" s="1"/>
  <c r="DT153" i="2"/>
  <c r="EM153" i="2" s="1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ES95" i="2" s="1"/>
  <c r="EU95" i="2" s="1"/>
  <c r="DT18" i="2"/>
  <c r="EH18" i="2" s="1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EV100" i="2" s="1"/>
  <c r="DT99" i="2"/>
  <c r="DT196" i="2"/>
  <c r="EC196" i="2" s="1"/>
  <c r="DT169" i="2"/>
  <c r="EN169" i="2" s="1"/>
  <c r="DT191" i="2"/>
  <c r="EQ191" i="2" s="1"/>
  <c r="DT179" i="2"/>
  <c r="EH179" i="2" s="1"/>
  <c r="DT103" i="2"/>
  <c r="EN103" i="2" s="1"/>
  <c r="DT81" i="2"/>
  <c r="EE81" i="2" s="1"/>
  <c r="DT65" i="2"/>
  <c r="EA65" i="2" s="1"/>
  <c r="ET65" i="2" s="1"/>
  <c r="DT56" i="2"/>
  <c r="ES56" i="2" s="1"/>
  <c r="EU56" i="2" s="1"/>
  <c r="DT133" i="2"/>
  <c r="EV133" i="2" s="1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EE37" i="2" s="1"/>
  <c r="DT140" i="2"/>
  <c r="EH140" i="2" s="1"/>
  <c r="DT147" i="2"/>
  <c r="EP147" i="2" s="1"/>
  <c r="DT176" i="2"/>
  <c r="EC176" i="2" s="1"/>
  <c r="DT61" i="2"/>
  <c r="EE61" i="2" s="1"/>
  <c r="DT148" i="2"/>
  <c r="EM148" i="2" s="1"/>
  <c r="DT96" i="2"/>
  <c r="EO96" i="2" s="1"/>
  <c r="DT178" i="2"/>
  <c r="DT119" i="2"/>
  <c r="EL119" i="2" s="1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EP68" i="2" s="1"/>
  <c r="DT123" i="2"/>
  <c r="ER123" i="2" s="1"/>
  <c r="DT190" i="2"/>
  <c r="EN190" i="2" s="1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H94" i="2"/>
  <c r="DZ94" i="2"/>
  <c r="EV165" i="2"/>
  <c r="DV165" i="2"/>
  <c r="EL165" i="2"/>
  <c r="EA165" i="2"/>
  <c r="ET165" i="2" s="1"/>
  <c r="DW165" i="2"/>
  <c r="DZ142" i="2"/>
  <c r="ED142" i="2"/>
  <c r="EQ142" i="2"/>
  <c r="EA142" i="2"/>
  <c r="ET142" i="2" s="1"/>
  <c r="DU142" i="2"/>
  <c r="EL142" i="2"/>
  <c r="EK142" i="2"/>
  <c r="EH142" i="2"/>
  <c r="ES183" i="2"/>
  <c r="EU183" i="2" s="1"/>
  <c r="EH183" i="2"/>
  <c r="EM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S35" i="2"/>
  <c r="EU35" i="2" s="1"/>
  <c r="EJ35" i="2"/>
  <c r="DU35" i="2"/>
  <c r="EG35" i="2"/>
  <c r="EF35" i="2"/>
  <c r="DW35" i="2"/>
  <c r="EK35" i="2"/>
  <c r="ED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M129" i="2"/>
  <c r="DU129" i="2"/>
  <c r="ER129" i="2"/>
  <c r="H173" i="9"/>
  <c r="DW155" i="2"/>
  <c r="EP197" i="2"/>
  <c r="DU197" i="2"/>
  <c r="EC197" i="2"/>
  <c r="EG197" i="2"/>
  <c r="EH197" i="2"/>
  <c r="EN197" i="2"/>
  <c r="EK197" i="2"/>
  <c r="EO197" i="2"/>
  <c r="DW197" i="2"/>
  <c r="EM197" i="2"/>
  <c r="EF197" i="2"/>
  <c r="ED197" i="2"/>
  <c r="EV197" i="2"/>
  <c r="EA124" i="2"/>
  <c r="ET124" i="2" s="1"/>
  <c r="EF124" i="2"/>
  <c r="ED124" i="2"/>
  <c r="EO124" i="2"/>
  <c r="DX124" i="2"/>
  <c r="DY124" i="2" s="1"/>
  <c r="EQ124" i="2"/>
  <c r="EK124" i="2"/>
  <c r="DV124" i="2"/>
  <c r="EH124" i="2"/>
  <c r="DU124" i="2"/>
  <c r="ES124" i="2"/>
  <c r="EU124" i="2" s="1"/>
  <c r="EL124" i="2"/>
  <c r="EJ22" i="2"/>
  <c r="EK22" i="2"/>
  <c r="ED22" i="2"/>
  <c r="DU22" i="2"/>
  <c r="ES22" i="2"/>
  <c r="EU22" i="2" s="1"/>
  <c r="EO22" i="2"/>
  <c r="DZ174" i="2"/>
  <c r="DU127" i="2"/>
  <c r="EI127" i="2"/>
  <c r="EA127" i="2"/>
  <c r="ET127" i="2" s="1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DU25" i="2"/>
  <c r="EI25" i="2"/>
  <c r="EH25" i="2"/>
  <c r="ER25" i="2"/>
  <c r="EO141" i="2"/>
  <c r="ER141" i="2"/>
  <c r="EH141" i="2"/>
  <c r="EP141" i="2"/>
  <c r="EF141" i="2"/>
  <c r="EP150" i="2"/>
  <c r="EF150" i="2"/>
  <c r="EV150" i="2"/>
  <c r="EL150" i="2"/>
  <c r="EC150" i="2"/>
  <c r="EN150" i="2"/>
  <c r="EO92" i="2"/>
  <c r="EJ92" i="2"/>
  <c r="EI92" i="2"/>
  <c r="EP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R147" i="2"/>
  <c r="ES70" i="2"/>
  <c r="EU70" i="2" s="1"/>
  <c r="EK70" i="2"/>
  <c r="ER9" i="2"/>
  <c r="EH9" i="2"/>
  <c r="EN9" i="2"/>
  <c r="ED9" i="2"/>
  <c r="EI9" i="2"/>
  <c r="EC9" i="2"/>
  <c r="DV9" i="2"/>
  <c r="EK9" i="2"/>
  <c r="EG9" i="2"/>
  <c r="EB9" i="2"/>
  <c r="EO9" i="2"/>
  <c r="EV9" i="2"/>
  <c r="DZ9" i="2"/>
  <c r="DZ186" i="2"/>
  <c r="EB186" i="2"/>
  <c r="EJ186" i="2"/>
  <c r="DV186" i="2"/>
  <c r="EP186" i="2"/>
  <c r="EE60" i="2"/>
  <c r="ER79" i="2"/>
  <c r="ES79" i="2"/>
  <c r="EU79" i="2" s="1"/>
  <c r="EG79" i="2"/>
  <c r="EV189" i="2"/>
  <c r="EC125" i="2"/>
  <c r="EL125" i="2"/>
  <c r="DW125" i="2"/>
  <c r="EO125" i="2"/>
  <c r="EF125" i="2"/>
  <c r="DX125" i="2"/>
  <c r="DY125" i="2" s="1"/>
  <c r="DV125" i="2"/>
  <c r="EN125" i="2"/>
  <c r="EI125" i="2"/>
  <c r="ED71" i="2"/>
  <c r="DU71" i="2"/>
  <c r="EO71" i="2"/>
  <c r="DV71" i="2"/>
  <c r="ER121" i="2"/>
  <c r="EM121" i="2"/>
  <c r="ES121" i="2"/>
  <c r="EU121" i="2" s="1"/>
  <c r="EG121" i="2"/>
  <c r="DV121" i="2"/>
  <c r="EE121" i="2"/>
  <c r="EP121" i="2"/>
  <c r="EF121" i="2"/>
  <c r="DU121" i="2"/>
  <c r="EK121" i="2"/>
  <c r="EB121" i="2"/>
  <c r="EA121" i="2"/>
  <c r="ET121" i="2" s="1"/>
  <c r="EV121" i="2"/>
  <c r="ED111" i="2"/>
  <c r="EF64" i="2"/>
  <c r="EK64" i="2"/>
  <c r="EG64" i="2"/>
  <c r="EA179" i="2"/>
  <c r="ET179" i="2" s="1"/>
  <c r="EM179" i="2"/>
  <c r="EV179" i="2"/>
  <c r="EQ179" i="2"/>
  <c r="EM82" i="2"/>
  <c r="DW82" i="2"/>
  <c r="EV82" i="2"/>
  <c r="DZ82" i="2"/>
  <c r="EQ100" i="2"/>
  <c r="EL148" i="2"/>
  <c r="EM119" i="2"/>
  <c r="EH119" i="2"/>
  <c r="EA119" i="2"/>
  <c r="ET119" i="2" s="1"/>
  <c r="DU119" i="2"/>
  <c r="EK119" i="2"/>
  <c r="EG119" i="2"/>
  <c r="DX119" i="2"/>
  <c r="DY119" i="2" s="1"/>
  <c r="DW119" i="2"/>
  <c r="EB119" i="2"/>
  <c r="EI119" i="2"/>
  <c r="EC119" i="2"/>
  <c r="DV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S154" i="2"/>
  <c r="EU154" i="2" s="1"/>
  <c r="DW154" i="2"/>
  <c r="EE154" i="2"/>
  <c r="EH154" i="2"/>
  <c r="ED154" i="2"/>
  <c r="EQ154" i="2"/>
  <c r="DV154" i="2"/>
  <c r="EG154" i="2"/>
  <c r="EM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S132" i="2"/>
  <c r="EU132" i="2" s="1"/>
  <c r="ED132" i="2"/>
  <c r="DW132" i="2"/>
  <c r="EC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EN168" i="2"/>
  <c r="EO168" i="2"/>
  <c r="EE168" i="2"/>
  <c r="EB168" i="2"/>
  <c r="DU168" i="2"/>
  <c r="DZ168" i="2"/>
  <c r="EK47" i="2"/>
  <c r="EL47" i="2"/>
  <c r="EC47" i="2"/>
  <c r="EO47" i="2"/>
  <c r="EQ47" i="2"/>
  <c r="ES47" i="2"/>
  <c r="EU47" i="2" s="1"/>
  <c r="DX47" i="2"/>
  <c r="DY47" i="2" s="1"/>
  <c r="EE47" i="2"/>
  <c r="EG47" i="2"/>
  <c r="EV47" i="2"/>
  <c r="DW47" i="2"/>
  <c r="DZ47" i="2"/>
  <c r="EP47" i="2"/>
  <c r="EB74" i="2"/>
  <c r="EL58" i="2"/>
  <c r="EG58" i="2"/>
  <c r="EE58" i="2"/>
  <c r="EV88" i="2"/>
  <c r="EA88" i="2"/>
  <c r="ET88" i="2" s="1"/>
  <c r="EG88" i="2"/>
  <c r="EJ88" i="2"/>
  <c r="EQ45" i="2"/>
  <c r="EK45" i="2"/>
  <c r="EB45" i="2"/>
  <c r="DW45" i="2"/>
  <c r="EJ45" i="2"/>
  <c r="EE45" i="2"/>
  <c r="EF45" i="2"/>
  <c r="ER45" i="2"/>
  <c r="EI45" i="2"/>
  <c r="ED171" i="2"/>
  <c r="EQ171" i="2"/>
  <c r="EK171" i="2"/>
  <c r="DX171" i="2"/>
  <c r="DY171" i="2" s="1"/>
  <c r="EN171" i="2"/>
  <c r="DW171" i="2"/>
  <c r="EC171" i="2"/>
  <c r="EH91" i="2"/>
  <c r="EC68" i="2"/>
  <c r="EE68" i="2"/>
  <c r="EK68" i="2"/>
  <c r="DU68" i="2"/>
  <c r="EJ68" i="2"/>
  <c r="EQ68" i="2"/>
  <c r="EA190" i="2"/>
  <c r="ET190" i="2" s="1"/>
  <c r="ES190" i="2"/>
  <c r="EU190" i="2" s="1"/>
  <c r="EE190" i="2"/>
  <c r="EK190" i="2"/>
  <c r="DZ190" i="2"/>
  <c r="EJ190" i="2"/>
  <c r="EO190" i="2"/>
  <c r="EF190" i="2"/>
  <c r="EQ190" i="2"/>
  <c r="EG190" i="2"/>
  <c r="EB190" i="2"/>
  <c r="ER190" i="2"/>
  <c r="EK117" i="2"/>
  <c r="EI11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E112" i="2"/>
  <c r="ES112" i="2"/>
  <c r="EU112" i="2" s="1"/>
  <c r="DV112" i="2"/>
  <c r="EA112" i="2"/>
  <c r="ET112" i="2" s="1"/>
  <c r="DU112" i="2"/>
  <c r="EI112" i="2"/>
  <c r="EL112" i="2"/>
  <c r="EN112" i="2"/>
  <c r="EG112" i="2"/>
  <c r="EO76" i="2"/>
  <c r="EE76" i="2"/>
  <c r="EP76" i="2"/>
  <c r="EM38" i="2"/>
  <c r="EK38" i="2"/>
  <c r="EV38" i="2"/>
  <c r="ES38" i="2"/>
  <c r="EU38" i="2" s="1"/>
  <c r="EF39" i="2"/>
  <c r="EC39" i="2"/>
  <c r="EA39" i="2"/>
  <c r="ET39" i="2" s="1"/>
  <c r="EK39" i="2"/>
  <c r="DV39" i="2"/>
  <c r="EJ39" i="2"/>
  <c r="ES39" i="2"/>
  <c r="EU39" i="2" s="1"/>
  <c r="EI39" i="2"/>
  <c r="EO39" i="2"/>
  <c r="EG34" i="2"/>
  <c r="DZ34" i="2"/>
  <c r="ES34" i="2"/>
  <c r="EU34" i="2" s="1"/>
  <c r="EE34" i="2"/>
  <c r="EH34" i="2"/>
  <c r="EB34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A83" i="2"/>
  <c r="ET83" i="2" s="1"/>
  <c r="DU15" i="2"/>
  <c r="EP15" i="2"/>
  <c r="EL15" i="2"/>
  <c r="EL81" i="2"/>
  <c r="EM126" i="2"/>
  <c r="EB126" i="2"/>
  <c r="EL143" i="2"/>
  <c r="DZ143" i="2"/>
  <c r="EJ29" i="2"/>
  <c r="DX29" i="2"/>
  <c r="DY29" i="2" s="1"/>
  <c r="EH29" i="2"/>
  <c r="DW29" i="2"/>
  <c r="ED29" i="2"/>
  <c r="DV29" i="2"/>
  <c r="EN29" i="2"/>
  <c r="EE29" i="2"/>
  <c r="EO29" i="2"/>
  <c r="EN191" i="2"/>
  <c r="EA191" i="2"/>
  <c r="ET191" i="2" s="1"/>
  <c r="ED191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G48" i="2"/>
  <c r="EE48" i="2"/>
  <c r="DU48" i="2"/>
  <c r="DV48" i="2"/>
  <c r="EI48" i="2"/>
  <c r="EH48" i="2"/>
  <c r="EN48" i="2"/>
  <c r="EP48" i="2"/>
  <c r="EK48" i="2"/>
  <c r="ES43" i="2"/>
  <c r="EU43" i="2" s="1"/>
  <c r="DV43" i="2"/>
  <c r="EC43" i="2"/>
  <c r="EJ43" i="2"/>
  <c r="EF43" i="2"/>
  <c r="EE43" i="2"/>
  <c r="EK43" i="2"/>
  <c r="EQ43" i="2"/>
  <c r="EV43" i="2"/>
  <c r="EN43" i="2"/>
  <c r="DX43" i="2"/>
  <c r="DY43" i="2" s="1"/>
  <c r="EP43" i="2"/>
  <c r="DZ43" i="2"/>
  <c r="EO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L85" i="2"/>
  <c r="DW85" i="2"/>
  <c r="EQ85" i="2"/>
  <c r="DV59" i="2"/>
  <c r="EL59" i="2"/>
  <c r="DX152" i="2"/>
  <c r="DY152" i="2" s="1"/>
  <c r="DW152" i="2"/>
  <c r="DU152" i="2"/>
  <c r="EL152" i="2"/>
  <c r="EO152" i="2"/>
  <c r="DV152" i="2"/>
  <c r="EH152" i="2"/>
  <c r="DZ152" i="2"/>
  <c r="EV152" i="2"/>
  <c r="DX116" i="2"/>
  <c r="DY116" i="2" s="1"/>
  <c r="ES116" i="2"/>
  <c r="EU116" i="2" s="1"/>
  <c r="EE130" i="2"/>
  <c r="ES130" i="2"/>
  <c r="EU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D145" i="2"/>
  <c r="EV145" i="2"/>
  <c r="EB145" i="2"/>
  <c r="EP145" i="2"/>
  <c r="EI145" i="2"/>
  <c r="DX145" i="2"/>
  <c r="DY145" i="2" s="1"/>
  <c r="EN145" i="2"/>
  <c r="DU145" i="2"/>
  <c r="EG145" i="2"/>
  <c r="DV145" i="2"/>
  <c r="DW145" i="2"/>
  <c r="EL194" i="2"/>
  <c r="EK66" i="2"/>
  <c r="EE66" i="2"/>
  <c r="EF66" i="2"/>
  <c r="DU66" i="2"/>
  <c r="EG66" i="2"/>
  <c r="EB66" i="2"/>
  <c r="ER105" i="2"/>
  <c r="ES105" i="2"/>
  <c r="EU105" i="2" s="1"/>
  <c r="EN105" i="2"/>
  <c r="EM105" i="2"/>
  <c r="EG105" i="2"/>
  <c r="DW105" i="2"/>
  <c r="EF105" i="2"/>
  <c r="EQ105" i="2"/>
  <c r="EP105" i="2"/>
  <c r="DZ105" i="2"/>
  <c r="EK87" i="2"/>
  <c r="EC87" i="2"/>
  <c r="EP87" i="2"/>
  <c r="EC65" i="2"/>
  <c r="EF65" i="2"/>
  <c r="EN65" i="2"/>
  <c r="EE65" i="2"/>
  <c r="EK65" i="2"/>
  <c r="ED65" i="2"/>
  <c r="EB196" i="2"/>
  <c r="EI196" i="2"/>
  <c r="EH196" i="2"/>
  <c r="DZ196" i="2"/>
  <c r="EA196" i="2"/>
  <c r="ET196" i="2" s="1"/>
  <c r="EQ196" i="2"/>
  <c r="EO196" i="2"/>
  <c r="DW196" i="2"/>
  <c r="EV196" i="2"/>
  <c r="EE196" i="2"/>
  <c r="ES196" i="2"/>
  <c r="EU196" i="2" s="1"/>
  <c r="EF196" i="2"/>
  <c r="EL196" i="2"/>
  <c r="EJ133" i="2"/>
  <c r="EB133" i="2"/>
  <c r="EO133" i="2"/>
  <c r="EA133" i="2"/>
  <c r="ET133" i="2" s="1"/>
  <c r="EN133" i="2"/>
  <c r="EE133" i="2"/>
  <c r="EF133" i="2"/>
  <c r="ES133" i="2"/>
  <c r="EU133" i="2" s="1"/>
  <c r="DV133" i="2"/>
  <c r="DU133" i="2"/>
  <c r="EK133" i="2"/>
  <c r="EL133" i="2"/>
  <c r="EM133" i="2"/>
  <c r="DU177" i="2"/>
  <c r="DW177" i="2"/>
  <c r="EJ177" i="2"/>
  <c r="EO54" i="2"/>
  <c r="EJ54" i="2"/>
  <c r="DZ54" i="2"/>
  <c r="DX75" i="2"/>
  <c r="DY75" i="2" s="1"/>
  <c r="EK75" i="2"/>
  <c r="EB75" i="2"/>
  <c r="EM75" i="2"/>
  <c r="DZ75" i="2"/>
  <c r="EN75" i="2"/>
  <c r="EG75" i="2"/>
  <c r="EJ75" i="2"/>
  <c r="DV75" i="2"/>
  <c r="EV75" i="2"/>
  <c r="ER75" i="2"/>
  <c r="ED75" i="2"/>
  <c r="DW75" i="2"/>
  <c r="EE80" i="2"/>
  <c r="EG80" i="2"/>
  <c r="EJ80" i="2"/>
  <c r="ER80" i="2"/>
  <c r="EM80" i="2"/>
  <c r="EB80" i="2"/>
  <c r="EC80" i="2"/>
  <c r="EA80" i="2"/>
  <c r="ET80" i="2" s="1"/>
  <c r="EI80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Q50" i="2"/>
  <c r="DZ50" i="2"/>
  <c r="EK50" i="2"/>
  <c r="EG50" i="2"/>
  <c r="EF50" i="2"/>
  <c r="DV50" i="2"/>
  <c r="EM50" i="2"/>
  <c r="DW50" i="2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L16" i="2"/>
  <c r="ES16" i="2"/>
  <c r="EU16" i="2" s="1"/>
  <c r="EM16" i="2"/>
  <c r="ED16" i="2"/>
  <c r="EC16" i="2"/>
  <c r="EQ16" i="2"/>
  <c r="EV16" i="2"/>
  <c r="EI16" i="2"/>
  <c r="DV16" i="2"/>
  <c r="EJ16" i="2"/>
  <c r="EF16" i="2"/>
  <c r="ER16" i="2"/>
  <c r="ER120" i="2"/>
  <c r="EO120" i="2"/>
  <c r="EA120" i="2"/>
  <c r="ET120" i="2" s="1"/>
  <c r="DU120" i="2"/>
  <c r="EB120" i="2"/>
  <c r="DW120" i="2"/>
  <c r="EN120" i="2"/>
  <c r="EE120" i="2"/>
  <c r="EK120" i="2"/>
  <c r="EA195" i="2"/>
  <c r="ET195" i="2" s="1"/>
  <c r="EO195" i="2"/>
  <c r="DW195" i="2"/>
  <c r="EE195" i="2"/>
  <c r="ES195" i="2"/>
  <c r="EU195" i="2" s="1"/>
  <c r="DV195" i="2"/>
  <c r="EB195" i="2"/>
  <c r="EH63" i="2"/>
  <c r="EO63" i="2"/>
  <c r="ED63" i="2"/>
  <c r="EB63" i="2"/>
  <c r="EM63" i="2"/>
  <c r="EP63" i="2"/>
  <c r="DV63" i="2"/>
  <c r="EF146" i="2"/>
  <c r="DU146" i="2"/>
  <c r="EE146" i="2"/>
  <c r="DW146" i="2"/>
  <c r="EQ146" i="2"/>
  <c r="EG146" i="2"/>
  <c r="EH146" i="2"/>
  <c r="EP146" i="2"/>
  <c r="EL146" i="2"/>
  <c r="ES146" i="2"/>
  <c r="EU146" i="2" s="1"/>
  <c r="EA146" i="2"/>
  <c r="ET146" i="2" s="1"/>
  <c r="EI146" i="2"/>
  <c r="EQ19" i="2"/>
  <c r="EN19" i="2"/>
  <c r="DZ19" i="2"/>
  <c r="EA19" i="2"/>
  <c r="ET19" i="2" s="1"/>
  <c r="EH19" i="2"/>
  <c r="EJ19" i="2"/>
  <c r="EG19" i="2"/>
  <c r="ED19" i="2"/>
  <c r="DW19" i="2"/>
  <c r="EV19" i="2"/>
  <c r="EO19" i="2"/>
  <c r="EF19" i="2"/>
  <c r="EF32" i="2"/>
  <c r="EN32" i="2"/>
  <c r="DW32" i="2"/>
  <c r="EM128" i="2"/>
  <c r="ER172" i="2"/>
  <c r="EJ21" i="2"/>
  <c r="EP21" i="2"/>
  <c r="EC107" i="2"/>
  <c r="DZ107" i="2"/>
  <c r="EK107" i="2"/>
  <c r="DX107" i="2"/>
  <c r="DY107" i="2" s="1"/>
  <c r="ED107" i="2"/>
  <c r="EF107" i="2"/>
  <c r="EE107" i="2"/>
  <c r="DZ162" i="2"/>
  <c r="DX162" i="2"/>
  <c r="DY162" i="2" s="1"/>
  <c r="EV162" i="2"/>
  <c r="DU162" i="2"/>
  <c r="EC162" i="2"/>
  <c r="EH162" i="2"/>
  <c r="ES162" i="2"/>
  <c r="EU162" i="2" s="1"/>
  <c r="EM162" i="2"/>
  <c r="EO162" i="2"/>
  <c r="EI162" i="2"/>
  <c r="EJ173" i="2"/>
  <c r="EB173" i="2"/>
  <c r="DV173" i="2"/>
  <c r="EL173" i="2"/>
  <c r="DU173" i="2"/>
  <c r="EE173" i="2"/>
  <c r="ES173" i="2"/>
  <c r="EU173" i="2" s="1"/>
  <c r="EM173" i="2"/>
  <c r="EH173" i="2"/>
  <c r="EN173" i="2"/>
  <c r="EP173" i="2"/>
  <c r="EK173" i="2"/>
  <c r="EK137" i="2"/>
  <c r="ED137" i="2"/>
  <c r="EV137" i="2"/>
  <c r="EJ137" i="2"/>
  <c r="EA137" i="2"/>
  <c r="ET137" i="2" s="1"/>
  <c r="EE137" i="2"/>
  <c r="EC137" i="2"/>
  <c r="EM137" i="2"/>
  <c r="EH137" i="2"/>
  <c r="DW137" i="2"/>
  <c r="EL137" i="2"/>
  <c r="EQ137" i="2"/>
  <c r="DV137" i="2"/>
  <c r="DU192" i="2"/>
  <c r="EV192" i="2"/>
  <c r="EI192" i="2"/>
  <c r="EO192" i="2"/>
  <c r="DV192" i="2"/>
  <c r="EL192" i="2"/>
  <c r="EC192" i="2"/>
  <c r="ED192" i="2"/>
  <c r="EA192" i="2"/>
  <c r="ET192" i="2" s="1"/>
  <c r="DZ192" i="2"/>
  <c r="DX192" i="2"/>
  <c r="DY192" i="2" s="1"/>
  <c r="EQ192" i="2"/>
  <c r="EH104" i="2"/>
  <c r="EJ104" i="2"/>
  <c r="EN104" i="2"/>
  <c r="DW104" i="2"/>
  <c r="ED104" i="2"/>
  <c r="EQ104" i="2"/>
  <c r="EF104" i="2"/>
  <c r="EO104" i="2"/>
  <c r="EV104" i="2"/>
  <c r="EE104" i="2"/>
  <c r="EA104" i="2"/>
  <c r="ET104" i="2" s="1"/>
  <c r="EI104" i="2"/>
  <c r="EL52" i="2"/>
  <c r="DW52" i="2"/>
  <c r="EH52" i="2"/>
  <c r="EP52" i="2"/>
  <c r="DX52" i="2"/>
  <c r="DY52" i="2" s="1"/>
  <c r="EJ52" i="2"/>
  <c r="EA52" i="2"/>
  <c r="ET52" i="2" s="1"/>
  <c r="DZ52" i="2"/>
  <c r="ER52" i="2"/>
  <c r="EO27" i="2"/>
  <c r="ES27" i="2"/>
  <c r="EU27" i="2" s="1"/>
  <c r="ER27" i="2"/>
  <c r="DU27" i="2"/>
  <c r="EK27" i="2"/>
  <c r="EG27" i="2"/>
  <c r="EL27" i="2"/>
  <c r="ED27" i="2"/>
  <c r="EP27" i="2"/>
  <c r="EH27" i="2"/>
  <c r="EQ27" i="2"/>
  <c r="EC27" i="2"/>
  <c r="EV27" i="2"/>
  <c r="EM46" i="2"/>
  <c r="EQ46" i="2"/>
  <c r="ES46" i="2"/>
  <c r="EU46" i="2" s="1"/>
  <c r="EK46" i="2"/>
  <c r="DX185" i="2"/>
  <c r="DY185" i="2" s="1"/>
  <c r="EJ185" i="2"/>
  <c r="EC185" i="2"/>
  <c r="EE57" i="2"/>
  <c r="EM57" i="2"/>
  <c r="EJ187" i="2"/>
  <c r="EG187" i="2"/>
  <c r="EI187" i="2"/>
  <c r="EV187" i="2"/>
  <c r="EA187" i="2"/>
  <c r="ET187" i="2" s="1"/>
  <c r="DW187" i="2"/>
  <c r="DZ187" i="2"/>
  <c r="EF33" i="2"/>
  <c r="DV33" i="2"/>
  <c r="EA33" i="2"/>
  <c r="ET33" i="2" s="1"/>
  <c r="ER33" i="2"/>
  <c r="DW33" i="2"/>
  <c r="EC33" i="2"/>
  <c r="EH33" i="2"/>
  <c r="EE33" i="2"/>
  <c r="EO33" i="2"/>
  <c r="DX33" i="2"/>
  <c r="DY33" i="2" s="1"/>
  <c r="ES33" i="2"/>
  <c r="EU33" i="2" s="1"/>
  <c r="EK33" i="2"/>
  <c r="EJ114" i="2"/>
  <c r="EV114" i="2"/>
  <c r="DZ170" i="2"/>
  <c r="EI170" i="2"/>
  <c r="EH170" i="2"/>
  <c r="EF170" i="2"/>
  <c r="EL170" i="2"/>
  <c r="DU170" i="2"/>
  <c r="EJ170" i="2"/>
  <c r="EC170" i="2"/>
  <c r="EE170" i="2"/>
  <c r="ES170" i="2"/>
  <c r="EU170" i="2" s="1"/>
  <c r="DV170" i="2"/>
  <c r="EN170" i="2"/>
  <c r="EQ170" i="2"/>
  <c r="EN156" i="2"/>
  <c r="EM156" i="2"/>
  <c r="DU156" i="2"/>
  <c r="EQ140" i="2"/>
  <c r="EA102" i="2"/>
  <c r="ET102" i="2" s="1"/>
  <c r="EO102" i="2"/>
  <c r="EF102" i="2"/>
  <c r="ED102" i="2"/>
  <c r="EC102" i="2"/>
  <c r="DX102" i="2"/>
  <c r="DY102" i="2" s="1"/>
  <c r="DZ102" i="2"/>
  <c r="DT10" i="2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37" i="2" l="1"/>
  <c r="EA18" i="2"/>
  <c r="ET18" i="2" s="1"/>
  <c r="DZ118" i="2"/>
  <c r="DZ37" i="2"/>
  <c r="DU37" i="2"/>
  <c r="EF139" i="2"/>
  <c r="EB96" i="2"/>
  <c r="EG18" i="2"/>
  <c r="EC18" i="2"/>
  <c r="EK176" i="2"/>
  <c r="EP37" i="2"/>
  <c r="EK181" i="2"/>
  <c r="EV96" i="2"/>
  <c r="DX18" i="2"/>
  <c r="DY18" i="2" s="1"/>
  <c r="ED100" i="2"/>
  <c r="EF176" i="2"/>
  <c r="EH176" i="2"/>
  <c r="EH118" i="2"/>
  <c r="EP56" i="2"/>
  <c r="EH37" i="2"/>
  <c r="EQ37" i="2"/>
  <c r="EC37" i="2"/>
  <c r="EI37" i="2"/>
  <c r="EK139" i="2"/>
  <c r="EQ167" i="2"/>
  <c r="EP123" i="2"/>
  <c r="EM181" i="2"/>
  <c r="EF96" i="2"/>
  <c r="EC96" i="2"/>
  <c r="DZ18" i="2"/>
  <c r="DV18" i="2"/>
  <c r="EE18" i="2"/>
  <c r="EI18" i="2"/>
  <c r="EV18" i="2"/>
  <c r="ES100" i="2"/>
  <c r="EU100" i="2" s="1"/>
  <c r="EH100" i="2"/>
  <c r="DZ169" i="2"/>
  <c r="EL176" i="2"/>
  <c r="EG118" i="2"/>
  <c r="DV37" i="2"/>
  <c r="ES37" i="2"/>
  <c r="EU37" i="2" s="1"/>
  <c r="EK37" i="2"/>
  <c r="EV37" i="2"/>
  <c r="EQ139" i="2"/>
  <c r="DW139" i="2"/>
  <c r="ES181" i="2"/>
  <c r="EU181" i="2" s="1"/>
  <c r="EQ96" i="2"/>
  <c r="EH96" i="2"/>
  <c r="ED18" i="2"/>
  <c r="EF18" i="2"/>
  <c r="ER18" i="2"/>
  <c r="DW18" i="2"/>
  <c r="DZ100" i="2"/>
  <c r="EK100" i="2"/>
  <c r="EP169" i="2"/>
  <c r="DX113" i="2"/>
  <c r="DY113" i="2" s="1"/>
  <c r="EM52" i="2"/>
  <c r="EK52" i="2"/>
  <c r="EC52" i="2"/>
  <c r="EG162" i="2"/>
  <c r="EJ162" i="2"/>
  <c r="DV162" i="2"/>
  <c r="EI120" i="2"/>
  <c r="DX120" i="2"/>
  <c r="DY120" i="2" s="1"/>
  <c r="EG120" i="2"/>
  <c r="DW36" i="2"/>
  <c r="ES80" i="2"/>
  <c r="EU80" i="2" s="1"/>
  <c r="EN80" i="2"/>
  <c r="DU80" i="2"/>
  <c r="EV80" i="2"/>
  <c r="EK105" i="2"/>
  <c r="DX105" i="2"/>
  <c r="DY105" i="2" s="1"/>
  <c r="DV105" i="2"/>
  <c r="EV194" i="2"/>
  <c r="EI152" i="2"/>
  <c r="ES152" i="2"/>
  <c r="EU152" i="2" s="1"/>
  <c r="EF152" i="2"/>
  <c r="EM29" i="2"/>
  <c r="EV29" i="2"/>
  <c r="EC29" i="2"/>
  <c r="EQ39" i="2"/>
  <c r="DW39" i="2"/>
  <c r="EH39" i="2"/>
  <c r="EK112" i="2"/>
  <c r="EQ112" i="2"/>
  <c r="EF112" i="2"/>
  <c r="EB123" i="2"/>
  <c r="ES45" i="2"/>
  <c r="EU45" i="2" s="1"/>
  <c r="ED45" i="2"/>
  <c r="EH45" i="2"/>
  <c r="EN132" i="2"/>
  <c r="EG132" i="2"/>
  <c r="EI154" i="2"/>
  <c r="EC154" i="2"/>
  <c r="EN154" i="2"/>
  <c r="EP28" i="2"/>
  <c r="EJ125" i="2"/>
  <c r="DZ125" i="2"/>
  <c r="EM125" i="2"/>
  <c r="EL92" i="2"/>
  <c r="DV92" i="2"/>
  <c r="ED141" i="2"/>
  <c r="DW141" i="2"/>
  <c r="EG25" i="2"/>
  <c r="ED56" i="2"/>
  <c r="EI52" i="2"/>
  <c r="EG52" i="2"/>
  <c r="EV52" i="2"/>
  <c r="ED162" i="2"/>
  <c r="EP162" i="2"/>
  <c r="EF162" i="2"/>
  <c r="EV153" i="2"/>
  <c r="EH120" i="2"/>
  <c r="ED120" i="2"/>
  <c r="EV120" i="2"/>
  <c r="EJ120" i="2"/>
  <c r="EF93" i="2"/>
  <c r="DV80" i="2"/>
  <c r="EO80" i="2"/>
  <c r="EH80" i="2"/>
  <c r="EC101" i="2"/>
  <c r="EJ105" i="2"/>
  <c r="EB105" i="2"/>
  <c r="EL105" i="2"/>
  <c r="EQ152" i="2"/>
  <c r="ED152" i="2"/>
  <c r="EB152" i="2"/>
  <c r="ER152" i="2"/>
  <c r="ES29" i="2"/>
  <c r="EU29" i="2" s="1"/>
  <c r="EK29" i="2"/>
  <c r="EG29" i="2"/>
  <c r="EL144" i="2"/>
  <c r="EG39" i="2"/>
  <c r="EL39" i="2"/>
  <c r="EM39" i="2"/>
  <c r="EM112" i="2"/>
  <c r="EO112" i="2"/>
  <c r="DX112" i="2"/>
  <c r="DY112" i="2" s="1"/>
  <c r="DU53" i="2"/>
  <c r="DX45" i="2"/>
  <c r="DY45" i="2" s="1"/>
  <c r="EN45" i="2"/>
  <c r="DV45" i="2"/>
  <c r="EP132" i="2"/>
  <c r="EL132" i="2"/>
  <c r="EA154" i="2"/>
  <c r="ET154" i="2" s="1"/>
  <c r="EK154" i="2"/>
  <c r="EL154" i="2"/>
  <c r="EE125" i="2"/>
  <c r="EA125" i="2"/>
  <c r="ET125" i="2" s="1"/>
  <c r="EG125" i="2"/>
  <c r="EA92" i="2"/>
  <c r="ET92" i="2" s="1"/>
  <c r="EB92" i="2"/>
  <c r="EM141" i="2"/>
  <c r="ED25" i="2"/>
  <c r="EK25" i="2"/>
  <c r="DV174" i="2"/>
  <c r="EE183" i="2"/>
  <c r="EC94" i="2"/>
  <c r="EO52" i="2"/>
  <c r="EE52" i="2"/>
  <c r="DU52" i="2"/>
  <c r="EB162" i="2"/>
  <c r="DW162" i="2"/>
  <c r="EQ162" i="2"/>
  <c r="ES153" i="2"/>
  <c r="EU153" i="2" s="1"/>
  <c r="DZ120" i="2"/>
  <c r="EL120" i="2"/>
  <c r="EF120" i="2"/>
  <c r="DZ36" i="2"/>
  <c r="EV93" i="2"/>
  <c r="DZ80" i="2"/>
  <c r="DW80" i="2"/>
  <c r="EK80" i="2"/>
  <c r="EL101" i="2"/>
  <c r="EO105" i="2"/>
  <c r="EI105" i="2"/>
  <c r="EA105" i="2"/>
  <c r="ET105" i="2" s="1"/>
  <c r="EC152" i="2"/>
  <c r="EA152" i="2"/>
  <c r="ET152" i="2" s="1"/>
  <c r="EK152" i="2"/>
  <c r="EF29" i="2"/>
  <c r="EQ29" i="2"/>
  <c r="DU29" i="2"/>
  <c r="EE149" i="2"/>
  <c r="EP39" i="2"/>
  <c r="EB39" i="2"/>
  <c r="ED39" i="2"/>
  <c r="DX39" i="2"/>
  <c r="DY39" i="2" s="1"/>
  <c r="DZ112" i="2"/>
  <c r="EV112" i="2"/>
  <c r="EJ112" i="2"/>
  <c r="EC112" i="2"/>
  <c r="EV53" i="2"/>
  <c r="EP45" i="2"/>
  <c r="EO45" i="2"/>
  <c r="EA45" i="2"/>
  <c r="ET45" i="2" s="1"/>
  <c r="EV45" i="2"/>
  <c r="ER132" i="2"/>
  <c r="EF132" i="2"/>
  <c r="EO154" i="2"/>
  <c r="EF154" i="2"/>
  <c r="DU154" i="2"/>
  <c r="EK125" i="2"/>
  <c r="ED125" i="2"/>
  <c r="ES125" i="2"/>
  <c r="EU125" i="2" s="1"/>
  <c r="EV125" i="2"/>
  <c r="EA164" i="2"/>
  <c r="ET164" i="2" s="1"/>
  <c r="EV92" i="2"/>
  <c r="DW92" i="2"/>
  <c r="EK141" i="2"/>
  <c r="DV25" i="2"/>
  <c r="ES25" i="2"/>
  <c r="EU25" i="2" s="1"/>
  <c r="EC174" i="2"/>
  <c r="EB95" i="2"/>
  <c r="EN94" i="2"/>
  <c r="ED52" i="2"/>
  <c r="EQ52" i="2"/>
  <c r="ES52" i="2"/>
  <c r="EU52" i="2" s="1"/>
  <c r="EA162" i="2"/>
  <c r="ET162" i="2" s="1"/>
  <c r="EL162" i="2"/>
  <c r="EE162" i="2"/>
  <c r="ES120" i="2"/>
  <c r="EU120" i="2" s="1"/>
  <c r="DV120" i="2"/>
  <c r="EC120" i="2"/>
  <c r="EM36" i="2"/>
  <c r="DU93" i="2"/>
  <c r="EQ80" i="2"/>
  <c r="ED80" i="2"/>
  <c r="EP80" i="2"/>
  <c r="EC105" i="2"/>
  <c r="EV105" i="2"/>
  <c r="EH105" i="2"/>
  <c r="EM152" i="2"/>
  <c r="EE152" i="2"/>
  <c r="EN152" i="2"/>
  <c r="EP29" i="2"/>
  <c r="EB29" i="2"/>
  <c r="EA29" i="2"/>
  <c r="ET29" i="2" s="1"/>
  <c r="ER29" i="2"/>
  <c r="DZ149" i="2"/>
  <c r="DZ39" i="2"/>
  <c r="DU39" i="2"/>
  <c r="EE39" i="2"/>
  <c r="EP112" i="2"/>
  <c r="DW112" i="2"/>
  <c r="EH112" i="2"/>
  <c r="DZ45" i="2"/>
  <c r="EC45" i="2"/>
  <c r="EG45" i="2"/>
  <c r="DZ132" i="2"/>
  <c r="EV132" i="2"/>
  <c r="EV154" i="2"/>
  <c r="DX154" i="2"/>
  <c r="DY154" i="2" s="1"/>
  <c r="EJ154" i="2"/>
  <c r="EP125" i="2"/>
  <c r="EQ125" i="2"/>
  <c r="EB125" i="2"/>
  <c r="ER164" i="2"/>
  <c r="DU92" i="2"/>
  <c r="EG92" i="2"/>
  <c r="EG141" i="2"/>
  <c r="EE25" i="2"/>
  <c r="EV174" i="2"/>
  <c r="DU94" i="2"/>
  <c r="EK113" i="2"/>
  <c r="EB52" i="2"/>
  <c r="EN52" i="2"/>
  <c r="EF52" i="2"/>
  <c r="EN162" i="2"/>
  <c r="ER162" i="2"/>
  <c r="EP120" i="2"/>
  <c r="EQ120" i="2"/>
  <c r="EG36" i="2"/>
  <c r="DX80" i="2"/>
  <c r="DY80" i="2" s="1"/>
  <c r="EF80" i="2"/>
  <c r="EE105" i="2"/>
  <c r="DU105" i="2"/>
  <c r="EP152" i="2"/>
  <c r="EG152" i="2"/>
  <c r="DZ29" i="2"/>
  <c r="EL29" i="2"/>
  <c r="EN39" i="2"/>
  <c r="ER39" i="2"/>
  <c r="ED112" i="2"/>
  <c r="ER112" i="2"/>
  <c r="DU45" i="2"/>
  <c r="EM45" i="2"/>
  <c r="EJ132" i="2"/>
  <c r="EP154" i="2"/>
  <c r="ER154" i="2"/>
  <c r="EB154" i="2"/>
  <c r="ER125" i="2"/>
  <c r="DU125" i="2"/>
  <c r="EN92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DW10" i="2"/>
  <c r="DX10" i="2" s="1"/>
  <c r="DY10" i="2" s="1"/>
  <c r="DV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O4" i="9" l="1"/>
  <c r="M11" i="9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10" i="2" l="1"/>
  <c r="DZ10" i="2"/>
  <c r="P5" i="9"/>
  <c r="P44" i="9"/>
  <c r="P34" i="9"/>
  <c r="P45" i="9"/>
  <c r="DZ11" i="2"/>
  <c r="EA11" i="2"/>
  <c r="EP11" i="2"/>
  <c r="A12" i="1"/>
  <c r="A13" i="1" s="1"/>
  <c r="A14" i="1" s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3" i="2" l="1"/>
  <c r="EE10" i="2"/>
  <c r="ET11" i="2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6" i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A10" i="2" l="1"/>
  <c r="EA12" i="2"/>
  <c r="ES10" i="2"/>
  <c r="EC10" i="2"/>
  <c r="EF10" i="2" s="1"/>
  <c r="EH10" i="2" s="1"/>
  <c r="ED10" i="2"/>
  <c r="EG10" i="2" s="1"/>
  <c r="EI10" i="2" s="1"/>
  <c r="EK10" i="2"/>
  <c r="EM10" i="2" s="1"/>
  <c r="EO10" i="2" s="1"/>
  <c r="EQ10" i="2"/>
  <c r="EJ10" i="2"/>
  <c r="EL10" i="2" s="1"/>
  <c r="EN10" i="2" s="1"/>
  <c r="EA3" i="2"/>
  <c r="ED3" i="2" s="1"/>
  <c r="EG3" i="2" s="1"/>
  <c r="EI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Q12" i="2"/>
  <c r="R3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12" i="2" l="1"/>
  <c r="ED12" i="2"/>
  <c r="EG12" i="2" s="1"/>
  <c r="EI12" i="2" s="1"/>
  <c r="EK12" i="2"/>
  <c r="EM12" i="2" s="1"/>
  <c r="EO12" i="2" s="1"/>
  <c r="EC12" i="2"/>
  <c r="EF12" i="2" s="1"/>
  <c r="EH12" i="2" s="1"/>
  <c r="EJ12" i="2"/>
  <c r="EL12" i="2" s="1"/>
  <c r="EN12" i="2" s="1"/>
  <c r="EJ3" i="2"/>
  <c r="EL3" i="2" s="1"/>
  <c r="EN3" i="2" s="1"/>
  <c r="EC3" i="2"/>
  <c r="EF3" i="2" s="1"/>
  <c r="EH3" i="2" s="1"/>
  <c r="ES3" i="2"/>
  <c r="EK3" i="2"/>
  <c r="EM3" i="2" s="1"/>
  <c r="EO3" i="2" s="1"/>
  <c r="EC5" i="2"/>
  <c r="EF5" i="2" s="1"/>
  <c r="EH5" i="2" s="1"/>
  <c r="EJ5" i="2"/>
  <c r="EL5" i="2" s="1"/>
  <c r="ED5" i="2"/>
  <c r="EG5" i="2" s="1"/>
  <c r="EI5" i="2" s="1"/>
  <c r="ES5" i="2"/>
  <c r="EK5" i="2"/>
  <c r="EM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Q4" i="9" s="1"/>
  <c r="ES2" i="2"/>
  <c r="EK2" i="2"/>
  <c r="EM2" i="2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EV7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R44" i="9" l="1"/>
  <c r="R4" i="9"/>
  <c r="EO5" i="2"/>
  <c r="EN5" i="2"/>
  <c r="GO5" i="2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R19" i="9"/>
  <c r="Q19" i="9"/>
  <c r="GB2" i="2"/>
  <c r="CU14" i="2"/>
  <c r="CU6" i="2"/>
  <c r="CT21" i="2"/>
  <c r="CT22" i="2"/>
  <c r="AA35" i="8"/>
  <c r="CT14" i="2"/>
  <c r="CT6" i="2"/>
  <c r="B19" i="5" s="1"/>
  <c r="BB6" i="2" s="1"/>
  <c r="ET10" i="2" l="1"/>
  <c r="ET12" i="2"/>
  <c r="ET3" i="2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R10" i="2" s="1"/>
  <c r="ET4" i="2"/>
  <c r="A20" i="2"/>
  <c r="AL20" i="2"/>
  <c r="A21" i="1"/>
  <c r="AA36" i="8"/>
  <c r="AA37" i="8" s="1"/>
  <c r="ER4" i="2" l="1"/>
  <c r="ER12" i="2"/>
  <c r="ER11" i="2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V12" i="2" l="1"/>
  <c r="EU12" i="2"/>
  <c r="EU5" i="2"/>
  <c r="EV10" i="2"/>
  <c r="EU10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3" i="2" l="1"/>
  <c r="GC5" i="2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6" i="9" s="1"/>
  <c r="EY24" i="2"/>
  <c r="B11" i="9"/>
  <c r="EY5" i="2"/>
  <c r="EY12" i="2" s="1"/>
  <c r="J45" i="9" s="1"/>
  <c r="EY6" i="2"/>
  <c r="EY13" i="2" s="1"/>
  <c r="Q6" i="9" s="1"/>
  <c r="A24" i="1"/>
  <c r="A23" i="2"/>
  <c r="AL23" i="2"/>
  <c r="R8" i="9" l="1"/>
  <c r="R7" i="9"/>
  <c r="Q8" i="9"/>
  <c r="Q7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B4" i="2"/>
  <c r="HI4" i="2" s="1"/>
  <c r="HA4" i="2"/>
  <c r="HH4" i="2" s="1"/>
  <c r="HC4" i="2" l="1"/>
  <c r="A28" i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G70" i="5"/>
  <c r="E152" i="5"/>
  <c r="E106" i="5"/>
  <c r="E134" i="5"/>
  <c r="AJ22" i="2"/>
  <c r="F45" i="5"/>
  <c r="J165" i="5"/>
  <c r="J120" i="5"/>
  <c r="E82" i="5"/>
  <c r="CY20" i="2"/>
  <c r="J127" i="5"/>
  <c r="CY22" i="2"/>
  <c r="AJ2" i="2"/>
  <c r="E42" i="5"/>
  <c r="G168" i="5"/>
  <c r="I63" i="5"/>
  <c r="CY8" i="2"/>
  <c r="I113" i="5"/>
  <c r="H110" i="5"/>
  <c r="I83" i="5"/>
  <c r="J119" i="5"/>
  <c r="J138" i="5"/>
  <c r="AJ20" i="2"/>
  <c r="E84" i="5"/>
  <c r="G165" i="5"/>
  <c r="J97" i="5"/>
  <c r="F30" i="5"/>
  <c r="F89" i="5"/>
  <c r="J65" i="5"/>
  <c r="I151" i="5"/>
  <c r="F156" i="5"/>
  <c r="CY11" i="2"/>
  <c r="AJ14" i="2"/>
  <c r="H40" i="5"/>
  <c r="H50" i="5"/>
  <c r="H179" i="5"/>
  <c r="F117" i="5"/>
  <c r="CY24" i="2"/>
  <c r="I192" i="5"/>
  <c r="J53" i="5"/>
  <c r="I82" i="5"/>
  <c r="G153" i="5"/>
  <c r="F200" i="5"/>
  <c r="I95" i="5"/>
  <c r="G48" i="5"/>
  <c r="H95" i="5"/>
  <c r="H72" i="5"/>
  <c r="J180" i="5"/>
  <c r="G197" i="5"/>
  <c r="F88" i="5"/>
  <c r="H164" i="5"/>
  <c r="I104" i="5"/>
  <c r="E73" i="5"/>
  <c r="F118" i="5"/>
  <c r="J35" i="5"/>
  <c r="F112" i="5"/>
  <c r="H33" i="5"/>
  <c r="J39" i="5"/>
  <c r="F147" i="5"/>
  <c r="E99" i="5"/>
  <c r="I107" i="5"/>
  <c r="F176" i="5"/>
  <c r="I165" i="5"/>
  <c r="E177" i="5"/>
  <c r="G157" i="5"/>
  <c r="G132" i="5"/>
  <c r="H118" i="5"/>
  <c r="F188" i="5"/>
  <c r="E146" i="5"/>
  <c r="H200" i="5"/>
  <c r="G108" i="5"/>
  <c r="E139" i="5"/>
  <c r="J186" i="5"/>
  <c r="CY13" i="2"/>
  <c r="H158" i="5"/>
  <c r="F141" i="5"/>
  <c r="F54" i="5"/>
  <c r="I88" i="5"/>
  <c r="J154" i="5"/>
  <c r="H65" i="5"/>
  <c r="F111" i="5"/>
  <c r="F180" i="5"/>
  <c r="F98" i="5"/>
  <c r="G44" i="5"/>
  <c r="F29" i="5"/>
  <c r="H87" i="5"/>
  <c r="G110" i="5"/>
  <c r="G101" i="5"/>
  <c r="I101" i="5"/>
  <c r="G71" i="5"/>
  <c r="H96" i="5"/>
  <c r="H125" i="5"/>
  <c r="G176" i="5"/>
  <c r="G179" i="5"/>
  <c r="H178" i="5"/>
  <c r="I129" i="5"/>
  <c r="E70" i="5"/>
  <c r="J10" i="5"/>
  <c r="CY3" i="2"/>
  <c r="J133" i="5"/>
  <c r="G119" i="5"/>
  <c r="E101" i="5"/>
  <c r="E94" i="5"/>
  <c r="E128" i="5"/>
  <c r="G183" i="5"/>
  <c r="I111" i="5"/>
  <c r="E173" i="5"/>
  <c r="G198" i="5"/>
  <c r="I198" i="5"/>
  <c r="G117" i="5"/>
  <c r="J59" i="5"/>
  <c r="J41" i="5"/>
  <c r="G146" i="5"/>
  <c r="H131" i="5"/>
  <c r="F185" i="5"/>
  <c r="F97" i="5"/>
  <c r="F50" i="5"/>
  <c r="H36" i="5"/>
  <c r="I114" i="5"/>
  <c r="F182" i="5"/>
  <c r="H55" i="5"/>
  <c r="H189" i="5"/>
  <c r="H46" i="5"/>
  <c r="G139" i="5"/>
  <c r="I103" i="5"/>
  <c r="J20" i="5"/>
  <c r="F142" i="5"/>
  <c r="J42" i="5"/>
  <c r="G62" i="5"/>
  <c r="J177" i="5"/>
  <c r="E69" i="5"/>
  <c r="J135" i="5"/>
  <c r="I127" i="5"/>
  <c r="H169" i="5"/>
  <c r="F119" i="5"/>
  <c r="J168" i="5"/>
  <c r="E124" i="5"/>
  <c r="J52" i="5"/>
  <c r="I166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92" i="5" l="1"/>
  <c r="J194" i="5"/>
  <c r="E144" i="5"/>
  <c r="E111" i="5"/>
  <c r="H157" i="5"/>
  <c r="E151" i="5"/>
  <c r="F116" i="5"/>
  <c r="I137" i="5"/>
  <c r="E109" i="5"/>
  <c r="G96" i="5"/>
  <c r="I109" i="5"/>
  <c r="I122" i="5"/>
  <c r="I38" i="5"/>
  <c r="I174" i="5"/>
  <c r="F152" i="5"/>
  <c r="H62" i="5"/>
  <c r="F186" i="5"/>
  <c r="G94" i="5"/>
  <c r="I200" i="5"/>
  <c r="F153" i="5"/>
  <c r="J37" i="5"/>
  <c r="J118" i="5"/>
  <c r="J136" i="5"/>
  <c r="F158" i="5"/>
  <c r="H120" i="5"/>
  <c r="E143" i="5"/>
  <c r="F36" i="5"/>
  <c r="J14" i="5"/>
  <c r="G194" i="5"/>
  <c r="H193" i="5"/>
  <c r="F132" i="5"/>
  <c r="I185" i="5"/>
  <c r="I64" i="5"/>
  <c r="I142" i="5"/>
  <c r="E193" i="5"/>
  <c r="F196" i="5"/>
  <c r="E59" i="5"/>
  <c r="J144" i="5"/>
  <c r="H91" i="5"/>
  <c r="G142" i="5"/>
  <c r="J109" i="5"/>
  <c r="J71" i="5"/>
  <c r="H184" i="5"/>
  <c r="G155" i="5"/>
  <c r="F52" i="5"/>
  <c r="J142" i="5"/>
  <c r="F101" i="5"/>
  <c r="F164" i="5"/>
  <c r="G127" i="5"/>
  <c r="I56" i="5"/>
  <c r="J32" i="5"/>
  <c r="F40" i="5"/>
  <c r="E122" i="5"/>
  <c r="F198" i="5"/>
  <c r="H190" i="5"/>
  <c r="J100" i="5"/>
  <c r="I187" i="5"/>
  <c r="E90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J33" i="5"/>
  <c r="E132" i="5"/>
  <c r="F71" i="5"/>
  <c r="I147" i="5"/>
  <c r="J6" i="5"/>
  <c r="E33" i="5"/>
  <c r="E175" i="5"/>
  <c r="H145" i="5"/>
  <c r="J31" i="5"/>
  <c r="I190" i="5"/>
  <c r="F159" i="5"/>
  <c r="J54" i="5"/>
  <c r="E187" i="5"/>
  <c r="J188" i="5"/>
  <c r="H123" i="5"/>
  <c r="H39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4" i="2" s="1"/>
  <c r="HE5" i="2"/>
  <c r="HE6" i="2"/>
  <c r="HE8" i="2"/>
  <c r="HD3" i="2" l="1"/>
  <c r="HD7" i="2"/>
  <c r="L33" i="8"/>
  <c r="HD2" i="2"/>
  <c r="I37" i="8" s="1"/>
  <c r="HE4" i="2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<sst xmlns="http://schemas.openxmlformats.org/spreadsheetml/2006/main" count="1025" uniqueCount="353">
  <si>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</si>
  <si>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</si>
  <si>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</si>
  <si>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</si>
  <si>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</si>
  <si>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</si>
  <si>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</si>
  <si>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</si>
  <si>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</si>
  <si>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</si>
  <si>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</si>
  <si>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</si>
  <si>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Tian et al. (A)</t>
  </si>
  <si>
    <t>Yes</t>
  </si>
  <si>
    <t>Audio</t>
  </si>
  <si>
    <t>Outcome 1</t>
  </si>
  <si>
    <t>Outcome 2</t>
  </si>
  <si>
    <t>Total</t>
  </si>
  <si>
    <t>Quan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</si>
  <si>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</si>
  <si>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</si>
  <si>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Saffarayazdi et al.</t>
  </si>
  <si>
    <t>Multimodal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</si>
  <si>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</si>
  <si>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</si>
  <si>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</si>
  <si>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</si>
  <si>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</si>
  <si>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</si>
  <si>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</si>
  <si>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</si>
  <si>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</si>
  <si>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</si>
  <si>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</si>
  <si>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</si>
  <si>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</si>
  <si>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</si>
  <si>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</si>
  <si>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</si>
  <si>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</si>
  <si>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</si>
  <si>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</si>
  <si>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</si>
  <si>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</si>
  <si>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</si>
  <si>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</si>
  <si>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</si>
  <si>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</si>
  <si>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</si>
  <si>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</si>
  <si>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</si>
  <si>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</si>
  <si>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</si>
  <si>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</si>
  <si>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</si>
  <si>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</si>
  <si>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</si>
  <si>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</si>
  <si>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</si>
  <si>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</si>
  <si>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</si>
  <si>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</si>
  <si>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</si>
  <si>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</si>
  <si>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</si>
  <si>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</si>
  <si>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</si>
  <si>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</si>
  <si>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</si>
  <si>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</si>
  <si>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</si>
  <si>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</si>
  <si>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</si>
  <si>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</si>
  <si>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</si>
  <si>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</si>
  <si>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</si>
  <si>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</si>
  <si>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</si>
  <si>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</si>
  <si>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</si>
  <si>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</si>
  <si>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</si>
  <si>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</si>
  <si>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</si>
  <si>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</si>
  <si>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</si>
  <si>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</si>
  <si>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</si>
  <si>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</si>
  <si>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</si>
  <si>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</si>
  <si>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</si>
  <si>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</si>
  <si>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</si>
  <si>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</si>
  <si>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</si>
  <si>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</si>
  <si>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</si>
  <si>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</si>
  <si>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</si>
  <si>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</si>
  <si>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</si>
  <si>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</si>
  <si>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</si>
  <si>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</si>
  <si>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</si>
  <si>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</si>
  <si>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</si>
  <si>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</si>
  <si>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</si>
  <si>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</si>
  <si>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</si>
  <si>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</si>
  <si>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</si>
  <si>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</si>
  <si>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</si>
  <si>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</si>
  <si>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</si>
  <si>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</si>
  <si>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</si>
  <si>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</si>
  <si>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</si>
  <si>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</si>
  <si>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</si>
  <si>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</si>
  <si>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</si>
  <si>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</si>
  <si>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</si>
  <si>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</si>
  <si>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</si>
  <si>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</si>
  <si>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</si>
  <si>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</si>
  <si>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</si>
  <si>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</si>
  <si>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</si>
  <si>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</si>
  <si>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</si>
  <si>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</si>
  <si>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</si>
  <si>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</si>
  <si>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</si>
  <si>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</si>
  <si>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</si>
  <si>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</si>
  <si>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</si>
  <si>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</si>
  <si>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</si>
  <si>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</si>
  <si>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</si>
  <si>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</si>
  <si>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</si>
  <si>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</si>
  <si>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</si>
  <si>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</si>
  <si>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</si>
  <si>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</si>
  <si>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</si>
  <si>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</si>
  <si>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</si>
  <si>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</si>
  <si>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</si>
  <si>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</si>
  <si>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</si>
  <si>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</si>
  <si>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</si>
  <si>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</si>
  <si>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</si>
  <si>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</si>
  <si>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</si>
  <si>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</si>
  <si>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</si>
  <si>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</si>
  <si>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</si>
  <si>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</si>
  <si>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</si>
  <si>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</si>
  <si>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</si>
  <si>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</si>
  <si>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</si>
  <si>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</si>
  <si>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</si>
  <si>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</si>
  <si>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</si>
  <si>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</si>
  <si>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</si>
  <si>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</si>
  <si>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</si>
  <si>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</si>
  <si>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</si>
  <si>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</si>
  <si>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</si>
  <si>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</si>
  <si>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</si>
  <si>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</si>
  <si>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</si>
  <si>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</si>
  <si>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</si>
  <si>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</si>
  <si>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</si>
  <si>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</si>
  <si>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</si>
  <si>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</si>
  <si>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</si>
  <si>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</si>
  <si>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</si>
  <si>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</si>
  <si>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</si>
  <si>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</si>
  <si>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</si>
  <si>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</si>
  <si>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</si>
  <si>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</si>
  <si>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</si>
  <si>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</si>
  <si>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</si>
  <si>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</si>
  <si>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</si>
  <si>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</si>
  <si>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</si>
  <si>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</si>
  <si>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</si>
  <si>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</si>
  <si>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</si>
  <si>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</si>
  <si>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</si>
  <si>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</si>
  <si>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</si>
  <si>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</si>
  <si>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</si>
  <si>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</si>
  <si>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</si>
  <si>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</si>
  <si>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</si>
  <si>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</si>
  <si>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</si>
  <si>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</si>
  <si>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</si>
  <si>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</si>
  <si>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</si>
  <si>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</si>
  <si>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</si>
  <si>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</si>
  <si>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</si>
  <si>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</si>
  <si>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</si>
  <si>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</si>
  <si>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</si>
  <si>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</si>
  <si>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</si>
  <si>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</si>
  <si>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</si>
  <si>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</si>
  <si>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</si>
  <si>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</si>
  <si>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</si>
  <si>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</si>
  <si>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</si>
  <si>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</si>
  <si>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</si>
  <si>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</si>
  <si>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</si>
  <si>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</si>
  <si>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</si>
  <si>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</si>
  <si>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</si>
  <si>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</si>
  <si>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</si>
  <si>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</si>
  <si>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</si>
  <si>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</si>
  <si>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</si>
  <si>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</si>
  <si>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</si>
  <si>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</si>
  <si>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</si>
  <si>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</si>
  <si>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</si>
  <si>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</si>
  <si>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</si>
  <si>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</si>
  <si>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</si>
  <si>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</si>
  <si>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</si>
  <si>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</si>
  <si>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</si>
  <si>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</si>
  <si>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</si>
  <si>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</si>
  <si>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</si>
  <si>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</si>
  <si>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</si>
  <si>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</si>
  <si>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</si>
  <si>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</si>
  <si>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</si>
  <si>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</si>
  <si>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</si>
  <si>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</si>
  <si>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</si>
  <si>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</si>
  <si>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</si>
  <si>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</si>
  <si>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</si>
  <si>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</si>
  <si>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</si>
  <si>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</si>
  <si>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</si>
  <si>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</si>
  <si>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</si>
  <si>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</si>
  <si>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</si>
  <si>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</si>
  <si>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</si>
  <si>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</si>
  <si>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</si>
  <si>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</si>
  <si>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</si>
  <si>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</si>
  <si>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</si>
  <si>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</si>
  <si>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</si>
  <si>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</si>
  <si>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</si>
  <si>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</si>
  <si>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</si>
  <si>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</si>
  <si>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</si>
  <si>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</si>
  <si>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</si>
  <si>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</si>
  <si>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</si>
  <si>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</si>
  <si>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</si>
  <si>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</si>
  <si>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</si>
  <si>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</si>
  <si>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</si>
  <si>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</si>
  <si>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Hazarika et al. (A)</t>
  </si>
  <si>
    <t>Fan et al.</t>
  </si>
  <si>
    <t>Zou et al.</t>
  </si>
  <si>
    <r>
      <t>p</t>
    </r>
    <r>
      <rPr>
        <b/>
        <vertAlign val="subscript"/>
        <sz val="9"/>
        <color rgb="FF000000"/>
        <rFont val="Calibri"/>
        <scheme val="minor"/>
      </rPr>
      <t>Q</t>
    </r>
  </si>
  <si>
    <t/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</si>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</sst>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vertAlign val="subscript"/>
      <sz val="9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theme="9" tint="-0.499984740745262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1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5" fillId="0" borderId="0" xfId="0" applyFont="1" applyAlignment="1">
      <alignment horizontal="center" vertical="center" wrapText="1"/>
    </xf>
    <xf numFmtId="2" fontId="15" fillId="35" borderId="35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/>
    <xf numFmtId="164" fontId="25" fillId="0" borderId="35" xfId="0" applyNumberFormat="1" applyFont="1" applyBorder="1" applyAlignment="1">
      <alignment horizontal="center" vertical="center"/>
    </xf>
    <xf numFmtId="10" fontId="25" fillId="0" borderId="35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5" fillId="0" borderId="35" xfId="0" applyFont="1" applyBorder="1" applyAlignment="1">
      <alignment vertical="center"/>
    </xf>
    <xf numFmtId="0" fontId="13" fillId="37" borderId="0" xfId="10" applyFill="1">
      <protection locked="0"/>
    </xf>
    <xf numFmtId="1" fontId="13" fillId="37" borderId="0" xfId="10" applyNumberFormat="1" applyFill="1">
      <protection locked="0"/>
    </xf>
    <xf numFmtId="0" fontId="25" fillId="0" borderId="0" xfId="0" applyFont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0" fontId="27" fillId="0" borderId="35" xfId="0" applyFont="1" applyBorder="1" applyAlignment="1">
      <alignment horizontal="center" vertical="center" readingOrder="1"/>
    </xf>
    <xf numFmtId="10" fontId="25" fillId="0" borderId="35" xfId="0" applyNumberFormat="1" applyFont="1" applyBorder="1" applyAlignment="1">
      <alignment vertic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164" fontId="25" fillId="0" borderId="35" xfId="0" applyNumberFormat="1" applyFont="1" applyBorder="1" applyAlignment="1">
      <alignment vertical="center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7.982947223621023E-2</c:v>
                </c:pt>
                <c:pt idx="1">
                  <c:v>6.2712104055303669E-2</c:v>
                </c:pt>
                <c:pt idx="2">
                  <c:v>9.1583704207106167E-2</c:v>
                </c:pt>
                <c:pt idx="3">
                  <c:v>7.5195745401119632E-2</c:v>
                </c:pt>
                <c:pt idx="4">
                  <c:v>9.372429125001866E-2</c:v>
                </c:pt>
                <c:pt idx="5">
                  <c:v>7.5195745401119632E-2</c:v>
                </c:pt>
                <c:pt idx="6">
                  <c:v>8.8841011847466594E-2</c:v>
                </c:pt>
                <c:pt idx="7">
                  <c:v>7.6894954327254808E-2</c:v>
                </c:pt>
                <c:pt idx="8">
                  <c:v>9.2389155325843575E-2</c:v>
                </c:pt>
                <c:pt idx="9">
                  <c:v>7.9702375275343601E-2</c:v>
                </c:pt>
                <c:pt idx="10">
                  <c:v>9.1989712608708876E-2</c:v>
                </c:pt>
                <c:pt idx="11">
                  <c:v>9.194172806450443E-2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0.5255840247990391</c:v>
                  </c:pt>
                  <c:pt idx="1">
                    <c:v>0.53868253889895001</c:v>
                  </c:pt>
                  <c:pt idx="2">
                    <c:v>0.40135438954755376</c:v>
                  </c:pt>
                  <c:pt idx="3">
                    <c:v>0.54298676082242148</c:v>
                  </c:pt>
                  <c:pt idx="4">
                    <c:v>0.38911756593275248</c:v>
                  </c:pt>
                  <c:pt idx="5">
                    <c:v>0.54298676082242148</c:v>
                  </c:pt>
                  <c:pt idx="6">
                    <c:v>0.44994927246350147</c:v>
                  </c:pt>
                  <c:pt idx="7">
                    <c:v>0.51433526636681948</c:v>
                  </c:pt>
                  <c:pt idx="8">
                    <c:v>0.38373008782566964</c:v>
                  </c:pt>
                  <c:pt idx="9">
                    <c:v>0.46959142192989889</c:v>
                  </c:pt>
                  <c:pt idx="10">
                    <c:v>0.41333220998982956</c:v>
                  </c:pt>
                  <c:pt idx="11">
                    <c:v>0.42588155655599014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0.36596534354449373</c:v>
                  </c:pt>
                  <c:pt idx="1">
                    <c:v>0.35798994480643087</c:v>
                  </c:pt>
                  <c:pt idx="2">
                    <c:v>0.28616063829800686</c:v>
                  </c:pt>
                  <c:pt idx="3">
                    <c:v>0.37380930878851815</c:v>
                  </c:pt>
                  <c:pt idx="4">
                    <c:v>0.27851600138503618</c:v>
                  </c:pt>
                  <c:pt idx="5">
                    <c:v>0.37380930878851815</c:v>
                  </c:pt>
                  <c:pt idx="6">
                    <c:v>0.31914999983247394</c:v>
                  </c:pt>
                  <c:pt idx="7">
                    <c:v>0.35555651547314648</c:v>
                  </c:pt>
                  <c:pt idx="8">
                    <c:v>0.27399936209543962</c:v>
                  </c:pt>
                  <c:pt idx="9">
                    <c:v>0.32676208508859483</c:v>
                  </c:pt>
                  <c:pt idx="10">
                    <c:v>0.29496758650202082</c:v>
                  </c:pt>
                  <c:pt idx="11">
                    <c:v>0.30389646371434498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1.0672431448401412</c:v>
                </c:pt>
                <c:pt idx="2">
                  <c:v>0.99703175780627817</c:v>
                </c:pt>
                <c:pt idx="3">
                  <c:v>1.1997668915339244</c:v>
                </c:pt>
                <c:pt idx="4">
                  <c:v>0.97987283430798622</c:v>
                </c:pt>
                <c:pt idx="5">
                  <c:v>1.1997668915339244</c:v>
                </c:pt>
                <c:pt idx="6">
                  <c:v>1.0978754494792486</c:v>
                </c:pt>
                <c:pt idx="7">
                  <c:v>1.1517615176151761</c:v>
                </c:pt>
                <c:pt idx="8">
                  <c:v>0.95818011392313795</c:v>
                </c:pt>
                <c:pt idx="9">
                  <c:v>1.0743218134522481</c:v>
                </c:pt>
                <c:pt idx="10">
                  <c:v>1.0300341505061592</c:v>
                </c:pt>
                <c:pt idx="11">
                  <c:v>1.0609812722488778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7.982947223621023E-2</c:v>
                </c:pt>
                <c:pt idx="1">
                  <c:v>6.2712104055303669E-2</c:v>
                </c:pt>
                <c:pt idx="2">
                  <c:v>9.1583704207106167E-2</c:v>
                </c:pt>
                <c:pt idx="3">
                  <c:v>7.5195745401119632E-2</c:v>
                </c:pt>
                <c:pt idx="4">
                  <c:v>9.372429125001866E-2</c:v>
                </c:pt>
                <c:pt idx="5">
                  <c:v>7.5195745401119632E-2</c:v>
                </c:pt>
                <c:pt idx="6">
                  <c:v>8.8841011847466594E-2</c:v>
                </c:pt>
                <c:pt idx="7">
                  <c:v>7.6894954327254808E-2</c:v>
                </c:pt>
                <c:pt idx="8">
                  <c:v>9.2389155325843575E-2</c:v>
                </c:pt>
                <c:pt idx="9">
                  <c:v>7.9702375275343601E-2</c:v>
                </c:pt>
                <c:pt idx="10">
                  <c:v>9.1989712608708876E-2</c:v>
                </c:pt>
                <c:pt idx="11">
                  <c:v>9.194172806450443E-2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5.6719675515128465E-2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5.3879565409454599E-2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1.0760257008399443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9.372429125001866E-2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5.6719675515128465E-2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5.3879565409454599E-2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1.0760257008399443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9.372429125001866E-2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0.5255840247990391</c:v>
                  </c:pt>
                  <c:pt idx="1">
                    <c:v>0.53868253889895001</c:v>
                  </c:pt>
                  <c:pt idx="2">
                    <c:v>0.40135438954755376</c:v>
                  </c:pt>
                  <c:pt idx="3">
                    <c:v>0.54298676082242148</c:v>
                  </c:pt>
                  <c:pt idx="4">
                    <c:v>0.38911756593275248</c:v>
                  </c:pt>
                  <c:pt idx="5">
                    <c:v>0.54298676082242148</c:v>
                  </c:pt>
                  <c:pt idx="6">
                    <c:v>0.44994927246350147</c:v>
                  </c:pt>
                  <c:pt idx="7">
                    <c:v>0.51433526636681948</c:v>
                  </c:pt>
                  <c:pt idx="8">
                    <c:v>0.38373008782566964</c:v>
                  </c:pt>
                  <c:pt idx="9">
                    <c:v>0.46959142192989889</c:v>
                  </c:pt>
                  <c:pt idx="10">
                    <c:v>0.41333220998982956</c:v>
                  </c:pt>
                  <c:pt idx="11">
                    <c:v>0.42588155655599014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0.36596534354449373</c:v>
                  </c:pt>
                  <c:pt idx="1">
                    <c:v>0.35798994480643087</c:v>
                  </c:pt>
                  <c:pt idx="2">
                    <c:v>0.28616063829800686</c:v>
                  </c:pt>
                  <c:pt idx="3">
                    <c:v>0.37380930878851815</c:v>
                  </c:pt>
                  <c:pt idx="4">
                    <c:v>0.27851600138503618</c:v>
                  </c:pt>
                  <c:pt idx="5">
                    <c:v>0.37380930878851815</c:v>
                  </c:pt>
                  <c:pt idx="6">
                    <c:v>0.31914999983247394</c:v>
                  </c:pt>
                  <c:pt idx="7">
                    <c:v>0.35555651547314648</c:v>
                  </c:pt>
                  <c:pt idx="8">
                    <c:v>0.27399936209543962</c:v>
                  </c:pt>
                  <c:pt idx="9">
                    <c:v>0.32676208508859483</c:v>
                  </c:pt>
                  <c:pt idx="10">
                    <c:v>0.29496758650202082</c:v>
                  </c:pt>
                  <c:pt idx="11">
                    <c:v>0.30389646371434498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1.0672431448401412</c:v>
                </c:pt>
                <c:pt idx="2">
                  <c:v>0.99703175780627817</c:v>
                </c:pt>
                <c:pt idx="3">
                  <c:v>1.1997668915339244</c:v>
                </c:pt>
                <c:pt idx="4">
                  <c:v>0.97987283430798622</c:v>
                </c:pt>
                <c:pt idx="5">
                  <c:v>1.1997668915339244</c:v>
                </c:pt>
                <c:pt idx="6">
                  <c:v>1.0978754494792486</c:v>
                </c:pt>
                <c:pt idx="7">
                  <c:v>1.1517615176151761</c:v>
                </c:pt>
                <c:pt idx="8">
                  <c:v>0.95818011392313795</c:v>
                </c:pt>
                <c:pt idx="9">
                  <c:v>1.0743218134522481</c:v>
                </c:pt>
                <c:pt idx="10">
                  <c:v>1.0300341505061592</c:v>
                </c:pt>
                <c:pt idx="11">
                  <c:v>1.0609812722488778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7.982947223621023E-2</c:v>
                </c:pt>
                <c:pt idx="1">
                  <c:v>6.2712104055303669E-2</c:v>
                </c:pt>
                <c:pt idx="2">
                  <c:v>9.1583704207106167E-2</c:v>
                </c:pt>
                <c:pt idx="3">
                  <c:v>7.5195745401119632E-2</c:v>
                </c:pt>
                <c:pt idx="4">
                  <c:v>9.372429125001866E-2</c:v>
                </c:pt>
                <c:pt idx="5">
                  <c:v>7.5195745401119632E-2</c:v>
                </c:pt>
                <c:pt idx="6">
                  <c:v>8.8841011847466594E-2</c:v>
                </c:pt>
                <c:pt idx="7">
                  <c:v>7.6894954327254808E-2</c:v>
                </c:pt>
                <c:pt idx="8">
                  <c:v>9.2389155325843575E-2</c:v>
                </c:pt>
                <c:pt idx="9">
                  <c:v>7.9702375275343601E-2</c:v>
                </c:pt>
                <c:pt idx="10">
                  <c:v>9.1989712608708876E-2</c:v>
                </c:pt>
                <c:pt idx="11">
                  <c:v>9.194172806450443E-2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5.6719675515128465E-2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5.3879565409454599E-2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1.0760257008399443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9.372429125001866E-2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5.6719675515128465E-2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5.3879565409454599E-2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1.0760257008399443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9.372429125001866E-2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0.52558402291698147</c:v>
                  </c:pt>
                  <c:pt idx="1">
                    <c:v>0.53868233380639108</c:v>
                  </c:pt>
                  <c:pt idx="2">
                    <c:v>0.4013539313886505</c:v>
                  </c:pt>
                  <c:pt idx="3">
                    <c:v>0.5429861306817958</c:v>
                  </c:pt>
                  <c:pt idx="4">
                    <c:v>0.38911712255648701</c:v>
                  </c:pt>
                  <c:pt idx="5">
                    <c:v>0.5429861306817958</c:v>
                  </c:pt>
                  <c:pt idx="6">
                    <c:v>0.44994875757505159</c:v>
                  </c:pt>
                  <c:pt idx="7">
                    <c:v>0.51433467063689275</c:v>
                  </c:pt>
                  <c:pt idx="8">
                    <c:v>0.38372965009086768</c:v>
                  </c:pt>
                  <c:pt idx="9">
                    <c:v>0.46959087969761337</c:v>
                  </c:pt>
                  <c:pt idx="10">
                    <c:v>0.41333205779247661</c:v>
                  </c:pt>
                  <c:pt idx="11">
                    <c:v>0.42588139973119676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0.36596534263200298</c:v>
                  </c:pt>
                  <c:pt idx="1">
                    <c:v>0.35798985422778595</c:v>
                  </c:pt>
                  <c:pt idx="2">
                    <c:v>0.28616040539235355</c:v>
                  </c:pt>
                  <c:pt idx="3">
                    <c:v>0.37380901014067691</c:v>
                  </c:pt>
                  <c:pt idx="4">
                    <c:v>0.2785157742358364</c:v>
                  </c:pt>
                  <c:pt idx="5">
                    <c:v>0.37380901014067691</c:v>
                  </c:pt>
                  <c:pt idx="6">
                    <c:v>0.3191497407870747</c:v>
                  </c:pt>
                  <c:pt idx="7">
                    <c:v>0.35555623078181164</c:v>
                  </c:pt>
                  <c:pt idx="8">
                    <c:v>0.27399913891372207</c:v>
                  </c:pt>
                  <c:pt idx="9">
                    <c:v>0.32676182254070463</c:v>
                  </c:pt>
                  <c:pt idx="10">
                    <c:v>0.29496750899211055</c:v>
                  </c:pt>
                  <c:pt idx="11">
                    <c:v>0.30389638386186713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1.0672431448401412</c:v>
                </c:pt>
                <c:pt idx="2">
                  <c:v>0.99703175780627817</c:v>
                </c:pt>
                <c:pt idx="3">
                  <c:v>1.1997668915339244</c:v>
                </c:pt>
                <c:pt idx="4">
                  <c:v>0.97987283430798622</c:v>
                </c:pt>
                <c:pt idx="5">
                  <c:v>1.1997668915339244</c:v>
                </c:pt>
                <c:pt idx="6">
                  <c:v>1.0978754494792486</c:v>
                </c:pt>
                <c:pt idx="7">
                  <c:v>1.1517615176151761</c:v>
                </c:pt>
                <c:pt idx="8">
                  <c:v>0.95818011392313795</c:v>
                </c:pt>
                <c:pt idx="9">
                  <c:v>1.0743218134522481</c:v>
                </c:pt>
                <c:pt idx="10">
                  <c:v>1.0300341505061592</c:v>
                </c:pt>
                <c:pt idx="11">
                  <c:v>1.0609812722488778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0.56004342250958261</c:v>
                </c:pt>
                <c:pt idx="1">
                  <c:v>0.43995657749041728</c:v>
                </c:pt>
                <c:pt idx="2">
                  <c:v>0.10680833224660498</c:v>
                </c:pt>
                <c:pt idx="3">
                  <c:v>8.7696083357487978E-2</c:v>
                </c:pt>
                <c:pt idx="4">
                  <c:v>0.10930476470761517</c:v>
                </c:pt>
                <c:pt idx="5">
                  <c:v>8.7696083357487978E-2</c:v>
                </c:pt>
                <c:pt idx="6">
                  <c:v>0.10360970210454223</c:v>
                </c:pt>
                <c:pt idx="7">
                  <c:v>8.9677764193727388E-2</c:v>
                </c:pt>
                <c:pt idx="8">
                  <c:v>0.10774767938748891</c:v>
                </c:pt>
                <c:pt idx="9">
                  <c:v>9.2951883230247889E-2</c:v>
                </c:pt>
                <c:pt idx="10">
                  <c:v>0.10728183439012202</c:v>
                </c:pt>
                <c:pt idx="11">
                  <c:v>0.10722587302467539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7.9960553849844018E-2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7.4447213337177409E-2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6.7250471890094587E-2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6.3307351326708394E-2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0.52558402291698147</c:v>
                  </c:pt>
                  <c:pt idx="1">
                    <c:v>0.53868233380639108</c:v>
                  </c:pt>
                  <c:pt idx="2">
                    <c:v>0.4013539313886505</c:v>
                  </c:pt>
                  <c:pt idx="3">
                    <c:v>0.5429861306817958</c:v>
                  </c:pt>
                  <c:pt idx="4">
                    <c:v>0.38911712255648701</c:v>
                  </c:pt>
                  <c:pt idx="5">
                    <c:v>0.5429861306817958</c:v>
                  </c:pt>
                  <c:pt idx="6">
                    <c:v>0.44994875757505159</c:v>
                  </c:pt>
                  <c:pt idx="7">
                    <c:v>0.51433467063689275</c:v>
                  </c:pt>
                  <c:pt idx="8">
                    <c:v>0.38372965009086768</c:v>
                  </c:pt>
                  <c:pt idx="9">
                    <c:v>0.46959087969761337</c:v>
                  </c:pt>
                  <c:pt idx="10">
                    <c:v>0.41333205779247661</c:v>
                  </c:pt>
                  <c:pt idx="11">
                    <c:v>0.42588139973119676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0.36596534263200298</c:v>
                  </c:pt>
                  <c:pt idx="1">
                    <c:v>0.35798985422778595</c:v>
                  </c:pt>
                  <c:pt idx="2">
                    <c:v>0.28616040539235355</c:v>
                  </c:pt>
                  <c:pt idx="3">
                    <c:v>0.37380901014067691</c:v>
                  </c:pt>
                  <c:pt idx="4">
                    <c:v>0.2785157742358364</c:v>
                  </c:pt>
                  <c:pt idx="5">
                    <c:v>0.37380901014067691</c:v>
                  </c:pt>
                  <c:pt idx="6">
                    <c:v>0.3191497407870747</c:v>
                  </c:pt>
                  <c:pt idx="7">
                    <c:v>0.35555623078181164</c:v>
                  </c:pt>
                  <c:pt idx="8">
                    <c:v>0.27399913891372207</c:v>
                  </c:pt>
                  <c:pt idx="9">
                    <c:v>0.32676182254070463</c:v>
                  </c:pt>
                  <c:pt idx="10">
                    <c:v>0.29496750899211055</c:v>
                  </c:pt>
                  <c:pt idx="11">
                    <c:v>0.30389638386186713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1.0672431448401412</c:v>
                </c:pt>
                <c:pt idx="2">
                  <c:v>0.99703175780627817</c:v>
                </c:pt>
                <c:pt idx="3">
                  <c:v>1.1997668915339244</c:v>
                </c:pt>
                <c:pt idx="4">
                  <c:v>0.97987283430798622</c:v>
                </c:pt>
                <c:pt idx="5">
                  <c:v>1.1997668915339244</c:v>
                </c:pt>
                <c:pt idx="6">
                  <c:v>1.0978754494792486</c:v>
                </c:pt>
                <c:pt idx="7">
                  <c:v>1.1517615176151761</c:v>
                </c:pt>
                <c:pt idx="8">
                  <c:v>0.95818011392313795</c:v>
                </c:pt>
                <c:pt idx="9">
                  <c:v>1.0743218134522481</c:v>
                </c:pt>
                <c:pt idx="10">
                  <c:v>1.0300341505061592</c:v>
                </c:pt>
                <c:pt idx="11">
                  <c:v>1.0609812722488778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0.56004342250958261</c:v>
                </c:pt>
                <c:pt idx="1">
                  <c:v>0.43995657749041728</c:v>
                </c:pt>
                <c:pt idx="2">
                  <c:v>0.10680833224660498</c:v>
                </c:pt>
                <c:pt idx="3">
                  <c:v>8.7696083357487978E-2</c:v>
                </c:pt>
                <c:pt idx="4">
                  <c:v>0.10930476470761517</c:v>
                </c:pt>
                <c:pt idx="5">
                  <c:v>8.7696083357487978E-2</c:v>
                </c:pt>
                <c:pt idx="6">
                  <c:v>0.10360970210454223</c:v>
                </c:pt>
                <c:pt idx="7">
                  <c:v>8.9677764193727388E-2</c:v>
                </c:pt>
                <c:pt idx="8">
                  <c:v>0.10774767938748891</c:v>
                </c:pt>
                <c:pt idx="9">
                  <c:v>9.2951883230247889E-2</c:v>
                </c:pt>
                <c:pt idx="10">
                  <c:v>0.10728183439012202</c:v>
                </c:pt>
                <c:pt idx="11">
                  <c:v>0.10722587302467539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7.9960553849844018E-2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7.4447213337177409E-2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6.7250471890094587E-2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6.3307351326708394E-2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7.9960553849844018E-2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7.4447213337177409E-2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6.7250471890094587E-2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6.3307351326708394E-2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1.3146473230446125</c:v>
                  </c:pt>
                  <c:pt idx="1">
                    <c:v>0</c:v>
                  </c:pt>
                  <c:pt idx="2">
                    <c:v>6.235918659227857E-2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0.61122729921665409</c:v>
                  </c:pt>
                  <c:pt idx="1">
                    <c:v>0</c:v>
                  </c:pt>
                  <c:pt idx="2">
                    <c:v>5.8910989603912389E-2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1.1423449794819798</c:v>
                </c:pt>
                <c:pt idx="1">
                  <c:v>#N/A</c:v>
                </c:pt>
                <c:pt idx="2">
                  <c:v>1.065380372826944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0.19162220564323063</c:v>
                </c:pt>
                <c:pt idx="1">
                  <c:v>0</c:v>
                </c:pt>
                <c:pt idx="2">
                  <c:v>0.80837779435676937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7.9960553849844018E-2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7.4447213337177409E-2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6.7250471890094587E-2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6.3307351326708394E-2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1.0797157181461929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0.80837779435676937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5.3800936534821164E-3</c:v>
                </c:pt>
                <c:pt idx="1">
                  <c:v>4.7715736040609136E-2</c:v>
                </c:pt>
                <c:pt idx="2">
                  <c:v>0.13982142857142857</c:v>
                </c:pt>
                <c:pt idx="3">
                  <c:v>0.10267857142857142</c:v>
                </c:pt>
                <c:pt idx="4">
                  <c:v>0.14482142857142857</c:v>
                </c:pt>
                <c:pt idx="5">
                  <c:v>0.10267857142857142</c:v>
                </c:pt>
                <c:pt idx="6">
                  <c:v>0.12946428571428573</c:v>
                </c:pt>
                <c:pt idx="7">
                  <c:v>0.10714285714285714</c:v>
                </c:pt>
                <c:pt idx="8">
                  <c:v>0.14374999999999999</c:v>
                </c:pt>
                <c:pt idx="9">
                  <c:v>0.115</c:v>
                </c:pt>
                <c:pt idx="10">
                  <c:v>7.309644670050762E-2</c:v>
                </c:pt>
                <c:pt idx="11">
                  <c:v>7.208121827411168E-2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6.4760386569692142E-3</c:v>
                </c:pt>
                <c:pt idx="1">
                  <c:v>5.0761421319796954E-2</c:v>
                </c:pt>
                <c:pt idx="2">
                  <c:v>0.13946428571428571</c:v>
                </c:pt>
                <c:pt idx="3">
                  <c:v>0.1207142857142857</c:v>
                </c:pt>
                <c:pt idx="4">
                  <c:v>0.14232142857142857</c:v>
                </c:pt>
                <c:pt idx="5">
                  <c:v>0.1207142857142857</c:v>
                </c:pt>
                <c:pt idx="6">
                  <c:v>0.14035714285714285</c:v>
                </c:pt>
                <c:pt idx="7">
                  <c:v>0.12142857142857143</c:v>
                </c:pt>
                <c:pt idx="8">
                  <c:v>0.13857142857142857</c:v>
                </c:pt>
                <c:pt idx="9">
                  <c:v>0.12249999999999998</c:v>
                </c:pt>
                <c:pt idx="10">
                  <c:v>7.5126903553299498E-2</c:v>
                </c:pt>
                <c:pt idx="11">
                  <c:v>7.6142131979695438E-2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29.322430489956762</c:v>
                </c:pt>
                <c:pt idx="1">
                  <c:v>23.034992722981762</c:v>
                </c:pt>
                <c:pt idx="2">
                  <c:v>33.639916755049299</c:v>
                </c:pt>
                <c:pt idx="3">
                  <c:v>27.620400785571967</c:v>
                </c:pt>
                <c:pt idx="4">
                  <c:v>34.426182942401503</c:v>
                </c:pt>
                <c:pt idx="5">
                  <c:v>27.620400785571967</c:v>
                </c:pt>
                <c:pt idx="6">
                  <c:v>32.63248924966755</c:v>
                </c:pt>
                <c:pt idx="7">
                  <c:v>28.24454290036741</c:v>
                </c:pt>
                <c:pt idx="8">
                  <c:v>33.935769699840819</c:v>
                </c:pt>
                <c:pt idx="9">
                  <c:v>29.275746080100351</c:v>
                </c:pt>
                <c:pt idx="10">
                  <c:v>33.789049059207684</c:v>
                </c:pt>
                <c:pt idx="11">
                  <c:v>33.771423695759658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0.15439425044725805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0.42992865584729528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-2.2009851600916384</c:v>
                </c:pt>
                <c:pt idx="1">
                  <c:v>-1.7710565042443431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2.2009851600916384</c:v>
                </c:pt>
                <c:pt idx="1">
                  <c:v>2.6309138159389338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5.4150189741086558</c:v>
                </c:pt>
                <c:pt idx="1">
                  <c:v>4.799478380301526</c:v>
                </c:pt>
                <c:pt idx="2">
                  <c:v>5.7999928237067069</c:v>
                </c:pt>
                <c:pt idx="3">
                  <c:v>5.2555114675521324</c:v>
                </c:pt>
                <c:pt idx="4">
                  <c:v>5.8673829721948012</c:v>
                </c:pt>
                <c:pt idx="5">
                  <c:v>5.2555114675521324</c:v>
                </c:pt>
                <c:pt idx="6">
                  <c:v>5.7124853828843669</c:v>
                </c:pt>
                <c:pt idx="7">
                  <c:v>5.3145595208227192</c:v>
                </c:pt>
                <c:pt idx="8">
                  <c:v>5.825441588398327</c:v>
                </c:pt>
                <c:pt idx="9">
                  <c:v>5.4107066156002537</c:v>
                </c:pt>
                <c:pt idx="10">
                  <c:v>5.8128348556627412</c:v>
                </c:pt>
                <c:pt idx="11">
                  <c:v>5.811318584947796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1.0099319260712911</c:v>
                </c:pt>
                <c:pt idx="1">
                  <c:v>0.31234440609474351</c:v>
                </c:pt>
                <c:pt idx="2">
                  <c:v>-1.7241384402476412E-2</c:v>
                </c:pt>
                <c:pt idx="3">
                  <c:v>0.95717201315873168</c:v>
                </c:pt>
                <c:pt idx="4">
                  <c:v>-0.11929842726357874</c:v>
                </c:pt>
                <c:pt idx="5">
                  <c:v>0.95717201315873168</c:v>
                </c:pt>
                <c:pt idx="6">
                  <c:v>0.53341419156404279</c:v>
                </c:pt>
                <c:pt idx="7">
                  <c:v>0.75090753334275628</c:v>
                </c:pt>
                <c:pt idx="8">
                  <c:v>-0.24886000043137793</c:v>
                </c:pt>
                <c:pt idx="9">
                  <c:v>0.3878913458594519</c:v>
                </c:pt>
                <c:pt idx="10">
                  <c:v>0.17201316213770945</c:v>
                </c:pt>
                <c:pt idx="11">
                  <c:v>0.34399640361847161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0.18650570402433941</c:v>
                </c:pt>
                <c:pt idx="1">
                  <c:v>6.507882343562521E-2</c:v>
                </c:pt>
                <c:pt idx="2">
                  <c:v>-2.9726561612291179E-3</c:v>
                </c:pt>
                <c:pt idx="3">
                  <c:v>0.18212728086854602</c:v>
                </c:pt>
                <c:pt idx="4">
                  <c:v>-2.0332476647412875E-2</c:v>
                </c:pt>
                <c:pt idx="5">
                  <c:v>0.18212728086854602</c:v>
                </c:pt>
                <c:pt idx="6">
                  <c:v>9.3376902663461964E-2</c:v>
                </c:pt>
                <c:pt idx="7">
                  <c:v>0.14129252488388958</c:v>
                </c:pt>
                <c:pt idx="8">
                  <c:v>-4.2719508324827377E-2</c:v>
                </c:pt>
                <c:pt idx="9">
                  <c:v>7.1689591289440108E-2</c:v>
                </c:pt>
                <c:pt idx="10">
                  <c:v>2.9591957523124511E-2</c:v>
                </c:pt>
                <c:pt idx="11">
                  <c:v>5.9194208438249261E-2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0.18467155974547733</c:v>
                </c:pt>
                <c:pt idx="1">
                  <c:v>0.20835597553773649</c:v>
                </c:pt>
                <c:pt idx="2">
                  <c:v>0.17241400642991001</c:v>
                </c:pt>
                <c:pt idx="3">
                  <c:v>0.19027643763581617</c:v>
                </c:pt>
                <c:pt idx="4">
                  <c:v>0.17043373591581526</c:v>
                </c:pt>
                <c:pt idx="5">
                  <c:v>0.19027643763581617</c:v>
                </c:pt>
                <c:pt idx="6">
                  <c:v>0.17505515252541035</c:v>
                </c:pt>
                <c:pt idx="7">
                  <c:v>0.18816234837185439</c:v>
                </c:pt>
                <c:pt idx="8">
                  <c:v>0.1716608062797424</c:v>
                </c:pt>
                <c:pt idx="9">
                  <c:v>0.18481874384332367</c:v>
                </c:pt>
                <c:pt idx="10">
                  <c:v>0.17203309999867294</c:v>
                </c:pt>
                <c:pt idx="11">
                  <c:v>0.1720779863265719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-0.47703174521664993</c:v>
                </c:pt>
                <c:pt idx="1">
                  <c:v>7.3274346993319348E-2</c:v>
                </c:pt>
                <c:pt idx="2">
                  <c:v>0.62358043920328865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0.25002717064528379</c:v>
                </c:pt>
                <c:pt idx="1">
                  <c:v>0</c:v>
                </c:pt>
                <c:pt idx="2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7.3274346993319348E-2</c:v>
                </c:pt>
                <c:pt idx="1">
                  <c:v>7.3274346993319348E-2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7.3274346993319348E-2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7.3274346993319348E-2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7.3274346993319348E-2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0.1148414746979559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7.3274346993319348E-2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1.6067550689692418</c:v>
                </c:pt>
                <c:pt idx="1">
                  <c:v>-0.30974253153853021</c:v>
                </c:pt>
                <c:pt idx="2">
                  <c:v>-0.78503604987689179</c:v>
                </c:pt>
                <c:pt idx="3">
                  <c:v>0.78503604987689113</c:v>
                </c:pt>
                <c:pt idx="4">
                  <c:v>-1.1024403670151643</c:v>
                </c:pt>
                <c:pt idx="5">
                  <c:v>1.1024403670151643</c:v>
                </c:pt>
                <c:pt idx="6">
                  <c:v>0.30974253153853021</c:v>
                </c:pt>
                <c:pt idx="7">
                  <c:v>0.53218973091930399</c:v>
                </c:pt>
                <c:pt idx="8">
                  <c:v>-1.6067550689692427</c:v>
                </c:pt>
                <c:pt idx="9">
                  <c:v>0.10179559909470504</c:v>
                </c:pt>
                <c:pt idx="10">
                  <c:v>-0.53218973091930433</c:v>
                </c:pt>
                <c:pt idx="11">
                  <c:v>-0.10179559909470488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1.0099319260712911</c:v>
                </c:pt>
                <c:pt idx="1">
                  <c:v>0.31234440609474351</c:v>
                </c:pt>
                <c:pt idx="2">
                  <c:v>-1.7241384402476412E-2</c:v>
                </c:pt>
                <c:pt idx="3">
                  <c:v>0.95717201315873168</c:v>
                </c:pt>
                <c:pt idx="4">
                  <c:v>-0.11929842726357874</c:v>
                </c:pt>
                <c:pt idx="5">
                  <c:v>0.95717201315873168</c:v>
                </c:pt>
                <c:pt idx="6">
                  <c:v>0.53341419156404279</c:v>
                </c:pt>
                <c:pt idx="7">
                  <c:v>0.75090753334275628</c:v>
                </c:pt>
                <c:pt idx="8">
                  <c:v>-0.24886000043137793</c:v>
                </c:pt>
                <c:pt idx="9">
                  <c:v>0.3878913458594519</c:v>
                </c:pt>
                <c:pt idx="10">
                  <c:v>0.17201316213770945</c:v>
                </c:pt>
                <c:pt idx="11">
                  <c:v>0.34399640361847161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-1.6067550689692427</c:v>
                </c:pt>
                <c:pt idx="1">
                  <c:v>1.6067550689692418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-0.30856044301249419</c:v>
                </c:pt>
                <c:pt idx="1">
                  <c:v>1.14846764016391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-1.6067550689692427</c:v>
                </c:pt>
                <c:pt idx="1">
                  <c:v>1.6067550689692418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0.41995359857570813</c:v>
                </c:pt>
                <c:pt idx="1">
                  <c:v>0.41995359857570813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0.25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0.25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0</xdr:row>
      <xdr:rowOff>387350</xdr:rowOff>
    </xdr:from>
    <xdr:to>
      <xdr:col>19</xdr:col>
      <xdr:colOff>5743575</xdr:colOff>
      <xdr:row>214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410028</xdr:colOff>
      <xdr:row>0</xdr:row>
      <xdr:rowOff>399143</xdr:rowOff>
    </xdr:from>
    <xdr:to>
      <xdr:col>13</xdr:col>
      <xdr:colOff>38553</xdr:colOff>
      <xdr:row>28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K16" sqref="K16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.75">
      <c r="A2" s="6">
        <f>IF(AND(Sufficient_data="Yes",Include_study?="Yes"),1,"")</f>
        <v>1</v>
      </c>
      <c r="B2" s="12" t="s">
        <v>12</v>
      </c>
      <c r="C2" s="5" t="s">
        <v>13</v>
      </c>
      <c r="D2" s="27">
        <v>65</v>
      </c>
      <c r="E2" s="27"/>
      <c r="F2" s="27">
        <v>54</v>
      </c>
      <c r="G2" s="27"/>
      <c r="H2" s="27">
        <v>10037</v>
      </c>
      <c r="I2" s="27">
        <v>10037</v>
      </c>
      <c r="J2" s="3" t="str">
        <f t="shared" ref="J2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>
      <c r="A3" s="6">
        <f>IF(AND(Sufficient_data="Yes",Include_study?="Yes"),COUNT(A$2:A2)+1,"")</f>
        <v>2</v>
      </c>
      <c r="B3" s="12" t="s">
        <v>18</v>
      </c>
      <c r="C3" s="121" t="s">
        <v>13</v>
      </c>
      <c r="D3" s="122">
        <v>50</v>
      </c>
      <c r="E3" s="122"/>
      <c r="F3" s="122">
        <v>47</v>
      </c>
      <c r="G3" s="122"/>
      <c r="H3" s="122">
        <v>985</v>
      </c>
      <c r="I3" s="122">
        <v>985</v>
      </c>
      <c r="J3" s="3" t="str">
        <f t="shared" ref="J3:J9" si="1">IF(AND(OR(AND(a_&lt;&gt;"",b_&lt;&gt;""),AND(OR(a_&lt;&gt;"",b_&lt;&gt;""),n1_&lt;&gt;"")),OR(AND(c_&lt;&gt;"",d_&lt;&gt;""),AND(OR(c_&lt;&gt;"",d_&lt;&gt;""),n2_&lt;&gt;""))),"Yes","No")</f>
        <v>Yes</v>
      </c>
      <c r="K3" s="5" t="s">
        <v>14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>
      <c r="A4" s="6">
        <f>IF(AND(Sufficient_data="Yes",Include_study?="Yes"),COUNT(A$2:A3)+1,"")</f>
        <v>3</v>
      </c>
      <c r="B4" s="12" t="s">
        <v>21</v>
      </c>
      <c r="C4" s="5" t="s">
        <v>13</v>
      </c>
      <c r="D4" s="27">
        <v>78.099999999999994</v>
      </c>
      <c r="E4" s="27"/>
      <c r="F4" s="27">
        <v>78.3</v>
      </c>
      <c r="G4" s="27"/>
      <c r="H4" s="27">
        <v>560</v>
      </c>
      <c r="I4" s="27">
        <v>560</v>
      </c>
      <c r="J4" s="3" t="str">
        <f t="shared" si="1"/>
        <v>Yes</v>
      </c>
      <c r="K4" s="5" t="s">
        <v>22</v>
      </c>
      <c r="L4" s="27"/>
      <c r="N4" s="2" t="s">
        <v>23</v>
      </c>
      <c r="O4" s="3" t="s">
        <v>5</v>
      </c>
      <c r="P4" s="3" t="s">
        <v>6</v>
      </c>
      <c r="Q4" s="3" t="s">
        <v>24</v>
      </c>
      <c r="S4" s="92"/>
      <c r="T4" s="92"/>
    </row>
    <row r="5" spans="1:20">
      <c r="A5" s="6">
        <f>IF(AND(Sufficient_data="Yes",Include_study?="Yes"),COUNT(A$2:A4)+1,"")</f>
        <v>4</v>
      </c>
      <c r="B5" s="12" t="s">
        <v>21</v>
      </c>
      <c r="C5" s="5" t="s">
        <v>13</v>
      </c>
      <c r="D5" s="27">
        <v>67.599999999999994</v>
      </c>
      <c r="E5" s="27"/>
      <c r="F5" s="27">
        <v>57.5</v>
      </c>
      <c r="G5" s="27"/>
      <c r="H5" s="27">
        <v>560</v>
      </c>
      <c r="I5" s="27">
        <v>560</v>
      </c>
      <c r="J5" s="3" t="str">
        <f t="shared" si="1"/>
        <v>Yes</v>
      </c>
      <c r="K5" s="5" t="s">
        <v>22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12" t="s">
        <v>21</v>
      </c>
      <c r="C6" s="5" t="s">
        <v>13</v>
      </c>
      <c r="D6" s="27">
        <v>79.7</v>
      </c>
      <c r="E6" s="27"/>
      <c r="F6" s="27">
        <v>81.099999999999994</v>
      </c>
      <c r="G6" s="27"/>
      <c r="H6" s="27">
        <v>560</v>
      </c>
      <c r="I6" s="27">
        <v>560</v>
      </c>
      <c r="J6" s="3" t="str">
        <f t="shared" si="1"/>
        <v>Yes</v>
      </c>
      <c r="K6" s="5" t="s">
        <v>22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2" t="s">
        <v>21</v>
      </c>
      <c r="C7" s="5" t="s">
        <v>13</v>
      </c>
      <c r="D7" s="27">
        <v>67.599999999999994</v>
      </c>
      <c r="E7" s="27"/>
      <c r="F7" s="27">
        <v>57.5</v>
      </c>
      <c r="G7" s="27"/>
      <c r="H7" s="27">
        <v>560</v>
      </c>
      <c r="I7" s="27">
        <v>560</v>
      </c>
      <c r="J7" s="3" t="str">
        <f t="shared" si="1"/>
        <v>Yes</v>
      </c>
      <c r="K7" s="5" t="s">
        <v>22</v>
      </c>
      <c r="L7" s="27"/>
      <c r="S7" s="92"/>
      <c r="T7" s="92"/>
    </row>
    <row r="8" spans="1:20">
      <c r="A8" s="6">
        <f>IF(AND(Sufficient_data="Yes",Include_study?="Yes"),COUNT(A$2:A7)+1,"")</f>
        <v>7</v>
      </c>
      <c r="B8" s="12" t="s">
        <v>21</v>
      </c>
      <c r="C8" s="5" t="s">
        <v>13</v>
      </c>
      <c r="D8" s="27">
        <v>78.599999999999994</v>
      </c>
      <c r="E8" s="27"/>
      <c r="F8" s="27">
        <v>72.5</v>
      </c>
      <c r="G8" s="27"/>
      <c r="H8" s="27">
        <v>560</v>
      </c>
      <c r="I8" s="27">
        <v>560</v>
      </c>
      <c r="J8" s="3" t="str">
        <f t="shared" si="1"/>
        <v>Yes</v>
      </c>
      <c r="K8" s="5" t="s">
        <v>22</v>
      </c>
      <c r="L8" s="27"/>
      <c r="S8" s="92"/>
      <c r="T8" s="92"/>
    </row>
    <row r="9" spans="1:20">
      <c r="A9" s="6">
        <f>IF(AND(Sufficient_data="Yes",Include_study?="Yes"),COUNT(A$2:A8)+1,"")</f>
        <v>8</v>
      </c>
      <c r="B9" s="12" t="s">
        <v>21</v>
      </c>
      <c r="C9" s="5" t="s">
        <v>13</v>
      </c>
      <c r="D9" s="27">
        <v>68</v>
      </c>
      <c r="E9" s="27"/>
      <c r="F9" s="27">
        <v>60</v>
      </c>
      <c r="G9" s="27"/>
      <c r="H9" s="27">
        <v>560</v>
      </c>
      <c r="I9" s="27">
        <v>560</v>
      </c>
      <c r="J9" s="3" t="str">
        <f t="shared" si="1"/>
        <v>Yes</v>
      </c>
      <c r="K9" s="5" t="s">
        <v>22</v>
      </c>
      <c r="L9" s="27"/>
      <c r="S9" s="92"/>
      <c r="T9" s="92"/>
    </row>
    <row r="10" spans="1:20">
      <c r="A10" s="6">
        <f>IF(AND(Sufficient_data="Yes",Include_study?="Yes"),COUNT(A$2:A9)+1,"")</f>
        <v>9</v>
      </c>
      <c r="B10" s="12" t="s">
        <v>21</v>
      </c>
      <c r="C10" s="5" t="s">
        <v>13</v>
      </c>
      <c r="D10" s="27">
        <v>77.599999999999994</v>
      </c>
      <c r="E10" s="27"/>
      <c r="F10" s="27">
        <v>80.5</v>
      </c>
      <c r="G10" s="27"/>
      <c r="H10" s="27">
        <v>560</v>
      </c>
      <c r="I10" s="27">
        <v>560</v>
      </c>
      <c r="J10" s="3" t="str">
        <f t="shared" ref="J10:J15" si="2">IF(AND(OR(AND(a_&lt;&gt;"",b_&lt;&gt;""),AND(OR(a_&lt;&gt;"",b_&lt;&gt;""),n1_&lt;&gt;"")),OR(AND(c_&lt;&gt;"",d_&lt;&gt;""),AND(OR(c_&lt;&gt;"",d_&lt;&gt;""),n2_&lt;&gt;""))),"Yes","No")</f>
        <v>Yes</v>
      </c>
      <c r="K10" s="5" t="s">
        <v>22</v>
      </c>
      <c r="L10" s="27"/>
      <c r="S10" s="92"/>
      <c r="T10" s="92"/>
    </row>
    <row r="11" spans="1:20">
      <c r="A11" s="6">
        <f>IF(AND(Sufficient_data="Yes",Include_study?="Yes"),COUNT(A$2:A10)+1,"")</f>
        <v>10</v>
      </c>
      <c r="B11" s="12" t="s">
        <v>21</v>
      </c>
      <c r="C11" s="5" t="s">
        <v>13</v>
      </c>
      <c r="D11" s="27">
        <v>68.599999999999994</v>
      </c>
      <c r="E11" s="27"/>
      <c r="F11" s="27">
        <v>64.400000000000006</v>
      </c>
      <c r="G11" s="27"/>
      <c r="H11" s="27">
        <v>560</v>
      </c>
      <c r="I11" s="27">
        <v>560</v>
      </c>
      <c r="J11" s="3" t="str">
        <f t="shared" si="2"/>
        <v>Yes</v>
      </c>
      <c r="K11" s="5" t="s">
        <v>22</v>
      </c>
      <c r="L11" s="27"/>
      <c r="S11" s="92"/>
      <c r="T11" s="92"/>
    </row>
    <row r="12" spans="1:20">
      <c r="A12" s="6">
        <f>IF(AND(Sufficient_data="Yes",Include_study?="Yes"),COUNT(A$2:A11)+1,"")</f>
        <v>11</v>
      </c>
      <c r="B12" s="12" t="s">
        <v>18</v>
      </c>
      <c r="C12" s="5" t="s">
        <v>13</v>
      </c>
      <c r="D12" s="27">
        <v>74</v>
      </c>
      <c r="E12" s="27"/>
      <c r="F12" s="27">
        <v>72</v>
      </c>
      <c r="G12" s="27"/>
      <c r="H12" s="27">
        <v>985</v>
      </c>
      <c r="I12" s="27">
        <v>985</v>
      </c>
      <c r="J12" s="3" t="str">
        <f t="shared" ref="J12" si="3">IF(AND(OR(AND(a_&lt;&gt;"",b_&lt;&gt;""),AND(OR(a_&lt;&gt;"",b_&lt;&gt;""),n1_&lt;&gt;"")),OR(AND(c_&lt;&gt;"",d_&lt;&gt;""),AND(OR(c_&lt;&gt;"",d_&lt;&gt;""),n2_&lt;&gt;""))),"Yes","No")</f>
        <v>Yes</v>
      </c>
      <c r="K12" s="5" t="s">
        <v>22</v>
      </c>
      <c r="L12" s="27"/>
      <c r="S12" s="92"/>
      <c r="T12" s="92"/>
    </row>
    <row r="13" spans="1:20">
      <c r="A13" s="6">
        <f>IF(AND(Sufficient_data="Yes",Include_study?="Yes"),COUNT(A$2:A12)+1,"")</f>
        <v>12</v>
      </c>
      <c r="B13" s="12" t="s">
        <v>18</v>
      </c>
      <c r="C13" s="5" t="s">
        <v>13</v>
      </c>
      <c r="D13" s="27">
        <v>75</v>
      </c>
      <c r="E13" s="27"/>
      <c r="F13" s="27">
        <v>71</v>
      </c>
      <c r="G13" s="27"/>
      <c r="H13" s="27">
        <v>985</v>
      </c>
      <c r="I13" s="27">
        <v>985</v>
      </c>
      <c r="J13" s="3" t="str">
        <f t="shared" ref="J13:J14" si="4">IF(AND(OR(AND(a_&lt;&gt;"",b_&lt;&gt;""),AND(OR(a_&lt;&gt;"",b_&lt;&gt;""),n1_&lt;&gt;"")),OR(AND(c_&lt;&gt;"",d_&lt;&gt;""),AND(OR(c_&lt;&gt;"",d_&lt;&gt;""),n2_&lt;&gt;""))),"Yes","No")</f>
        <v>Yes</v>
      </c>
      <c r="K13" s="5" t="s">
        <v>22</v>
      </c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12"/>
      <c r="C14" s="5" t="s">
        <v>25</v>
      </c>
      <c r="D14" s="27">
        <v>77</v>
      </c>
      <c r="E14" s="27"/>
      <c r="F14" s="27">
        <v>81</v>
      </c>
      <c r="G14" s="27"/>
      <c r="H14" s="27">
        <v>985</v>
      </c>
      <c r="I14" s="27">
        <v>985</v>
      </c>
      <c r="J14" s="3" t="str">
        <f t="shared" si="4"/>
        <v>Yes</v>
      </c>
      <c r="K14" s="5" t="s">
        <v>22</v>
      </c>
      <c r="L14" s="27"/>
    </row>
    <row r="15" spans="1:20">
      <c r="A15" s="6"/>
      <c r="B15" s="12"/>
      <c r="C15" s="5" t="s">
        <v>25</v>
      </c>
      <c r="D15" s="27"/>
      <c r="E15" s="27"/>
      <c r="F15" s="27"/>
      <c r="G15" s="27"/>
      <c r="H15" s="5"/>
      <c r="I15" s="5"/>
      <c r="J15" s="3" t="str">
        <f t="shared" si="2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ref="J2:J33" si="5"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5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5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5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5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5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5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5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5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5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5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5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5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5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25</v>
      </c>
      <c r="D30" s="27"/>
      <c r="E30" s="27"/>
      <c r="F30" s="27"/>
      <c r="G30" s="27"/>
      <c r="H30" s="5"/>
      <c r="I30" s="5"/>
      <c r="J30" s="3" t="str">
        <f t="shared" si="5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25</v>
      </c>
      <c r="D31" s="27"/>
      <c r="E31" s="27"/>
      <c r="F31" s="27"/>
      <c r="G31" s="27"/>
      <c r="H31" s="5"/>
      <c r="I31" s="5"/>
      <c r="J31" s="3" t="str">
        <f t="shared" si="5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25</v>
      </c>
      <c r="D32" s="27"/>
      <c r="E32" s="27"/>
      <c r="F32" s="27"/>
      <c r="G32" s="27"/>
      <c r="H32" s="5"/>
      <c r="I32" s="5"/>
      <c r="J32" s="3" t="str">
        <f t="shared" si="5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25</v>
      </c>
      <c r="D33" s="27"/>
      <c r="E33" s="27"/>
      <c r="F33" s="27"/>
      <c r="G33" s="27"/>
      <c r="H33" s="5"/>
      <c r="I33" s="5"/>
      <c r="J33" s="3" t="str">
        <f t="shared" si="5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25</v>
      </c>
      <c r="D34" s="27"/>
      <c r="E34" s="27"/>
      <c r="F34" s="27"/>
      <c r="G34" s="27"/>
      <c r="H34" s="5"/>
      <c r="I34" s="5"/>
      <c r="J34" s="3" t="str">
        <f t="shared" ref="J34:J65" si="6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25</v>
      </c>
      <c r="D35" s="27"/>
      <c r="E35" s="27"/>
      <c r="F35" s="27"/>
      <c r="G35" s="27"/>
      <c r="H35" s="5"/>
      <c r="I35" s="5"/>
      <c r="J35" s="3" t="str">
        <f t="shared" si="6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25</v>
      </c>
      <c r="D36" s="27"/>
      <c r="E36" s="27"/>
      <c r="F36" s="27"/>
      <c r="G36" s="27"/>
      <c r="H36" s="5"/>
      <c r="I36" s="5"/>
      <c r="J36" s="3" t="str">
        <f t="shared" si="6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25</v>
      </c>
      <c r="D37" s="27"/>
      <c r="E37" s="27"/>
      <c r="F37" s="27"/>
      <c r="G37" s="27"/>
      <c r="H37" s="5"/>
      <c r="I37" s="5"/>
      <c r="J37" s="3" t="str">
        <f t="shared" si="6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25</v>
      </c>
      <c r="D38" s="27"/>
      <c r="E38" s="27"/>
      <c r="F38" s="27"/>
      <c r="G38" s="27"/>
      <c r="H38" s="5"/>
      <c r="I38" s="5"/>
      <c r="J38" s="3" t="str">
        <f t="shared" si="6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25</v>
      </c>
      <c r="D39" s="27"/>
      <c r="E39" s="27"/>
      <c r="F39" s="27"/>
      <c r="G39" s="27"/>
      <c r="H39" s="5"/>
      <c r="I39" s="5"/>
      <c r="J39" s="3" t="str">
        <f t="shared" si="6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25</v>
      </c>
      <c r="D40" s="27"/>
      <c r="E40" s="27"/>
      <c r="F40" s="27"/>
      <c r="G40" s="27"/>
      <c r="H40" s="5"/>
      <c r="I40" s="5"/>
      <c r="J40" s="3" t="str">
        <f t="shared" si="6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25</v>
      </c>
      <c r="D41" s="27"/>
      <c r="E41" s="27"/>
      <c r="F41" s="27"/>
      <c r="G41" s="27"/>
      <c r="H41" s="5"/>
      <c r="I41" s="5"/>
      <c r="J41" s="3" t="str">
        <f t="shared" si="6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25</v>
      </c>
      <c r="D42" s="27"/>
      <c r="E42" s="27"/>
      <c r="F42" s="27"/>
      <c r="G42" s="27"/>
      <c r="H42" s="5"/>
      <c r="I42" s="5"/>
      <c r="J42" s="3" t="str">
        <f t="shared" si="6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25</v>
      </c>
      <c r="D43" s="27"/>
      <c r="E43" s="27"/>
      <c r="F43" s="27"/>
      <c r="G43" s="27"/>
      <c r="H43" s="5"/>
      <c r="I43" s="5"/>
      <c r="J43" s="3" t="str">
        <f t="shared" si="6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25</v>
      </c>
      <c r="D44" s="27"/>
      <c r="E44" s="27"/>
      <c r="F44" s="27"/>
      <c r="G44" s="27"/>
      <c r="H44" s="5"/>
      <c r="I44" s="5"/>
      <c r="J44" s="3" t="str">
        <f t="shared" si="6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25</v>
      </c>
      <c r="D45" s="27"/>
      <c r="E45" s="27"/>
      <c r="F45" s="27"/>
      <c r="G45" s="27"/>
      <c r="H45" s="5"/>
      <c r="I45" s="5"/>
      <c r="J45" s="3" t="str">
        <f t="shared" si="6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25</v>
      </c>
      <c r="D46" s="27"/>
      <c r="E46" s="27"/>
      <c r="F46" s="27"/>
      <c r="G46" s="27"/>
      <c r="H46" s="5"/>
      <c r="I46" s="5"/>
      <c r="J46" s="3" t="str">
        <f t="shared" si="6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25</v>
      </c>
      <c r="D47" s="27"/>
      <c r="E47" s="27"/>
      <c r="F47" s="27"/>
      <c r="G47" s="27"/>
      <c r="H47" s="5"/>
      <c r="I47" s="5"/>
      <c r="J47" s="3" t="str">
        <f t="shared" si="6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25</v>
      </c>
      <c r="D48" s="27"/>
      <c r="E48" s="27"/>
      <c r="F48" s="27"/>
      <c r="G48" s="27"/>
      <c r="H48" s="5"/>
      <c r="I48" s="5"/>
      <c r="J48" s="3" t="str">
        <f t="shared" si="6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25</v>
      </c>
      <c r="D49" s="27"/>
      <c r="E49" s="27"/>
      <c r="F49" s="27"/>
      <c r="G49" s="27"/>
      <c r="H49" s="5"/>
      <c r="I49" s="5"/>
      <c r="J49" s="3" t="str">
        <f t="shared" si="6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25</v>
      </c>
      <c r="D50" s="27"/>
      <c r="E50" s="27"/>
      <c r="F50" s="27"/>
      <c r="G50" s="27"/>
      <c r="H50" s="5"/>
      <c r="I50" s="5"/>
      <c r="J50" s="3" t="str">
        <f t="shared" si="6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25</v>
      </c>
      <c r="D51" s="27"/>
      <c r="E51" s="27"/>
      <c r="F51" s="27"/>
      <c r="G51" s="27"/>
      <c r="H51" s="5"/>
      <c r="I51" s="5"/>
      <c r="J51" s="3" t="str">
        <f t="shared" si="6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25</v>
      </c>
      <c r="D52" s="27"/>
      <c r="E52" s="27"/>
      <c r="F52" s="27"/>
      <c r="G52" s="27"/>
      <c r="H52" s="5"/>
      <c r="I52" s="5"/>
      <c r="J52" s="3" t="str">
        <f t="shared" si="6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25</v>
      </c>
      <c r="D53" s="27"/>
      <c r="E53" s="27"/>
      <c r="F53" s="27"/>
      <c r="G53" s="27"/>
      <c r="H53" s="5"/>
      <c r="I53" s="5"/>
      <c r="J53" s="3" t="str">
        <f t="shared" si="6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25</v>
      </c>
      <c r="D54" s="5"/>
      <c r="E54" s="5"/>
      <c r="F54" s="5"/>
      <c r="G54" s="5"/>
      <c r="H54" s="5"/>
      <c r="I54" s="5"/>
      <c r="J54" s="3" t="str">
        <f t="shared" si="6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25</v>
      </c>
      <c r="D55" s="5"/>
      <c r="E55" s="5"/>
      <c r="F55" s="5"/>
      <c r="G55" s="5"/>
      <c r="H55" s="5"/>
      <c r="I55" s="5"/>
      <c r="J55" s="3" t="str">
        <f t="shared" si="6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25</v>
      </c>
      <c r="D56" s="5"/>
      <c r="E56" s="5"/>
      <c r="F56" s="5"/>
      <c r="G56" s="5"/>
      <c r="H56" s="5"/>
      <c r="I56" s="5"/>
      <c r="J56" s="3" t="str">
        <f t="shared" si="6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25</v>
      </c>
      <c r="D57" s="5"/>
      <c r="E57" s="5"/>
      <c r="F57" s="5"/>
      <c r="G57" s="5"/>
      <c r="H57" s="5"/>
      <c r="I57" s="5"/>
      <c r="J57" s="3" t="str">
        <f t="shared" si="6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25</v>
      </c>
      <c r="D58" s="5"/>
      <c r="E58" s="5"/>
      <c r="F58" s="5"/>
      <c r="G58" s="5"/>
      <c r="H58" s="5"/>
      <c r="I58" s="5"/>
      <c r="J58" s="3" t="str">
        <f t="shared" si="6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25</v>
      </c>
      <c r="D59" s="5"/>
      <c r="E59" s="5"/>
      <c r="F59" s="5"/>
      <c r="G59" s="5"/>
      <c r="H59" s="5"/>
      <c r="I59" s="5"/>
      <c r="J59" s="3" t="str">
        <f t="shared" si="6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25</v>
      </c>
      <c r="D60" s="5"/>
      <c r="E60" s="5"/>
      <c r="F60" s="5"/>
      <c r="G60" s="5"/>
      <c r="H60" s="5"/>
      <c r="I60" s="5"/>
      <c r="J60" s="3" t="str">
        <f t="shared" si="6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25</v>
      </c>
      <c r="D61" s="5"/>
      <c r="E61" s="5"/>
      <c r="F61" s="5"/>
      <c r="G61" s="5"/>
      <c r="H61" s="5"/>
      <c r="I61" s="5"/>
      <c r="J61" s="3" t="str">
        <f t="shared" si="6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25</v>
      </c>
      <c r="D62" s="5"/>
      <c r="E62" s="5"/>
      <c r="F62" s="5"/>
      <c r="G62" s="5"/>
      <c r="H62" s="5"/>
      <c r="I62" s="5"/>
      <c r="J62" s="3" t="str">
        <f t="shared" si="6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25</v>
      </c>
      <c r="D63" s="5"/>
      <c r="E63" s="5"/>
      <c r="F63" s="5"/>
      <c r="G63" s="5"/>
      <c r="H63" s="5"/>
      <c r="I63" s="5"/>
      <c r="J63" s="3" t="str">
        <f t="shared" si="6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25</v>
      </c>
      <c r="D64" s="5"/>
      <c r="E64" s="5"/>
      <c r="F64" s="5"/>
      <c r="G64" s="5"/>
      <c r="H64" s="5"/>
      <c r="I64" s="5"/>
      <c r="J64" s="3" t="str">
        <f t="shared" si="6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25</v>
      </c>
      <c r="D65" s="5"/>
      <c r="E65" s="5"/>
      <c r="F65" s="5"/>
      <c r="G65" s="5"/>
      <c r="H65" s="5"/>
      <c r="I65" s="5"/>
      <c r="J65" s="3" t="str">
        <f t="shared" si="6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25</v>
      </c>
      <c r="D66" s="5"/>
      <c r="E66" s="5"/>
      <c r="F66" s="5"/>
      <c r="G66" s="5"/>
      <c r="H66" s="5"/>
      <c r="I66" s="5"/>
      <c r="J66" s="3" t="str">
        <f t="shared" ref="J66:J97" si="7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25</v>
      </c>
      <c r="D67" s="5"/>
      <c r="E67" s="5"/>
      <c r="F67" s="5"/>
      <c r="G67" s="5"/>
      <c r="H67" s="5"/>
      <c r="I67" s="5"/>
      <c r="J67" s="3" t="str">
        <f t="shared" si="7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25</v>
      </c>
      <c r="D68" s="5"/>
      <c r="E68" s="5"/>
      <c r="F68" s="5"/>
      <c r="G68" s="5"/>
      <c r="H68" s="5"/>
      <c r="I68" s="5"/>
      <c r="J68" s="3" t="str">
        <f t="shared" si="7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25</v>
      </c>
      <c r="D69" s="5"/>
      <c r="E69" s="5"/>
      <c r="F69" s="5"/>
      <c r="G69" s="5"/>
      <c r="H69" s="5"/>
      <c r="I69" s="5"/>
      <c r="J69" s="3" t="str">
        <f t="shared" si="7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25</v>
      </c>
      <c r="D70" s="5"/>
      <c r="E70" s="5"/>
      <c r="F70" s="5"/>
      <c r="G70" s="5"/>
      <c r="H70" s="5"/>
      <c r="I70" s="5"/>
      <c r="J70" s="3" t="str">
        <f t="shared" si="7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25</v>
      </c>
      <c r="D71" s="5"/>
      <c r="E71" s="5"/>
      <c r="F71" s="5"/>
      <c r="G71" s="5"/>
      <c r="H71" s="5"/>
      <c r="I71" s="5"/>
      <c r="J71" s="3" t="str">
        <f t="shared" si="7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25</v>
      </c>
      <c r="D72" s="5"/>
      <c r="E72" s="5"/>
      <c r="F72" s="5"/>
      <c r="G72" s="5"/>
      <c r="H72" s="5"/>
      <c r="I72" s="5"/>
      <c r="J72" s="3" t="str">
        <f t="shared" si="7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25</v>
      </c>
      <c r="D73" s="5"/>
      <c r="E73" s="5"/>
      <c r="F73" s="5"/>
      <c r="G73" s="5"/>
      <c r="H73" s="5"/>
      <c r="I73" s="5"/>
      <c r="J73" s="3" t="str">
        <f t="shared" si="7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25</v>
      </c>
      <c r="D74" s="5"/>
      <c r="E74" s="5"/>
      <c r="F74" s="5"/>
      <c r="G74" s="5"/>
      <c r="H74" s="5"/>
      <c r="I74" s="5"/>
      <c r="J74" s="3" t="str">
        <f t="shared" si="7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25</v>
      </c>
      <c r="D75" s="5"/>
      <c r="E75" s="5"/>
      <c r="F75" s="5"/>
      <c r="G75" s="5"/>
      <c r="H75" s="5"/>
      <c r="I75" s="5"/>
      <c r="J75" s="3" t="str">
        <f t="shared" si="7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25</v>
      </c>
      <c r="D76" s="5"/>
      <c r="E76" s="5"/>
      <c r="F76" s="5"/>
      <c r="G76" s="5"/>
      <c r="H76" s="5"/>
      <c r="I76" s="5"/>
      <c r="J76" s="3" t="str">
        <f t="shared" si="7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25</v>
      </c>
      <c r="D77" s="5"/>
      <c r="E77" s="5"/>
      <c r="F77" s="5"/>
      <c r="G77" s="5"/>
      <c r="H77" s="5"/>
      <c r="I77" s="5"/>
      <c r="J77" s="3" t="str">
        <f t="shared" si="7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25</v>
      </c>
      <c r="D78" s="5"/>
      <c r="E78" s="5"/>
      <c r="F78" s="5"/>
      <c r="G78" s="5"/>
      <c r="H78" s="5"/>
      <c r="I78" s="5"/>
      <c r="J78" s="3" t="str">
        <f t="shared" si="7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25</v>
      </c>
      <c r="D79" s="5"/>
      <c r="E79" s="5"/>
      <c r="F79" s="5"/>
      <c r="G79" s="5"/>
      <c r="H79" s="5"/>
      <c r="I79" s="5"/>
      <c r="J79" s="3" t="str">
        <f t="shared" si="7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25</v>
      </c>
      <c r="D80" s="5"/>
      <c r="E80" s="5"/>
      <c r="F80" s="5"/>
      <c r="G80" s="5"/>
      <c r="H80" s="5"/>
      <c r="I80" s="5"/>
      <c r="J80" s="3" t="str">
        <f t="shared" si="7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25</v>
      </c>
      <c r="D81" s="5"/>
      <c r="E81" s="5"/>
      <c r="F81" s="5"/>
      <c r="G81" s="5"/>
      <c r="H81" s="5"/>
      <c r="I81" s="5"/>
      <c r="J81" s="3" t="str">
        <f t="shared" si="7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25</v>
      </c>
      <c r="D82" s="5"/>
      <c r="E82" s="5"/>
      <c r="F82" s="5"/>
      <c r="G82" s="5"/>
      <c r="H82" s="5"/>
      <c r="I82" s="5"/>
      <c r="J82" s="3" t="str">
        <f t="shared" si="7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25</v>
      </c>
      <c r="D83" s="5"/>
      <c r="E83" s="5"/>
      <c r="F83" s="5"/>
      <c r="G83" s="5"/>
      <c r="H83" s="5"/>
      <c r="I83" s="5"/>
      <c r="J83" s="3" t="str">
        <f t="shared" si="7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25</v>
      </c>
      <c r="D84" s="5"/>
      <c r="E84" s="5"/>
      <c r="F84" s="5"/>
      <c r="G84" s="5"/>
      <c r="H84" s="5"/>
      <c r="I84" s="5"/>
      <c r="J84" s="3" t="str">
        <f t="shared" si="7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25</v>
      </c>
      <c r="D85" s="5"/>
      <c r="E85" s="5"/>
      <c r="F85" s="5"/>
      <c r="G85" s="5"/>
      <c r="H85" s="5"/>
      <c r="I85" s="5"/>
      <c r="J85" s="3" t="str">
        <f t="shared" si="7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25</v>
      </c>
      <c r="D86" s="5"/>
      <c r="E86" s="5"/>
      <c r="F86" s="5"/>
      <c r="G86" s="5"/>
      <c r="H86" s="5"/>
      <c r="I86" s="5"/>
      <c r="J86" s="3" t="str">
        <f t="shared" si="7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25</v>
      </c>
      <c r="D87" s="5"/>
      <c r="E87" s="5"/>
      <c r="F87" s="5"/>
      <c r="G87" s="5"/>
      <c r="H87" s="5"/>
      <c r="I87" s="5"/>
      <c r="J87" s="3" t="str">
        <f t="shared" si="7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25</v>
      </c>
      <c r="D88" s="5"/>
      <c r="E88" s="5"/>
      <c r="F88" s="5"/>
      <c r="G88" s="5"/>
      <c r="H88" s="5"/>
      <c r="I88" s="5"/>
      <c r="J88" s="3" t="str">
        <f t="shared" si="7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25</v>
      </c>
      <c r="D89" s="5"/>
      <c r="E89" s="5"/>
      <c r="F89" s="5"/>
      <c r="G89" s="5"/>
      <c r="H89" s="5"/>
      <c r="I89" s="5"/>
      <c r="J89" s="3" t="str">
        <f t="shared" si="7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25</v>
      </c>
      <c r="D90" s="5"/>
      <c r="E90" s="5"/>
      <c r="F90" s="5"/>
      <c r="G90" s="5"/>
      <c r="H90" s="5"/>
      <c r="I90" s="5"/>
      <c r="J90" s="3" t="str">
        <f t="shared" si="7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25</v>
      </c>
      <c r="D91" s="5"/>
      <c r="E91" s="5"/>
      <c r="F91" s="5"/>
      <c r="G91" s="5"/>
      <c r="H91" s="5"/>
      <c r="I91" s="5"/>
      <c r="J91" s="3" t="str">
        <f t="shared" si="7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25</v>
      </c>
      <c r="D92" s="5"/>
      <c r="E92" s="5"/>
      <c r="F92" s="5"/>
      <c r="G92" s="5"/>
      <c r="H92" s="5"/>
      <c r="I92" s="5"/>
      <c r="J92" s="3" t="str">
        <f t="shared" si="7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25</v>
      </c>
      <c r="D93" s="5"/>
      <c r="E93" s="5"/>
      <c r="F93" s="5"/>
      <c r="G93" s="5"/>
      <c r="H93" s="5"/>
      <c r="I93" s="5"/>
      <c r="J93" s="3" t="str">
        <f t="shared" si="7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25</v>
      </c>
      <c r="D94" s="5"/>
      <c r="E94" s="5"/>
      <c r="F94" s="5"/>
      <c r="G94" s="5"/>
      <c r="H94" s="5"/>
      <c r="I94" s="5"/>
      <c r="J94" s="3" t="str">
        <f t="shared" si="7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25</v>
      </c>
      <c r="D95" s="5"/>
      <c r="E95" s="5"/>
      <c r="F95" s="5"/>
      <c r="G95" s="5"/>
      <c r="H95" s="5"/>
      <c r="I95" s="5"/>
      <c r="J95" s="3" t="str">
        <f t="shared" si="7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25</v>
      </c>
      <c r="D96" s="5"/>
      <c r="E96" s="5"/>
      <c r="F96" s="5"/>
      <c r="G96" s="5"/>
      <c r="H96" s="5"/>
      <c r="I96" s="5"/>
      <c r="J96" s="3" t="str">
        <f t="shared" si="7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25</v>
      </c>
      <c r="D97" s="5"/>
      <c r="E97" s="5"/>
      <c r="F97" s="5"/>
      <c r="G97" s="5"/>
      <c r="H97" s="5"/>
      <c r="I97" s="5"/>
      <c r="J97" s="3" t="str">
        <f t="shared" si="7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25</v>
      </c>
      <c r="D98" s="5"/>
      <c r="E98" s="5"/>
      <c r="F98" s="5"/>
      <c r="G98" s="5"/>
      <c r="H98" s="5"/>
      <c r="I98" s="5"/>
      <c r="J98" s="3" t="str">
        <f t="shared" ref="J98:J129" si="8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25</v>
      </c>
      <c r="D99" s="5"/>
      <c r="E99" s="5"/>
      <c r="F99" s="5"/>
      <c r="G99" s="5"/>
      <c r="H99" s="5"/>
      <c r="I99" s="5"/>
      <c r="J99" s="3" t="str">
        <f t="shared" si="8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25</v>
      </c>
      <c r="D100" s="5"/>
      <c r="E100" s="5"/>
      <c r="F100" s="5"/>
      <c r="G100" s="5"/>
      <c r="H100" s="5"/>
      <c r="I100" s="5"/>
      <c r="J100" s="3" t="str">
        <f t="shared" si="8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25</v>
      </c>
      <c r="D101" s="5"/>
      <c r="E101" s="5"/>
      <c r="F101" s="5"/>
      <c r="G101" s="5"/>
      <c r="H101" s="5"/>
      <c r="I101" s="5"/>
      <c r="J101" s="3" t="str">
        <f t="shared" si="8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25</v>
      </c>
      <c r="D102" s="5"/>
      <c r="E102" s="5"/>
      <c r="F102" s="5"/>
      <c r="G102" s="5"/>
      <c r="H102" s="5"/>
      <c r="I102" s="5"/>
      <c r="J102" s="3" t="str">
        <f t="shared" si="8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25</v>
      </c>
      <c r="D103" s="5"/>
      <c r="E103" s="5"/>
      <c r="F103" s="5"/>
      <c r="G103" s="5"/>
      <c r="H103" s="5"/>
      <c r="I103" s="5"/>
      <c r="J103" s="3" t="str">
        <f t="shared" si="8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25</v>
      </c>
      <c r="D104" s="5"/>
      <c r="E104" s="5"/>
      <c r="F104" s="5"/>
      <c r="G104" s="5"/>
      <c r="H104" s="5"/>
      <c r="I104" s="5"/>
      <c r="J104" s="3" t="str">
        <f t="shared" si="8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25</v>
      </c>
      <c r="D105" s="27"/>
      <c r="E105" s="27"/>
      <c r="F105" s="27"/>
      <c r="G105" s="27"/>
      <c r="H105" s="5"/>
      <c r="I105" s="5"/>
      <c r="J105" s="3" t="str">
        <f t="shared" si="8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25</v>
      </c>
      <c r="D106" s="27"/>
      <c r="E106" s="27"/>
      <c r="F106" s="27"/>
      <c r="G106" s="27"/>
      <c r="H106" s="5"/>
      <c r="I106" s="5"/>
      <c r="J106" s="3" t="str">
        <f t="shared" si="8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25</v>
      </c>
      <c r="D107" s="27"/>
      <c r="E107" s="27"/>
      <c r="F107" s="27"/>
      <c r="G107" s="27"/>
      <c r="H107" s="5"/>
      <c r="I107" s="5"/>
      <c r="J107" s="3" t="str">
        <f t="shared" si="8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25</v>
      </c>
      <c r="D108" s="27"/>
      <c r="E108" s="27"/>
      <c r="F108" s="27"/>
      <c r="G108" s="27"/>
      <c r="H108" s="5"/>
      <c r="I108" s="5"/>
      <c r="J108" s="3" t="str">
        <f t="shared" si="8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25</v>
      </c>
      <c r="D109" s="27"/>
      <c r="E109" s="27"/>
      <c r="F109" s="27"/>
      <c r="G109" s="27"/>
      <c r="H109" s="5"/>
      <c r="I109" s="5"/>
      <c r="J109" s="3" t="str">
        <f t="shared" si="8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25</v>
      </c>
      <c r="D110" s="27"/>
      <c r="E110" s="27"/>
      <c r="F110" s="27"/>
      <c r="G110" s="27"/>
      <c r="H110" s="5"/>
      <c r="I110" s="5"/>
      <c r="J110" s="3" t="str">
        <f t="shared" si="8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25</v>
      </c>
      <c r="D111" s="27"/>
      <c r="E111" s="27"/>
      <c r="F111" s="27"/>
      <c r="G111" s="27"/>
      <c r="H111" s="5"/>
      <c r="I111" s="5"/>
      <c r="J111" s="3" t="str">
        <f t="shared" si="8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25</v>
      </c>
      <c r="D112" s="27"/>
      <c r="E112" s="27"/>
      <c r="F112" s="27"/>
      <c r="G112" s="27"/>
      <c r="H112" s="5"/>
      <c r="I112" s="5"/>
      <c r="J112" s="3" t="str">
        <f t="shared" si="8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25</v>
      </c>
      <c r="D113" s="27"/>
      <c r="E113" s="27"/>
      <c r="F113" s="27"/>
      <c r="G113" s="27"/>
      <c r="H113" s="5"/>
      <c r="I113" s="5"/>
      <c r="J113" s="3" t="str">
        <f t="shared" si="8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25</v>
      </c>
      <c r="D114" s="27"/>
      <c r="E114" s="27"/>
      <c r="F114" s="27"/>
      <c r="G114" s="27"/>
      <c r="H114" s="5"/>
      <c r="I114" s="5"/>
      <c r="J114" s="3" t="str">
        <f t="shared" si="8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25</v>
      </c>
      <c r="D115" s="27"/>
      <c r="E115" s="27"/>
      <c r="F115" s="27"/>
      <c r="G115" s="27"/>
      <c r="H115" s="5"/>
      <c r="I115" s="5"/>
      <c r="J115" s="3" t="str">
        <f t="shared" si="8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25</v>
      </c>
      <c r="D116" s="5"/>
      <c r="E116" s="5"/>
      <c r="F116" s="5"/>
      <c r="G116" s="5"/>
      <c r="H116" s="5"/>
      <c r="I116" s="5"/>
      <c r="J116" s="3" t="str">
        <f t="shared" si="8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25</v>
      </c>
      <c r="D117" s="5"/>
      <c r="E117" s="5"/>
      <c r="F117" s="5"/>
      <c r="G117" s="5"/>
      <c r="H117" s="5"/>
      <c r="I117" s="5"/>
      <c r="J117" s="3" t="str">
        <f t="shared" si="8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25</v>
      </c>
      <c r="D118" s="5"/>
      <c r="E118" s="5"/>
      <c r="F118" s="5"/>
      <c r="G118" s="5"/>
      <c r="H118" s="5"/>
      <c r="I118" s="5"/>
      <c r="J118" s="3" t="str">
        <f t="shared" si="8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25</v>
      </c>
      <c r="D119" s="5"/>
      <c r="E119" s="5"/>
      <c r="F119" s="5"/>
      <c r="G119" s="5"/>
      <c r="H119" s="5"/>
      <c r="I119" s="5"/>
      <c r="J119" s="3" t="str">
        <f t="shared" si="8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25</v>
      </c>
      <c r="D120" s="5"/>
      <c r="E120" s="5"/>
      <c r="F120" s="5"/>
      <c r="G120" s="5"/>
      <c r="H120" s="5"/>
      <c r="I120" s="5"/>
      <c r="J120" s="3" t="str">
        <f t="shared" si="8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25</v>
      </c>
      <c r="D121" s="5"/>
      <c r="E121" s="5"/>
      <c r="F121" s="5"/>
      <c r="G121" s="5"/>
      <c r="H121" s="5"/>
      <c r="I121" s="5"/>
      <c r="J121" s="3" t="str">
        <f t="shared" si="8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25</v>
      </c>
      <c r="D122" s="5"/>
      <c r="E122" s="5"/>
      <c r="F122" s="5"/>
      <c r="G122" s="5"/>
      <c r="H122" s="5"/>
      <c r="I122" s="5"/>
      <c r="J122" s="3" t="str">
        <f t="shared" si="8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25</v>
      </c>
      <c r="D123" s="5"/>
      <c r="E123" s="5"/>
      <c r="F123" s="5"/>
      <c r="G123" s="5"/>
      <c r="H123" s="5"/>
      <c r="I123" s="5"/>
      <c r="J123" s="3" t="str">
        <f t="shared" si="8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25</v>
      </c>
      <c r="D124" s="5"/>
      <c r="E124" s="5"/>
      <c r="F124" s="5"/>
      <c r="G124" s="5"/>
      <c r="H124" s="5"/>
      <c r="I124" s="5"/>
      <c r="J124" s="3" t="str">
        <f t="shared" si="8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25</v>
      </c>
      <c r="D125" s="5"/>
      <c r="E125" s="5"/>
      <c r="F125" s="5"/>
      <c r="G125" s="5"/>
      <c r="H125" s="5"/>
      <c r="I125" s="5"/>
      <c r="J125" s="3" t="str">
        <f t="shared" si="8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25</v>
      </c>
      <c r="D126" s="5"/>
      <c r="E126" s="5"/>
      <c r="F126" s="5"/>
      <c r="G126" s="5"/>
      <c r="H126" s="5"/>
      <c r="I126" s="5"/>
      <c r="J126" s="3" t="str">
        <f t="shared" si="8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25</v>
      </c>
      <c r="D127" s="5"/>
      <c r="E127" s="5"/>
      <c r="F127" s="5"/>
      <c r="G127" s="5"/>
      <c r="H127" s="5"/>
      <c r="I127" s="5"/>
      <c r="J127" s="3" t="str">
        <f t="shared" si="8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25</v>
      </c>
      <c r="D128" s="5"/>
      <c r="E128" s="5"/>
      <c r="F128" s="5"/>
      <c r="G128" s="5"/>
      <c r="H128" s="5"/>
      <c r="I128" s="5"/>
      <c r="J128" s="3" t="str">
        <f t="shared" si="8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25</v>
      </c>
      <c r="D129" s="5"/>
      <c r="E129" s="5"/>
      <c r="F129" s="5"/>
      <c r="G129" s="5"/>
      <c r="H129" s="5"/>
      <c r="I129" s="5"/>
      <c r="J129" s="3" t="str">
        <f t="shared" si="8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25</v>
      </c>
      <c r="D130" s="5"/>
      <c r="E130" s="5"/>
      <c r="F130" s="5"/>
      <c r="G130" s="5"/>
      <c r="H130" s="5"/>
      <c r="I130" s="5"/>
      <c r="J130" s="3" t="str">
        <f t="shared" ref="J130:J161" si="9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25</v>
      </c>
      <c r="D131" s="5"/>
      <c r="E131" s="5"/>
      <c r="F131" s="5"/>
      <c r="G131" s="5"/>
      <c r="H131" s="5"/>
      <c r="I131" s="5"/>
      <c r="J131" s="3" t="str">
        <f t="shared" si="9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25</v>
      </c>
      <c r="D132" s="5"/>
      <c r="E132" s="5"/>
      <c r="F132" s="5"/>
      <c r="G132" s="5"/>
      <c r="H132" s="5"/>
      <c r="I132" s="5"/>
      <c r="J132" s="3" t="str">
        <f t="shared" si="9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25</v>
      </c>
      <c r="D133" s="5"/>
      <c r="E133" s="5"/>
      <c r="F133" s="5"/>
      <c r="G133" s="5"/>
      <c r="H133" s="5"/>
      <c r="I133" s="5"/>
      <c r="J133" s="3" t="str">
        <f t="shared" si="9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9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9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9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9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9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9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9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9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9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9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9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9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9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9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9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9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9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9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9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9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9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9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9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9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9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9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9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9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10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10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10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10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10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10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10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10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10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10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10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10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10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10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10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10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10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10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10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10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10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10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10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10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10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10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10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10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10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10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10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10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11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11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11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11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11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11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11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11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32" activePane="bottomLeft" state="frozen"/>
      <selection pane="bottomLeft" activeCell="A32" sqref="A32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8" t="s">
        <v>26</v>
      </c>
      <c r="B1" s="128"/>
      <c r="D1" s="1" t="s">
        <v>27</v>
      </c>
      <c r="E1" s="94" t="s">
        <v>1</v>
      </c>
      <c r="F1" s="94" t="str">
        <f>IF(Present_Effect_size_measure&lt;&gt;"",Present_Effect_size_measure,"")</f>
        <v>Odds Ratio</v>
      </c>
      <c r="G1" s="94" t="s">
        <v>28</v>
      </c>
      <c r="H1" s="94" t="s">
        <v>29</v>
      </c>
      <c r="I1" s="94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95" t="str">
        <f>IF(Number&lt;=COUNT(Entry_number),INDEX(Lookup_table,MATCH(Number,Calculations!AK:AK,0),3),"")</f>
        <v>Tian et al. (A)</v>
      </c>
      <c r="F2" s="96">
        <f>IF(Ranked_number&lt;=COUNT(Entry_number),INDEX(Lookup_table,MATCH(Number,Calculations!AK:AK,0),5),"")</f>
        <v>1.2050314955950736</v>
      </c>
      <c r="G2" s="96">
        <f>IF(Ranked_number&lt;=COUNT(Entry_number),INDEX(Lookup_table,MATCH(Number,Calculations!AK:AK,0),9),"")</f>
        <v>0.83906615205057988</v>
      </c>
      <c r="H2" s="96">
        <f>IF(Ranked_number&lt;=COUNT(Entry_number),INDEX(Lookup_table,MATCH(Number,Calculations!AK:AK,0),10),"")</f>
        <v>1.7306155203941127</v>
      </c>
      <c r="I2" s="97">
        <f>IF(D2&lt;=COUNT(Entry_number),INDEX(Lookup_table,MATCH(Number,Calculations!AK:AK,0),11),"")</f>
        <v>7.982947223621023E-2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41" t="s">
        <v>34</v>
      </c>
      <c r="O2" s="142" t="s">
        <v>35</v>
      </c>
    </row>
    <row r="3" spans="1:15">
      <c r="A3" s="3" t="s">
        <v>36</v>
      </c>
      <c r="B3" s="29">
        <v>0.95</v>
      </c>
      <c r="D3" s="48">
        <v>2</v>
      </c>
      <c r="E3" s="95" t="str">
        <f>IF(Number&lt;=COUNT(Entry_number),INDEX(Lookup_table,MATCH(Number,Calculations!AK:AK,0),3),"")</f>
        <v>Quan et al.</v>
      </c>
      <c r="F3" s="96">
        <f>IF(Ranked_number&lt;=COUNT(Entry_number),INDEX(Lookup_table,MATCH(Number,Calculations!AK:AK,0),5),"")</f>
        <v>1.0672431448401412</v>
      </c>
      <c r="G3" s="96">
        <f>IF(Ranked_number&lt;=COUNT(Entry_number),INDEX(Lookup_table,MATCH(Number,Calculations!AK:AK,0),9),"")</f>
        <v>0.70925320003371028</v>
      </c>
      <c r="H3" s="96">
        <f>IF(Ranked_number&lt;=COUNT(Entry_number),INDEX(Lookup_table,MATCH(Number,Calculations!AK:AK,0),10),"")</f>
        <v>1.6059256837390912</v>
      </c>
      <c r="I3" s="97">
        <f>IF(D3&lt;=COUNT(Entry_number),INDEX(Lookup_table,MATCH(Number,Calculations!AK:AK,0),11),"")</f>
        <v>6.2712104055303669E-2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41"/>
      <c r="O3" s="142"/>
    </row>
    <row r="4" spans="1:15">
      <c r="D4" s="48">
        <v>3</v>
      </c>
      <c r="E4" s="95" t="str">
        <f>IF(Number&lt;=COUNT(Entry_number),INDEX(Lookup_table,MATCH(Number,Calculations!AK:AK,0),3),"")</f>
        <v>Saffarayazdi et al.</v>
      </c>
      <c r="F4" s="96">
        <f>IF(Ranked_number&lt;=COUNT(Entry_number),INDEX(Lookup_table,MATCH(Number,Calculations!AK:AK,0),5),"")</f>
        <v>0.99703175780627817</v>
      </c>
      <c r="G4" s="96">
        <f>IF(Ranked_number&lt;=COUNT(Entry_number),INDEX(Lookup_table,MATCH(Number,Calculations!AK:AK,0),9),"")</f>
        <v>0.71087111950827131</v>
      </c>
      <c r="H4" s="96">
        <f>IF(Ranked_number&lt;=COUNT(Entry_number),INDEX(Lookup_table,MATCH(Number,Calculations!AK:AK,0),10),"")</f>
        <v>1.3983861473538319</v>
      </c>
      <c r="I4" s="97">
        <f>IF(D4&lt;=COUNT(Entry_number),INDEX(Lookup_table,MATCH(Number,Calculations!AK:AK,0),11),"")</f>
        <v>9.1583704207106167E-2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41"/>
      <c r="O4" s="142"/>
    </row>
    <row r="5" spans="1:15">
      <c r="A5" s="128" t="s">
        <v>38</v>
      </c>
      <c r="B5" s="128"/>
      <c r="D5" s="48">
        <v>4</v>
      </c>
      <c r="E5" s="95" t="str">
        <f>IF(Number&lt;=COUNT(Entry_number),INDEX(Lookup_table,MATCH(Number,Calculations!AK:AK,0),3),"")</f>
        <v>Saffarayazdi et al.</v>
      </c>
      <c r="F5" s="96">
        <f>IF(Ranked_number&lt;=COUNT(Entry_number),INDEX(Lookup_table,MATCH(Number,Calculations!AK:AK,0),5),"")</f>
        <v>1.1997668915339244</v>
      </c>
      <c r="G5" s="96">
        <f>IF(Ranked_number&lt;=COUNT(Entry_number),INDEX(Lookup_table,MATCH(Number,Calculations!AK:AK,0),9),"")</f>
        <v>0.8259575827454062</v>
      </c>
      <c r="H5" s="96">
        <f>IF(Ranked_number&lt;=COUNT(Entry_number),INDEX(Lookup_table,MATCH(Number,Calculations!AK:AK,0),10),"")</f>
        <v>1.7427536523563458</v>
      </c>
      <c r="I5" s="97">
        <f>IF(D5&lt;=COUNT(Entry_number),INDEX(Lookup_table,MATCH(Number,Calculations!AK:AK,0),11),"")</f>
        <v>7.5195745401119632E-2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41"/>
      <c r="O5" s="142"/>
    </row>
    <row r="6" spans="1:15">
      <c r="A6" s="3" t="s">
        <v>39</v>
      </c>
      <c r="B6" s="5" t="s">
        <v>40</v>
      </c>
      <c r="D6" s="48">
        <v>5</v>
      </c>
      <c r="E6" s="95" t="str">
        <f>IF(Number&lt;=COUNT(Entry_number),INDEX(Lookup_table,MATCH(Number,Calculations!AK:AK,0),3),"")</f>
        <v>Saffarayazdi et al.</v>
      </c>
      <c r="F6" s="96">
        <f>IF(Ranked_number&lt;=COUNT(Entry_number),INDEX(Lookup_table,MATCH(Number,Calculations!AK:AK,0),5),"")</f>
        <v>0.97987283430798622</v>
      </c>
      <c r="G6" s="96">
        <f>IF(Ranked_number&lt;=COUNT(Entry_number),INDEX(Lookup_table,MATCH(Number,Calculations!AK:AK,0),9),"")</f>
        <v>0.70135683292295004</v>
      </c>
      <c r="H6" s="96">
        <f>IF(Ranked_number&lt;=COUNT(Entry_number),INDEX(Lookup_table,MATCH(Number,Calculations!AK:AK,0),10),"")</f>
        <v>1.3689904002407387</v>
      </c>
      <c r="I6" s="97">
        <f>IF(D6&lt;=COUNT(Entry_number),INDEX(Lookup_table,MATCH(Number,Calculations!AK:AK,0),11),"")</f>
        <v>9.372429125001866E-2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41"/>
      <c r="O6" s="142"/>
    </row>
    <row r="7" spans="1:15">
      <c r="A7" s="3" t="s">
        <v>42</v>
      </c>
      <c r="B7" s="5" t="s">
        <v>43</v>
      </c>
      <c r="D7" s="48">
        <v>6</v>
      </c>
      <c r="E7" s="95" t="str">
        <f>IF(Number&lt;=COUNT(Entry_number),INDEX(Lookup_table,MATCH(Number,Calculations!AK:AK,0),3),"")</f>
        <v>Saffarayazdi et al.</v>
      </c>
      <c r="F7" s="96">
        <f>IF(Ranked_number&lt;=COUNT(Entry_number),INDEX(Lookup_table,MATCH(Number,Calculations!AK:AK,0),5),"")</f>
        <v>1.1997668915339244</v>
      </c>
      <c r="G7" s="96">
        <f>IF(Ranked_number&lt;=COUNT(Entry_number),INDEX(Lookup_table,MATCH(Number,Calculations!AK:AK,0),9),"")</f>
        <v>0.8259575827454062</v>
      </c>
      <c r="H7" s="96">
        <f>IF(Ranked_number&lt;=COUNT(Entry_number),INDEX(Lookup_table,MATCH(Number,Calculations!AK:AK,0),10),"")</f>
        <v>1.7427536523563458</v>
      </c>
      <c r="I7" s="97">
        <f>IF(D7&lt;=COUNT(Entry_number),INDEX(Lookup_table,MATCH(Number,Calculations!AK:AK,0),11),"")</f>
        <v>7.5195745401119632E-2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41"/>
      <c r="O7" s="142"/>
    </row>
    <row r="8" spans="1:15">
      <c r="A8" s="3" t="s">
        <v>45</v>
      </c>
      <c r="B8" s="5" t="s">
        <v>43</v>
      </c>
      <c r="D8" s="48">
        <v>7</v>
      </c>
      <c r="E8" s="95" t="str">
        <f>IF(Number&lt;=COUNT(Entry_number),INDEX(Lookup_table,MATCH(Number,Calculations!AK:AK,0),3),"")</f>
        <v>Saffarayazdi et al.</v>
      </c>
      <c r="F8" s="96">
        <f>IF(Ranked_number&lt;=COUNT(Entry_number),INDEX(Lookup_table,MATCH(Number,Calculations!AK:AK,0),5),"")</f>
        <v>1.0978754494792486</v>
      </c>
      <c r="G8" s="96">
        <f>IF(Ranked_number&lt;=COUNT(Entry_number),INDEX(Lookup_table,MATCH(Number,Calculations!AK:AK,0),9),"")</f>
        <v>0.7787254496467747</v>
      </c>
      <c r="H8" s="96">
        <f>IF(Ranked_number&lt;=COUNT(Entry_number),INDEX(Lookup_table,MATCH(Number,Calculations!AK:AK,0),10),"")</f>
        <v>1.5478247219427501</v>
      </c>
      <c r="I8" s="97">
        <f>IF(D8&lt;=COUNT(Entry_number),INDEX(Lookup_table,MATCH(Number,Calculations!AK:AK,0),11),"")</f>
        <v>8.8841011847466594E-2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41"/>
      <c r="O8" s="142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Saffarayazdi et al.</v>
      </c>
      <c r="F9" s="96">
        <f>IF(Ranked_number&lt;=COUNT(Entry_number),INDEX(Lookup_table,MATCH(Number,Calculations!AK:AK,0),5),"")</f>
        <v>1.1517615176151761</v>
      </c>
      <c r="G9" s="96">
        <f>IF(Ranked_number&lt;=COUNT(Entry_number),INDEX(Lookup_table,MATCH(Number,Calculations!AK:AK,0),9),"")</f>
        <v>0.79620500214202961</v>
      </c>
      <c r="H9" s="96">
        <f>IF(Ranked_number&lt;=COUNT(Entry_number),INDEX(Lookup_table,MATCH(Number,Calculations!AK:AK,0),10),"")</f>
        <v>1.6660967839819956</v>
      </c>
      <c r="I9" s="97">
        <f>IF(D9&lt;=COUNT(Entry_number),INDEX(Lookup_table,MATCH(Number,Calculations!AK:AK,0),11),"")</f>
        <v>7.6894954327254808E-2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41"/>
      <c r="O9" s="142"/>
    </row>
    <row r="10" spans="1:15">
      <c r="D10" s="48">
        <v>9</v>
      </c>
      <c r="E10" s="95" t="str">
        <f>IF(Number&lt;=COUNT(Entry_number),INDEX(Lookup_table,MATCH(Number,Calculations!AK:AK,0),3),"")</f>
        <v>Saffarayazdi et al.</v>
      </c>
      <c r="F10" s="96">
        <f>IF(Ranked_number&lt;=COUNT(Entry_number),INDEX(Lookup_table,MATCH(Number,Calculations!AK:AK,0),5),"")</f>
        <v>0.95818011392313795</v>
      </c>
      <c r="G10" s="96">
        <f>IF(Ranked_number&lt;=COUNT(Entry_number),INDEX(Lookup_table,MATCH(Number,Calculations!AK:AK,0),9),"")</f>
        <v>0.68418075182769833</v>
      </c>
      <c r="H10" s="96">
        <f>IF(Ranked_number&lt;=COUNT(Entry_number),INDEX(Lookup_table,MATCH(Number,Calculations!AK:AK,0),10),"")</f>
        <v>1.3419102017488076</v>
      </c>
      <c r="I10" s="97">
        <f>IF(D10&lt;=COUNT(Entry_number),INDEX(Lookup_table,MATCH(Number,Calculations!AK:AK,0),11),"")</f>
        <v>9.2389155325843575E-2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41"/>
      <c r="O10" s="142"/>
    </row>
    <row r="11" spans="1:15">
      <c r="A11" s="128" t="s">
        <v>47</v>
      </c>
      <c r="B11" s="128"/>
      <c r="D11" s="48">
        <v>10</v>
      </c>
      <c r="E11" s="95" t="str">
        <f>IF(Number&lt;=COUNT(Entry_number),INDEX(Lookup_table,MATCH(Number,Calculations!AK:AK,0),3),"")</f>
        <v>Saffarayazdi et al.</v>
      </c>
      <c r="F11" s="96">
        <f>IF(Ranked_number&lt;=COUNT(Entry_number),INDEX(Lookup_table,MATCH(Number,Calculations!AK:AK,0),5),"")</f>
        <v>1.0743218134522481</v>
      </c>
      <c r="G11" s="96">
        <f>IF(Ranked_number&lt;=COUNT(Entry_number),INDEX(Lookup_table,MATCH(Number,Calculations!AK:AK,0),9),"")</f>
        <v>0.74755972836365325</v>
      </c>
      <c r="H11" s="96">
        <f>IF(Ranked_number&lt;=COUNT(Entry_number),INDEX(Lookup_table,MATCH(Number,Calculations!AK:AK,0),10),"")</f>
        <v>1.543913235382147</v>
      </c>
      <c r="I11" s="97">
        <f>IF(D11&lt;=COUNT(Entry_number),INDEX(Lookup_table,MATCH(Number,Calculations!AK:AK,0),11),"")</f>
        <v>7.9702375275343601E-2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41"/>
      <c r="O11" s="142"/>
    </row>
    <row r="12" spans="1:15">
      <c r="A12" s="3" t="s">
        <v>48</v>
      </c>
      <c r="B12" s="5" t="s">
        <v>33</v>
      </c>
      <c r="D12" s="48">
        <v>11</v>
      </c>
      <c r="E12" s="95" t="str">
        <f>IF(Number&lt;=COUNT(Entry_number),INDEX(Lookup_table,MATCH(Number,Calculations!AK:AK,0),3),"")</f>
        <v>Quan et al.</v>
      </c>
      <c r="F12" s="96">
        <f>IF(Ranked_number&lt;=COUNT(Entry_number),INDEX(Lookup_table,MATCH(Number,Calculations!AK:AK,0),5),"")</f>
        <v>1.0300341505061592</v>
      </c>
      <c r="G12" s="96">
        <f>IF(Ranked_number&lt;=COUNT(Entry_number),INDEX(Lookup_table,MATCH(Number,Calculations!AK:AK,0),9),"")</f>
        <v>0.73506656400413839</v>
      </c>
      <c r="H12" s="96">
        <f>IF(Ranked_number&lt;=COUNT(Entry_number),INDEX(Lookup_table,MATCH(Number,Calculations!AK:AK,0),10),"")</f>
        <v>1.4433663604959888</v>
      </c>
      <c r="I12" s="97">
        <f>IF(D12&lt;=COUNT(Entry_number),INDEX(Lookup_table,MATCH(Number,Calculations!AK:AK,0),11),"")</f>
        <v>9.1989712608708876E-2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41"/>
      <c r="O12" s="142"/>
    </row>
    <row r="13" spans="1:15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1.0609812722488778</v>
      </c>
      <c r="G13" s="4">
        <f>IF(Ranked_number&lt;=COUNT(Entry_number),INDEX(Lookup_table,MATCH(Number,Calculations!AK:AK,0),9),"")</f>
        <v>0.75708480853453286</v>
      </c>
      <c r="H13" s="4">
        <f>IF(Ranked_number&lt;=COUNT(Entry_number),INDEX(Lookup_table,MATCH(Number,Calculations!AK:AK,0),10),"")</f>
        <v>1.486862828804868</v>
      </c>
      <c r="I13" s="8">
        <f>IF(D13&lt;=COUNT(Entry_number),INDEX(Lookup_table,MATCH(Number,Calculations!AK:AK,0),11),"")</f>
        <v>9.194172806450443E-2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41"/>
      <c r="O13" s="142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41"/>
      <c r="O14" s="142"/>
    </row>
    <row r="15" spans="1:15">
      <c r="A15" s="128" t="s">
        <v>51</v>
      </c>
      <c r="B15" s="12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41"/>
      <c r="O15" s="142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1.0760257008399443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41"/>
      <c r="O16" s="142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1.0221461354304897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41"/>
      <c r="O17" s="142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1.1327453763550728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41"/>
      <c r="O18" s="142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1.0221461354304897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41"/>
      <c r="O19" s="142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1.1327453763550728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41"/>
      <c r="O20" s="142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41"/>
      <c r="O21" s="142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3.1395004934691988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41"/>
      <c r="O22" s="142"/>
    </row>
    <row r="23" spans="1:15">
      <c r="A23" s="3" t="s">
        <v>55</v>
      </c>
      <c r="B23" s="26">
        <f>IF(Valid_options="Yes",IF(B22&lt;&gt;"",1-NORMSDIST(ABS(B22)),""),"")</f>
        <v>8.4618064778219093E-4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41"/>
      <c r="O23" s="142"/>
    </row>
    <row r="24" spans="1:15">
      <c r="A24" s="3" t="s">
        <v>56</v>
      </c>
      <c r="B24" s="26">
        <f>IF(Valid_options="Yes",IF(B22&lt;&gt;"",2*(1-NORMSDIST(ABS(B22))),""),"")</f>
        <v>1.6923612955643819E-3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41"/>
      <c r="O24" s="142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41"/>
      <c r="O25" s="142"/>
    </row>
    <row r="26" spans="1:15" ht="12" customHeight="1">
      <c r="A26" s="3" t="s">
        <v>57</v>
      </c>
      <c r="B26" s="7">
        <f>SUMIF(Sufficient_data,"Yes",Number_of_subjects)</f>
        <v>34944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41"/>
      <c r="O26" s="142"/>
    </row>
    <row r="27" spans="1:15">
      <c r="A27" s="3" t="s">
        <v>58</v>
      </c>
      <c r="B27" s="7">
        <f>COUNT(Weightf)</f>
        <v>12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41"/>
      <c r="O27" s="142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41"/>
      <c r="O28" s="142"/>
    </row>
    <row r="29" spans="1:15">
      <c r="A29" s="128" t="s">
        <v>59</v>
      </c>
      <c r="B29" s="12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41"/>
      <c r="O29" s="142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2.2009602277713052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41"/>
      <c r="O30" s="142"/>
    </row>
    <row r="31" spans="1:15" ht="12.95">
      <c r="A31" s="3" t="s">
        <v>61</v>
      </c>
      <c r="B31" s="26">
        <f>IF(Valid_options="Yes",IF(B30&lt;&gt;"",CHIDIST(B30,k_-1),""),"")</f>
        <v>0.99765616614595543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41"/>
      <c r="O31" s="142"/>
    </row>
    <row r="32" spans="1:15" ht="13.5">
      <c r="A32" s="3" t="s">
        <v>62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41"/>
      <c r="O32" s="142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41"/>
      <c r="O33" s="142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41"/>
      <c r="O34" s="142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41"/>
      <c r="O35" s="142"/>
    </row>
    <row r="36" spans="1:15">
      <c r="A36" s="128" t="s">
        <v>63</v>
      </c>
      <c r="B36" s="12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41"/>
      <c r="O36" s="142"/>
    </row>
    <row r="37" spans="1:15">
      <c r="A37" s="130" t="s">
        <v>40</v>
      </c>
      <c r="B37" s="13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41"/>
      <c r="O37" s="142"/>
    </row>
    <row r="38" spans="1:15">
      <c r="A38" s="127" t="s">
        <v>64</v>
      </c>
      <c r="B38" s="12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41"/>
      <c r="O38" s="142"/>
    </row>
    <row r="39" spans="1:15">
      <c r="A39" s="127" t="s">
        <v>65</v>
      </c>
      <c r="B39" s="12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41"/>
      <c r="O39" s="142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41"/>
      <c r="O40" s="142"/>
    </row>
    <row r="41" spans="1:15">
      <c r="A41" s="128" t="s">
        <v>66</v>
      </c>
      <c r="B41" s="12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41"/>
      <c r="O41" s="142"/>
    </row>
    <row r="42" spans="1:15">
      <c r="A42" s="130" t="str">
        <f>IF(Weighting_method="Peto","Peto Odds Ratio","Odds Ratio")</f>
        <v>Odds Ratio</v>
      </c>
      <c r="B42" s="13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41"/>
      <c r="O42" s="142"/>
    </row>
    <row r="43" spans="1:15">
      <c r="A43" s="127" t="str">
        <f>IF(Weighting_method="Inverse variance","Risk Ratio","")</f>
        <v>Risk Ratio</v>
      </c>
      <c r="B43" s="12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41"/>
      <c r="O43" s="142"/>
    </row>
    <row r="44" spans="1:15">
      <c r="A44" s="127" t="str">
        <f>IF(Weighting_method="Inverse variance","Risk Difference","")</f>
        <v>Risk Difference</v>
      </c>
      <c r="B44" s="12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41"/>
      <c r="O44" s="142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41"/>
      <c r="O45" s="142"/>
    </row>
    <row r="46" spans="1:15">
      <c r="A46" s="128" t="s">
        <v>67</v>
      </c>
      <c r="B46" s="12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41"/>
      <c r="O46" s="142"/>
    </row>
    <row r="47" spans="1:15">
      <c r="A47" s="130" t="str">
        <f>IF(Model_effect_size_measure&lt;&gt;"",Model_effect_size_measure,"")</f>
        <v>Odds Ratio</v>
      </c>
      <c r="B47" s="13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41"/>
      <c r="O47" s="142"/>
    </row>
    <row r="48" spans="1:15">
      <c r="A48" s="127" t="str">
        <f>IF(OR(Model_effect_size_measure="Odds Ratio",Model_effect_size_measure="Peto Odds Ratio"),"Risk Ratio",IF(Model_effect_size_measure="Risk Ratio","Risk Difference",""))</f>
        <v>Risk Ratio</v>
      </c>
      <c r="B48" s="12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41"/>
      <c r="O48" s="142"/>
    </row>
    <row r="49" spans="1:15">
      <c r="A49" s="127" t="str">
        <f>IF(OR(Model_effect_size_measure="Odds Ratio",Model_effect_size_measure="Peto Odds Ratio"),"Risk Difference","")</f>
        <v>Risk Difference</v>
      </c>
      <c r="B49" s="12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41"/>
      <c r="O49" s="142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41"/>
      <c r="O50" s="142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41"/>
      <c r="O51" s="142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41"/>
      <c r="O52" s="142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41"/>
      <c r="O53" s="142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41"/>
      <c r="O54" s="142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41"/>
      <c r="O55" s="142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41"/>
      <c r="O56" s="142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41"/>
      <c r="O57" s="142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41"/>
      <c r="O58" s="142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41"/>
      <c r="O59" s="142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41"/>
      <c r="O60" s="142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41"/>
      <c r="O61" s="142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41"/>
      <c r="O62" s="142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41"/>
      <c r="O63" s="142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41"/>
      <c r="O64" s="142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41"/>
      <c r="O65" s="142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41"/>
      <c r="O66" s="142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41"/>
      <c r="O67" s="142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41"/>
      <c r="O68" s="142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41"/>
      <c r="O69" s="142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41"/>
      <c r="O70" s="142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41"/>
      <c r="O71" s="142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41"/>
      <c r="O72" s="142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41"/>
      <c r="O73" s="142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41"/>
      <c r="O74" s="142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41"/>
      <c r="O75" s="142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41"/>
      <c r="O76" s="142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41"/>
      <c r="O77" s="142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41"/>
      <c r="O78" s="142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41"/>
      <c r="O79" s="142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41"/>
      <c r="O80" s="142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41"/>
      <c r="O81" s="142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41"/>
      <c r="O82" s="142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41"/>
      <c r="O83" s="142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41"/>
      <c r="O84" s="142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41"/>
      <c r="O85" s="142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41"/>
      <c r="O86" s="142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41"/>
      <c r="O87" s="142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41"/>
      <c r="O88" s="142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41"/>
      <c r="O89" s="142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41"/>
      <c r="O90" s="142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41"/>
      <c r="O91" s="142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41"/>
      <c r="O92" s="142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41"/>
      <c r="O93" s="142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41"/>
      <c r="O94" s="142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41"/>
      <c r="O95" s="142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41"/>
      <c r="O96" s="142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41"/>
      <c r="O97" s="142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41"/>
      <c r="O98" s="142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41"/>
      <c r="O99" s="142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41"/>
      <c r="O100" s="142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41"/>
      <c r="O101" s="142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41"/>
      <c r="O102" s="142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41"/>
      <c r="O103" s="142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41"/>
      <c r="O104" s="142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41"/>
      <c r="O105" s="142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41"/>
      <c r="O106" s="142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41"/>
      <c r="O107" s="142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41"/>
      <c r="O108" s="142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41"/>
      <c r="O109" s="142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41"/>
      <c r="O110" s="142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41"/>
      <c r="O111" s="142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41"/>
      <c r="O112" s="142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41"/>
      <c r="O113" s="142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41"/>
      <c r="O114" s="142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41"/>
      <c r="O115" s="142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41"/>
      <c r="O116" s="142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41"/>
      <c r="O117" s="142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41"/>
      <c r="O118" s="142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41"/>
      <c r="O119" s="142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41"/>
      <c r="O120" s="142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41"/>
      <c r="O121" s="142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41"/>
      <c r="O122" s="142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41"/>
      <c r="O123" s="142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41"/>
      <c r="O124" s="142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41"/>
      <c r="O125" s="142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41"/>
      <c r="O126" s="142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41"/>
      <c r="O127" s="142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41"/>
      <c r="O128" s="142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41"/>
      <c r="O129" s="142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41"/>
      <c r="O130" s="142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41"/>
      <c r="O131" s="142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41"/>
      <c r="O132" s="142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41"/>
      <c r="O133" s="142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41"/>
      <c r="O134" s="142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41"/>
      <c r="O135" s="142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41"/>
      <c r="O136" s="142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41"/>
      <c r="O137" s="142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41"/>
      <c r="O138" s="142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41"/>
      <c r="O139" s="142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41"/>
      <c r="O140" s="142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41"/>
      <c r="O141" s="142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41"/>
      <c r="O142" s="142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41"/>
      <c r="O143" s="142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41"/>
      <c r="O144" s="142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41"/>
      <c r="O145" s="142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41"/>
      <c r="O146" s="142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41"/>
      <c r="O147" s="142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41"/>
      <c r="O148" s="142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41"/>
      <c r="O149" s="142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41"/>
      <c r="O150" s="142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41"/>
      <c r="O151" s="142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41"/>
      <c r="O152" s="142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41"/>
      <c r="O153" s="142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41"/>
      <c r="O154" s="142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41"/>
      <c r="O155" s="142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41"/>
      <c r="O156" s="142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41"/>
      <c r="O157" s="142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41"/>
      <c r="O158" s="142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41"/>
      <c r="O159" s="142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41"/>
      <c r="O160" s="142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41"/>
      <c r="O161" s="142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41"/>
      <c r="O162" s="142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41"/>
      <c r="O163" s="142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41"/>
      <c r="O164" s="142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41"/>
      <c r="O165" s="142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41"/>
      <c r="O166" s="142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41"/>
      <c r="O167" s="142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41"/>
      <c r="O168" s="142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41"/>
      <c r="O169" s="142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41"/>
      <c r="O170" s="142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41"/>
      <c r="O171" s="142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41"/>
      <c r="O172" s="142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41"/>
      <c r="O173" s="142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41"/>
      <c r="O174" s="142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41"/>
      <c r="O175" s="142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41"/>
      <c r="O176" s="142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41"/>
      <c r="O177" s="142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41"/>
      <c r="O178" s="142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41"/>
      <c r="O179" s="142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41"/>
      <c r="O180" s="142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41"/>
      <c r="O181" s="142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41"/>
      <c r="O182" s="142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41"/>
      <c r="O183" s="142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41"/>
      <c r="O184" s="142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41"/>
      <c r="O185" s="142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41"/>
      <c r="O186" s="142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41"/>
      <c r="O187" s="142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41"/>
      <c r="O188" s="142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41"/>
      <c r="O189" s="142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41"/>
      <c r="O190" s="142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41"/>
      <c r="O191" s="142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41"/>
      <c r="O192" s="142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41"/>
      <c r="O193" s="142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41"/>
      <c r="O194" s="142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41"/>
      <c r="O195" s="142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41"/>
      <c r="O196" s="142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41"/>
      <c r="O197" s="142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41"/>
      <c r="O198" s="142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41"/>
      <c r="O199" s="142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41"/>
      <c r="O200" s="142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41"/>
      <c r="O201" s="143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abSelected="1" topLeftCell="C1" workbookViewId="0">
      <pane ySplit="1" topLeftCell="G2" activePane="bottomLeft" state="frozen"/>
      <selection pane="bottomLeft" activeCell="N11" sqref="N11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7" width="14.1640625" customWidth="1" outlineLevel="1"/>
    <col min="18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8" t="s">
        <v>26</v>
      </c>
      <c r="B1" s="128"/>
      <c r="C1" s="128"/>
      <c r="D1" s="128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31" t="s">
        <v>74</v>
      </c>
      <c r="C2" s="131"/>
      <c r="D2" s="131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Tian et al. (A)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1.2050314955950736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0.83906615296307063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1.7306155185120551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0.56004342250958261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4" t="s">
        <v>75</v>
      </c>
      <c r="U2" s="142" t="s">
        <v>76</v>
      </c>
      <c r="W2" s="142" t="s">
        <v>77</v>
      </c>
      <c r="Y2" s="142" t="s">
        <v>78</v>
      </c>
      <c r="AA2" s="142" t="s">
        <v>79</v>
      </c>
    </row>
    <row r="3" spans="1:27">
      <c r="A3" s="3" t="s">
        <v>80</v>
      </c>
      <c r="B3" s="132" t="s">
        <v>43</v>
      </c>
      <c r="C3" s="132"/>
      <c r="D3" s="132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1.0672431448401412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0.7092532906123552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1.6059254786465322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0.43995657749041728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4"/>
      <c r="U3" s="142"/>
      <c r="W3" s="142"/>
      <c r="Y3" s="142"/>
      <c r="AA3" s="142"/>
    </row>
    <row r="4" spans="1:27" ht="11.25" customHeight="1">
      <c r="A4" s="3" t="s">
        <v>46</v>
      </c>
      <c r="B4" s="13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3"/>
      <c r="D4" s="133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Audio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1.1423449794819798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0.53111768026532569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2.4569923025265923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0.19162220564323063</v>
      </c>
      <c r="L4" s="4">
        <f>IF(COUNTIF(Calculations!DP:DP,Subgroup_number)=1,INDEX(Calculations!DP:EU,MATCH(Subgroup_number,Calculations!DP:DP,0),5),IF(Subgroup_number=Calculations!EY$25,Calculations!EY$17,""))</f>
        <v>0.19021267665459551</v>
      </c>
      <c r="M4" s="26">
        <f>IF(COUNTIF(Calculations!DP:DP,Subgroup_number)=1,INDEX(Calculations!DP:EU,MATCH(Subgroup_number,Calculations!DP:DP,0),6),IF(Subgroup_number=Calculations!EY$25,Calculations!EY$18,""))</f>
        <v>0.66273966752705582</v>
      </c>
      <c r="N4" s="8">
        <f>IF(COUNTIF(Calculations!DP:DP,Subgroup_number)=1,INDEX(Calculations!DP:EU,MATCH(Subgroup_number,Calculations!DP:DP,0),7),IF(Subgroup_number=Calculations!EY$25,Calculations!EY$19,""))</f>
        <v>0</v>
      </c>
      <c r="O4" s="4">
        <f>IF(COUNTIF(Calculations!DP:DP,Subgroup_number)=1,INDEX(Calculations!DP:EU,MATCH(Subgroup_number,Calculations!DP:DP,0),9),IF(Subgroup_number=Calculations!EY$25,Calculations!EY$20,""))</f>
        <v>0</v>
      </c>
      <c r="P4" s="4">
        <f>IF(COUNTIF(Calculations!DP:DP,Subgroup_number)=1,INDEX(Calculations!DP:EU,MATCH(Subgroup_number,Calculations!DP:DP,0),10),IF(Subgroup_number=Calculations!EY$25,Calculations!EY$21,""))</f>
        <v>0</v>
      </c>
      <c r="Q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0.53111768026532569</v>
      </c>
      <c r="R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2.4569923025265923</v>
      </c>
      <c r="S4" s="144"/>
      <c r="U4" s="142"/>
      <c r="W4" s="142"/>
      <c r="Y4" s="142"/>
      <c r="AA4" s="142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0.99703175780627817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0.71087135241392463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1.3983856891949287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0.10680833224660498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4"/>
      <c r="U5" s="142"/>
      <c r="W5" s="142"/>
      <c r="Y5" s="142"/>
      <c r="AA5" s="142"/>
    </row>
    <row r="6" spans="1:27">
      <c r="A6" s="3" t="s">
        <v>81</v>
      </c>
      <c r="B6" s="132" t="s">
        <v>82</v>
      </c>
      <c r="C6" s="132"/>
      <c r="D6" s="132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8.7696083357487978E-2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4"/>
      <c r="U6" s="142"/>
      <c r="W6" s="142"/>
      <c r="Y6" s="142"/>
      <c r="AA6" s="142"/>
    </row>
    <row r="7" spans="1:27">
      <c r="A7" s="3" t="s">
        <v>83</v>
      </c>
      <c r="B7" s="132" t="s">
        <v>84</v>
      </c>
      <c r="C7" s="132"/>
      <c r="D7" s="132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0.97987283430798622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0.70135706007214982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1.3689899568644732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0.10930476470761517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4"/>
      <c r="U7" s="142"/>
      <c r="W7" s="142"/>
      <c r="Y7" s="142"/>
      <c r="AA7" s="142"/>
    </row>
    <row r="8" spans="1:27">
      <c r="A8" s="3" t="s">
        <v>36</v>
      </c>
      <c r="B8" s="134">
        <v>0.95</v>
      </c>
      <c r="C8" s="134"/>
      <c r="D8" s="134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8.7696083357487978E-2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4"/>
      <c r="U8" s="142"/>
      <c r="W8" s="142"/>
      <c r="Y8" s="142"/>
      <c r="AA8" s="142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1.0978754494792486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0.77872570869217395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1.5478242070543002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0.10360970210454223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44"/>
      <c r="U9" s="142"/>
      <c r="W9" s="142"/>
      <c r="Y9" s="142"/>
      <c r="AA9" s="142"/>
    </row>
    <row r="10" spans="1:27">
      <c r="A10" s="128" t="s">
        <v>51</v>
      </c>
      <c r="B10" s="128"/>
      <c r="C10" s="128"/>
      <c r="D10" s="12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1.1517615176151761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0.79620528683336445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1.6660961882520688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8.9677764193727388E-2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4"/>
      <c r="U10" s="142"/>
      <c r="W10" s="142"/>
      <c r="Y10" s="142"/>
      <c r="AA10" s="142"/>
    </row>
    <row r="11" spans="1:27">
      <c r="A11" s="3" t="str">
        <f>Subgroup_effect_size_measure</f>
        <v>Odds Ratio</v>
      </c>
      <c r="B11" s="145">
        <f>Calculations!EY9</f>
        <v>1.0797157181461929</v>
      </c>
      <c r="C11" s="145"/>
      <c r="D11" s="145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0.95818011392313795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0.68418097500941588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1.3419097640140056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0.10774767938748891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4"/>
      <c r="U11" s="142"/>
      <c r="W11" s="142"/>
      <c r="Y11" s="142"/>
      <c r="AA11" s="142"/>
    </row>
    <row r="12" spans="1:27">
      <c r="A12" s="3" t="s">
        <v>28</v>
      </c>
      <c r="B12" s="146">
        <f>Calculations!EY11</f>
        <v>1.0164083668194845</v>
      </c>
      <c r="C12" s="146"/>
      <c r="D12" s="146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1.0743218134522481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0.74755999091154346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1.5439126931498615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9.2951883230247889E-2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4"/>
      <c r="U12" s="142"/>
      <c r="W12" s="142"/>
      <c r="Y12" s="142"/>
      <c r="AA12" s="142"/>
    </row>
    <row r="13" spans="1:27">
      <c r="A13" s="3" t="s">
        <v>29</v>
      </c>
      <c r="B13" s="146">
        <f>Calculations!EY12</f>
        <v>1.1469661900362875</v>
      </c>
      <c r="C13" s="146"/>
      <c r="D13" s="146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1.0300341505061592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0.73506664151404866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1.4433662082986358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0.10728183439012202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44"/>
      <c r="U13" s="142"/>
      <c r="W13" s="142"/>
      <c r="Y13" s="142"/>
      <c r="AA13" s="142"/>
    </row>
    <row r="14" spans="1:27">
      <c r="A14" s="3" t="s">
        <v>52</v>
      </c>
      <c r="B14" s="146">
        <f>Calculations!EY13</f>
        <v>1.0052685048090155</v>
      </c>
      <c r="C14" s="146"/>
      <c r="D14" s="146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1.0609812722488778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0.75708488838701071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1.4868626719800746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0.10722587302467539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4"/>
      <c r="U14" s="142"/>
      <c r="W14" s="142"/>
      <c r="Y14" s="142"/>
      <c r="AA14" s="142"/>
    </row>
    <row r="15" spans="1:27">
      <c r="A15" s="3" t="s">
        <v>53</v>
      </c>
      <c r="B15" s="146">
        <f>Calculations!EY14</f>
        <v>1.159676271996037</v>
      </c>
      <c r="C15" s="146"/>
      <c r="D15" s="146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Multimodal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1.065380372826944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1.0064693832230316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1.1277395594192225</v>
      </c>
      <c r="K1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0.80837779435676937</v>
      </c>
      <c r="L15" s="4">
        <f>IF(COUNTIF(Calculations!DP:DP,Subgroup_number)=1,INDEX(Calculations!DP:EU,MATCH(Subgroup_number,Calculations!DP:DP,0),5),IF(Subgroup_number=Calculations!EY$25,Calculations!EY$17,""))</f>
        <v>1.792326042036833</v>
      </c>
      <c r="M15" s="26">
        <f>IF(COUNTIF(Calculations!DP:DP,Subgroup_number)=1,INDEX(Calculations!DP:EU,MATCH(Subgroup_number,Calculations!DP:DP,0),6),IF(Subgroup_number=Calculations!EY$25,Calculations!EY$18,""))</f>
        <v>0.99434218547394326</v>
      </c>
      <c r="N15" s="8">
        <f>IF(COUNTIF(Calculations!DP:DP,Subgroup_number)=1,INDEX(Calculations!DP:EU,MATCH(Subgroup_number,Calculations!DP:DP,0),7),IF(Subgroup_number=Calculations!EY$25,Calculations!EY$19,""))</f>
        <v>0</v>
      </c>
      <c r="O15" s="4">
        <f>IF(COUNTIF(Calculations!DP:DP,Subgroup_number)=1,INDEX(Calculations!DP:EU,MATCH(Subgroup_number,Calculations!DP:DP,0),9),IF(Subgroup_number=Calculations!EY$25,Calculations!EY$20,""))</f>
        <v>0</v>
      </c>
      <c r="P15" s="4">
        <f>IF(COUNTIF(Calculations!DP:DP,Subgroup_number)=1,INDEX(Calculations!DP:EU,MATCH(Subgroup_number,Calculations!DP:DP,0),10),IF(Subgroup_number=Calculations!EY$25,Calculations!EY$21,""))</f>
        <v>0</v>
      </c>
      <c r="Q1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1.0064693832230316</v>
      </c>
      <c r="R1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1.1277395594192225</v>
      </c>
      <c r="S15" s="144"/>
      <c r="U15" s="142"/>
      <c r="W15" s="142"/>
      <c r="Y15" s="142"/>
      <c r="AA15" s="142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1.0797157181461929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1.0164083668194845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1.1469661900362875</v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>
        <f>IF(COUNTIF(Calculations!DP:DP,Subgroup_number)=1,INDEX(Calculations!DP:EU,MATCH(Subgroup_number,Calculations!DP:DP,0),5),IF(Subgroup_number=Calculations!EY$25,Calculations!EY$17,""))</f>
        <v>2.2009602277713052</v>
      </c>
      <c r="M16" s="26">
        <f>IF(COUNTIF(Calculations!DP:DP,Subgroup_number)=1,INDEX(Calculations!DP:EU,MATCH(Subgroup_number,Calculations!DP:DP,0),6),IF(Subgroup_number=Calculations!EY$25,Calculations!EY$18,""))</f>
        <v>0.99765616614595543</v>
      </c>
      <c r="N16" s="8">
        <f>IF(COUNTIF(Calculations!DP:DP,Subgroup_number)=1,INDEX(Calculations!DP:EU,MATCH(Subgroup_number,Calculations!DP:DP,0),7),IF(Subgroup_number=Calculations!EY$25,Calculations!EY$19,""))</f>
        <v>0</v>
      </c>
      <c r="O16" s="4">
        <f>IF(COUNTIF(Calculations!DP:DP,Subgroup_number)=1,INDEX(Calculations!DP:EU,MATCH(Subgroup_number,Calculations!DP:DP,0),9),IF(Subgroup_number=Calculations!EY$25,Calculations!EY$20,""))</f>
        <v>0</v>
      </c>
      <c r="P16" s="4">
        <f>IF(COUNTIF(Calculations!DP:DP,Subgroup_number)=1,INDEX(Calculations!DP:EU,MATCH(Subgroup_number,Calculations!DP:DP,0),10),IF(Subgroup_number=Calculations!EY$25,Calculations!EY$21,""))</f>
        <v>0</v>
      </c>
      <c r="Q1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1.0052685048090155</v>
      </c>
      <c r="R1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1.159676271996037</v>
      </c>
      <c r="S16" s="144"/>
      <c r="U16" s="142"/>
      <c r="W16" s="142"/>
      <c r="Y16" s="142"/>
      <c r="AA16" s="142"/>
    </row>
    <row r="17" spans="1:27">
      <c r="A17" s="3" t="s">
        <v>57</v>
      </c>
      <c r="B17" s="147">
        <f>SUMIF(Sufficient_data,"Yes",Number_of_subjects)</f>
        <v>34944</v>
      </c>
      <c r="C17" s="147"/>
      <c r="D17" s="147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4"/>
      <c r="U17" s="142"/>
      <c r="W17" s="142"/>
      <c r="Y17" s="142"/>
      <c r="AA17" s="142"/>
    </row>
    <row r="18" spans="1:27">
      <c r="A18" s="3" t="s">
        <v>58</v>
      </c>
      <c r="B18" s="147">
        <f>COUNT(Subgroup_weightf)</f>
        <v>12</v>
      </c>
      <c r="C18" s="147"/>
      <c r="D18" s="147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4"/>
      <c r="U18" s="142"/>
      <c r="W18" s="142"/>
      <c r="Y18" s="142"/>
      <c r="AA18" s="142"/>
    </row>
    <row r="19" spans="1:27">
      <c r="A19" s="3" t="s">
        <v>85</v>
      </c>
      <c r="B19" s="147">
        <f>COUNT(Calculations!DZ:DZ)</f>
        <v>2</v>
      </c>
      <c r="C19" s="147"/>
      <c r="D19" s="147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4"/>
      <c r="U19" s="142"/>
      <c r="W19" s="142"/>
      <c r="Y19" s="142"/>
      <c r="AA19" s="142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4"/>
      <c r="U20" s="142"/>
      <c r="W20" s="142"/>
      <c r="Y20" s="142"/>
      <c r="AA20" s="142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4"/>
      <c r="U21" s="142"/>
      <c r="W21" s="142"/>
      <c r="Y21" s="142"/>
      <c r="AA21" s="142"/>
    </row>
    <row r="22" spans="1:27">
      <c r="A22" s="3" t="s">
        <v>89</v>
      </c>
      <c r="B22" s="4">
        <f>B24-B23</f>
        <v>0.21842150907987667</v>
      </c>
      <c r="C22" s="7">
        <f>Number_of_subgroups-1</f>
        <v>1</v>
      </c>
      <c r="D22" s="26">
        <f>CHIDIST(B22,C22)</f>
        <v>0.64024529018783261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4"/>
      <c r="U22" s="142"/>
      <c r="W22" s="142"/>
      <c r="Y22" s="142"/>
      <c r="AA22" s="142"/>
    </row>
    <row r="23" spans="1:27">
      <c r="A23" s="3" t="s">
        <v>90</v>
      </c>
      <c r="B23" s="4">
        <f>SUM(Calculations!EP:EP)</f>
        <v>1.9825387186914285</v>
      </c>
      <c r="C23" s="7">
        <f>Subgroup_k-Number_of_subgroups</f>
        <v>10</v>
      </c>
      <c r="D23" s="26">
        <f>CHIDIST(B23,C23)</f>
        <v>0.99647223506413796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4"/>
      <c r="U23" s="142"/>
      <c r="W23" s="142"/>
      <c r="Y23" s="142"/>
      <c r="AA23" s="142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2.2009602277713052</v>
      </c>
      <c r="C24" s="7">
        <f>Subgroup_k-1</f>
        <v>11</v>
      </c>
      <c r="D24" s="26">
        <f t="shared" ref="D24" si="0">CHIDIST(B24,C24)</f>
        <v>0.99765616614595543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4"/>
      <c r="U24" s="142"/>
      <c r="W24" s="142"/>
      <c r="Y24" s="142"/>
      <c r="AA24" s="142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4"/>
      <c r="U25" s="142"/>
      <c r="W25" s="142"/>
      <c r="Y25" s="142"/>
      <c r="AA25" s="142"/>
    </row>
    <row r="26" spans="1:27" ht="13.5">
      <c r="A26" s="3" t="s">
        <v>91</v>
      </c>
      <c r="B26" s="8">
        <f>B22/B24</f>
        <v>9.9239189479153167E-2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4"/>
      <c r="U26" s="142"/>
      <c r="W26" s="142"/>
      <c r="Y26" s="142"/>
      <c r="AA26" s="142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4"/>
      <c r="U27" s="142"/>
      <c r="W27" s="142"/>
      <c r="Y27" s="142"/>
      <c r="AA27" s="142"/>
    </row>
    <row r="28" spans="1:27">
      <c r="A28" s="128" t="s">
        <v>63</v>
      </c>
      <c r="B28" s="128"/>
      <c r="C28" s="128"/>
      <c r="D28" s="12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4"/>
      <c r="U28" s="142"/>
      <c r="W28" s="142"/>
      <c r="Y28" s="142"/>
      <c r="AA28" s="142"/>
    </row>
    <row r="29" spans="1:27">
      <c r="A29" s="130" t="s">
        <v>74</v>
      </c>
      <c r="B29" s="130"/>
      <c r="C29" s="130"/>
      <c r="D29" s="13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4"/>
      <c r="U29" s="142"/>
      <c r="W29" s="142"/>
      <c r="Y29" s="142"/>
      <c r="AA29" s="142"/>
    </row>
    <row r="30" spans="1:27">
      <c r="A30" s="127" t="s">
        <v>64</v>
      </c>
      <c r="B30" s="127"/>
      <c r="C30" s="127"/>
      <c r="D30" s="12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4"/>
      <c r="U30" s="142"/>
      <c r="W30" s="142"/>
      <c r="Y30" s="142"/>
      <c r="AA30" s="142"/>
    </row>
    <row r="31" spans="1:27">
      <c r="A31" s="127" t="s">
        <v>65</v>
      </c>
      <c r="B31" s="127"/>
      <c r="C31" s="127"/>
      <c r="D31" s="12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4"/>
      <c r="U31" s="142"/>
      <c r="W31" s="142"/>
      <c r="Y31" s="142"/>
      <c r="AA31" s="142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4"/>
      <c r="U32" s="142"/>
      <c r="W32" s="142"/>
      <c r="Y32" s="142"/>
      <c r="AA32" s="142"/>
    </row>
    <row r="33" spans="1:27">
      <c r="A33" s="128" t="s">
        <v>92</v>
      </c>
      <c r="B33" s="128"/>
      <c r="C33" s="128"/>
      <c r="D33" s="12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4"/>
      <c r="U33" s="142"/>
      <c r="W33" s="142"/>
      <c r="Y33" s="142"/>
      <c r="AA33" s="142"/>
    </row>
    <row r="34" spans="1:27">
      <c r="A34" s="130" t="str">
        <f>IF(Subgroup_weighting_method="Peto","Peto Odds Ratio","Odds Ratio")</f>
        <v>Odds Ratio</v>
      </c>
      <c r="B34" s="130"/>
      <c r="C34" s="130"/>
      <c r="D34" s="13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4"/>
      <c r="U34" s="142"/>
      <c r="W34" s="142"/>
      <c r="Y34" s="142"/>
      <c r="AA34" s="142"/>
    </row>
    <row r="35" spans="1:27">
      <c r="A35" s="127" t="str">
        <f>IF(Subgroup_weighting_method="Inverse variance","Risk Ratio","")</f>
        <v>Risk Ratio</v>
      </c>
      <c r="B35" s="127"/>
      <c r="C35" s="127"/>
      <c r="D35" s="12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4"/>
      <c r="U35" s="142"/>
      <c r="W35" s="142"/>
      <c r="Y35" s="142"/>
      <c r="AA35" s="142"/>
    </row>
    <row r="36" spans="1:27">
      <c r="A36" s="127" t="str">
        <f>IF(Subgroup_weighting_method="Inverse Variance","Risk Difference","")</f>
        <v>Risk Difference</v>
      </c>
      <c r="B36" s="127"/>
      <c r="C36" s="127"/>
      <c r="D36" s="12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4"/>
      <c r="U36" s="142"/>
      <c r="W36" s="142"/>
      <c r="Y36" s="142"/>
      <c r="AA36" s="142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4"/>
      <c r="U37" s="142"/>
      <c r="W37" s="142"/>
      <c r="Y37" s="142"/>
      <c r="AA37" s="142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4"/>
      <c r="U38" s="142"/>
      <c r="W38" s="142"/>
      <c r="Y38" s="142"/>
      <c r="AA38" s="142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4"/>
      <c r="U39" s="142"/>
      <c r="W39" s="142"/>
      <c r="Y39" s="142"/>
      <c r="AA39" s="142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4"/>
      <c r="U40" s="142"/>
      <c r="W40" s="142"/>
      <c r="Y40" s="142"/>
      <c r="AA40" s="142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4"/>
      <c r="U41" s="142"/>
      <c r="W41" s="142"/>
      <c r="Y41" s="142"/>
      <c r="AA41" s="142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4"/>
      <c r="U42" s="142"/>
      <c r="W42" s="142"/>
      <c r="Y42" s="142"/>
      <c r="AA42" s="142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4"/>
      <c r="U43" s="142"/>
      <c r="W43" s="142"/>
      <c r="Y43" s="142"/>
      <c r="AA43" s="142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4"/>
      <c r="U44" s="142"/>
      <c r="W44" s="142"/>
      <c r="Y44" s="142"/>
      <c r="AA44" s="142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4"/>
      <c r="U45" s="142"/>
      <c r="W45" s="142"/>
      <c r="Y45" s="142"/>
      <c r="AA45" s="142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4"/>
      <c r="U46" s="142"/>
      <c r="W46" s="142"/>
      <c r="Y46" s="142"/>
      <c r="AA46" s="142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4"/>
      <c r="U47" s="142"/>
      <c r="W47" s="142"/>
      <c r="Y47" s="142"/>
      <c r="AA47" s="142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4"/>
      <c r="U48" s="142"/>
      <c r="W48" s="142"/>
      <c r="Y48" s="142"/>
      <c r="AA48" s="142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4"/>
      <c r="U49" s="142"/>
      <c r="W49" s="142"/>
      <c r="Y49" s="142"/>
      <c r="AA49" s="142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4"/>
      <c r="U50" s="142"/>
      <c r="W50" s="142"/>
      <c r="Y50" s="142"/>
      <c r="AA50" s="142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4"/>
      <c r="U51" s="142"/>
      <c r="W51" s="142"/>
      <c r="Y51" s="142"/>
      <c r="AA51" s="142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4"/>
      <c r="U52" s="142"/>
      <c r="W52" s="142"/>
      <c r="Y52" s="142"/>
      <c r="AA52" s="142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4"/>
      <c r="U53" s="142"/>
      <c r="W53" s="142"/>
      <c r="Y53" s="142"/>
      <c r="AA53" s="142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4"/>
      <c r="U54" s="142"/>
      <c r="W54" s="142"/>
      <c r="Y54" s="142"/>
      <c r="AA54" s="142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4"/>
      <c r="U55" s="142"/>
      <c r="W55" s="142"/>
      <c r="Y55" s="142"/>
      <c r="AA55" s="142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4"/>
      <c r="U56" s="142"/>
      <c r="W56" s="142"/>
      <c r="Y56" s="142"/>
      <c r="AA56" s="142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4"/>
      <c r="U57" s="142"/>
      <c r="W57" s="142"/>
      <c r="Y57" s="142"/>
      <c r="AA57" s="142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4"/>
      <c r="U58" s="142"/>
      <c r="W58" s="142"/>
      <c r="Y58" s="142"/>
      <c r="AA58" s="142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4"/>
      <c r="U59" s="142"/>
      <c r="W59" s="142"/>
      <c r="Y59" s="142"/>
      <c r="AA59" s="142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4"/>
      <c r="U60" s="142"/>
      <c r="W60" s="142"/>
      <c r="Y60" s="142"/>
      <c r="AA60" s="142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4"/>
      <c r="U61" s="142"/>
      <c r="W61" s="142"/>
      <c r="Y61" s="142"/>
      <c r="AA61" s="142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4"/>
      <c r="U62" s="142"/>
      <c r="W62" s="142"/>
      <c r="Y62" s="142"/>
      <c r="AA62" s="142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4"/>
      <c r="U63" s="142"/>
      <c r="W63" s="142"/>
      <c r="Y63" s="142"/>
      <c r="AA63" s="142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4"/>
      <c r="U64" s="142"/>
      <c r="W64" s="142"/>
      <c r="Y64" s="142"/>
      <c r="AA64" s="142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4"/>
      <c r="U65" s="142"/>
      <c r="W65" s="142"/>
      <c r="Y65" s="142"/>
      <c r="AA65" s="142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4"/>
      <c r="U66" s="142"/>
      <c r="W66" s="142"/>
      <c r="Y66" s="142"/>
      <c r="AA66" s="142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4"/>
      <c r="U67" s="142"/>
      <c r="W67" s="142"/>
      <c r="Y67" s="142"/>
      <c r="AA67" s="142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4"/>
      <c r="U68" s="142"/>
      <c r="W68" s="142"/>
      <c r="Y68" s="142"/>
      <c r="AA68" s="142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4"/>
      <c r="U69" s="142"/>
      <c r="W69" s="142"/>
      <c r="Y69" s="142"/>
      <c r="AA69" s="142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4"/>
      <c r="U70" s="142"/>
      <c r="W70" s="142"/>
      <c r="Y70" s="142"/>
      <c r="AA70" s="142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4"/>
      <c r="U71" s="142"/>
      <c r="W71" s="142"/>
      <c r="Y71" s="142"/>
      <c r="AA71" s="142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4"/>
      <c r="U72" s="142"/>
      <c r="W72" s="142"/>
      <c r="Y72" s="142"/>
      <c r="AA72" s="142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4"/>
      <c r="U73" s="142"/>
      <c r="W73" s="142"/>
      <c r="Y73" s="142"/>
      <c r="AA73" s="142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4"/>
      <c r="U74" s="142"/>
      <c r="W74" s="142"/>
      <c r="Y74" s="142"/>
      <c r="AA74" s="142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4"/>
      <c r="U75" s="142"/>
      <c r="W75" s="142"/>
      <c r="Y75" s="142"/>
      <c r="AA75" s="142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4"/>
      <c r="U76" s="142"/>
      <c r="W76" s="142"/>
      <c r="Y76" s="142"/>
      <c r="AA76" s="142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4"/>
      <c r="U77" s="142"/>
      <c r="W77" s="142"/>
      <c r="Y77" s="142"/>
      <c r="AA77" s="142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4"/>
      <c r="U78" s="142"/>
      <c r="W78" s="142"/>
      <c r="Y78" s="142"/>
      <c r="AA78" s="142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4"/>
      <c r="U79" s="142"/>
      <c r="W79" s="142"/>
      <c r="Y79" s="142"/>
      <c r="AA79" s="142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4"/>
      <c r="U80" s="142"/>
      <c r="W80" s="142"/>
      <c r="Y80" s="142"/>
      <c r="AA80" s="142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4"/>
      <c r="U81" s="142"/>
      <c r="W81" s="142"/>
      <c r="Y81" s="142"/>
      <c r="AA81" s="142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4"/>
      <c r="U82" s="142"/>
      <c r="W82" s="142"/>
      <c r="Y82" s="142"/>
      <c r="AA82" s="142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4"/>
      <c r="U83" s="142"/>
      <c r="W83" s="142"/>
      <c r="Y83" s="142"/>
      <c r="AA83" s="142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4"/>
      <c r="U84" s="142"/>
      <c r="W84" s="142"/>
      <c r="Y84" s="142"/>
      <c r="AA84" s="142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4"/>
      <c r="U85" s="142"/>
      <c r="W85" s="142"/>
      <c r="Y85" s="142"/>
      <c r="AA85" s="142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4"/>
      <c r="U86" s="142"/>
      <c r="W86" s="142"/>
      <c r="Y86" s="142"/>
      <c r="AA86" s="142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4"/>
      <c r="U87" s="142"/>
      <c r="W87" s="142"/>
      <c r="Y87" s="142"/>
      <c r="AA87" s="142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4"/>
      <c r="U88" s="142"/>
      <c r="W88" s="142"/>
      <c r="Y88" s="142"/>
      <c r="AA88" s="142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4"/>
      <c r="U89" s="142"/>
      <c r="W89" s="142"/>
      <c r="Y89" s="142"/>
      <c r="AA89" s="142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4"/>
      <c r="U90" s="142"/>
      <c r="W90" s="142"/>
      <c r="Y90" s="142"/>
      <c r="AA90" s="142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4"/>
      <c r="U91" s="142"/>
      <c r="W91" s="142"/>
      <c r="Y91" s="142"/>
      <c r="AA91" s="142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4"/>
      <c r="U92" s="142"/>
      <c r="W92" s="142"/>
      <c r="Y92" s="142"/>
      <c r="AA92" s="142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4"/>
      <c r="U93" s="142"/>
      <c r="W93" s="142"/>
      <c r="Y93" s="142"/>
      <c r="AA93" s="142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4"/>
      <c r="U94" s="142"/>
      <c r="W94" s="142"/>
      <c r="Y94" s="142"/>
      <c r="AA94" s="142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4"/>
      <c r="U95" s="142"/>
      <c r="W95" s="142"/>
      <c r="Y95" s="142"/>
      <c r="AA95" s="142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4"/>
      <c r="U96" s="142"/>
      <c r="W96" s="142"/>
      <c r="Y96" s="142"/>
      <c r="AA96" s="142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4"/>
      <c r="U97" s="142"/>
      <c r="W97" s="142"/>
      <c r="Y97" s="142"/>
      <c r="AA97" s="142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4"/>
      <c r="U98" s="142"/>
      <c r="W98" s="142"/>
      <c r="Y98" s="142"/>
      <c r="AA98" s="142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4"/>
      <c r="U99" s="142"/>
      <c r="W99" s="142"/>
      <c r="Y99" s="142"/>
      <c r="AA99" s="142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4"/>
      <c r="U100" s="142"/>
      <c r="W100" s="142"/>
      <c r="Y100" s="142"/>
      <c r="AA100" s="142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4"/>
      <c r="U101" s="142"/>
      <c r="W101" s="142"/>
      <c r="Y101" s="142"/>
      <c r="AA101" s="142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4"/>
      <c r="U102" s="142"/>
      <c r="W102" s="142"/>
      <c r="Y102" s="142"/>
      <c r="AA102" s="142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4"/>
      <c r="U103" s="142"/>
      <c r="W103" s="142"/>
      <c r="Y103" s="142"/>
      <c r="AA103" s="142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4"/>
      <c r="U104" s="142"/>
      <c r="W104" s="142"/>
      <c r="Y104" s="142"/>
      <c r="AA104" s="142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4"/>
      <c r="U105" s="142"/>
      <c r="W105" s="142"/>
      <c r="Y105" s="142"/>
      <c r="AA105" s="142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4"/>
      <c r="U106" s="142"/>
      <c r="W106" s="142"/>
      <c r="Y106" s="142"/>
      <c r="AA106" s="142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4"/>
      <c r="U107" s="142"/>
      <c r="W107" s="142"/>
      <c r="Y107" s="142"/>
      <c r="AA107" s="142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4"/>
      <c r="U108" s="142"/>
      <c r="W108" s="142"/>
      <c r="Y108" s="142"/>
      <c r="AA108" s="142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4"/>
      <c r="U109" s="142"/>
      <c r="W109" s="142"/>
      <c r="Y109" s="142"/>
      <c r="AA109" s="142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4"/>
      <c r="U110" s="142"/>
      <c r="W110" s="142"/>
      <c r="Y110" s="142"/>
      <c r="AA110" s="142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4"/>
      <c r="U111" s="142"/>
      <c r="W111" s="142"/>
      <c r="Y111" s="142"/>
      <c r="AA111" s="142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4"/>
      <c r="U112" s="142"/>
      <c r="W112" s="142"/>
      <c r="Y112" s="142"/>
      <c r="AA112" s="142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4"/>
      <c r="U113" s="142"/>
      <c r="W113" s="142"/>
      <c r="Y113" s="142"/>
      <c r="AA113" s="142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4"/>
      <c r="U114" s="142"/>
      <c r="W114" s="142"/>
      <c r="Y114" s="142"/>
      <c r="AA114" s="142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4"/>
      <c r="U115" s="142"/>
      <c r="W115" s="142"/>
      <c r="Y115" s="142"/>
      <c r="AA115" s="142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4"/>
      <c r="U116" s="142"/>
      <c r="W116" s="142"/>
      <c r="Y116" s="142"/>
      <c r="AA116" s="142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4"/>
      <c r="U117" s="142"/>
      <c r="W117" s="142"/>
      <c r="Y117" s="142"/>
      <c r="AA117" s="142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4"/>
      <c r="U118" s="142"/>
      <c r="W118" s="142"/>
      <c r="Y118" s="142"/>
      <c r="AA118" s="142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4"/>
      <c r="U119" s="142"/>
      <c r="W119" s="142"/>
      <c r="Y119" s="142"/>
      <c r="AA119" s="142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4"/>
      <c r="U120" s="142"/>
      <c r="W120" s="142"/>
      <c r="Y120" s="142"/>
      <c r="AA120" s="142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4"/>
      <c r="U121" s="142"/>
      <c r="W121" s="142"/>
      <c r="Y121" s="142"/>
      <c r="AA121" s="142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4"/>
      <c r="U122" s="142"/>
      <c r="W122" s="142"/>
      <c r="Y122" s="142"/>
      <c r="AA122" s="142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4"/>
      <c r="U123" s="142"/>
      <c r="W123" s="142"/>
      <c r="Y123" s="142"/>
      <c r="AA123" s="142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4"/>
      <c r="U124" s="142"/>
      <c r="W124" s="142"/>
      <c r="Y124" s="142"/>
      <c r="AA124" s="142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4"/>
      <c r="U125" s="142"/>
      <c r="W125" s="142"/>
      <c r="Y125" s="142"/>
      <c r="AA125" s="142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4"/>
      <c r="U126" s="142"/>
      <c r="W126" s="142"/>
      <c r="Y126" s="142"/>
      <c r="AA126" s="142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4"/>
      <c r="U127" s="142"/>
      <c r="W127" s="142"/>
      <c r="Y127" s="142"/>
      <c r="AA127" s="142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4"/>
      <c r="U128" s="142"/>
      <c r="W128" s="142"/>
      <c r="Y128" s="142"/>
      <c r="AA128" s="142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4"/>
      <c r="U129" s="142"/>
      <c r="W129" s="142"/>
      <c r="Y129" s="142"/>
      <c r="AA129" s="142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4"/>
      <c r="U130" s="142"/>
      <c r="W130" s="142"/>
      <c r="Y130" s="142"/>
      <c r="AA130" s="142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4"/>
      <c r="U131" s="142"/>
      <c r="W131" s="142"/>
      <c r="Y131" s="142"/>
      <c r="AA131" s="142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4"/>
      <c r="U132" s="142"/>
      <c r="W132" s="142"/>
      <c r="Y132" s="142"/>
      <c r="AA132" s="142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4"/>
      <c r="U133" s="142"/>
      <c r="W133" s="142"/>
      <c r="Y133" s="142"/>
      <c r="AA133" s="142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4"/>
      <c r="U134" s="142"/>
      <c r="W134" s="142"/>
      <c r="Y134" s="142"/>
      <c r="AA134" s="142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4"/>
      <c r="U135" s="142"/>
      <c r="W135" s="142"/>
      <c r="Y135" s="142"/>
      <c r="AA135" s="142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4"/>
      <c r="U136" s="142"/>
      <c r="W136" s="142"/>
      <c r="Y136" s="142"/>
      <c r="AA136" s="142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4"/>
      <c r="U137" s="142"/>
      <c r="W137" s="142"/>
      <c r="Y137" s="142"/>
      <c r="AA137" s="142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4"/>
      <c r="U138" s="142"/>
      <c r="W138" s="142"/>
      <c r="Y138" s="142"/>
      <c r="AA138" s="142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4"/>
      <c r="U139" s="142"/>
      <c r="W139" s="142"/>
      <c r="Y139" s="142"/>
      <c r="AA139" s="142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4"/>
      <c r="U140" s="142"/>
      <c r="W140" s="142"/>
      <c r="Y140" s="142"/>
      <c r="AA140" s="142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4"/>
      <c r="U141" s="142"/>
      <c r="W141" s="142"/>
      <c r="Y141" s="142"/>
      <c r="AA141" s="142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4"/>
      <c r="U142" s="142"/>
      <c r="W142" s="142"/>
      <c r="Y142" s="142"/>
      <c r="AA142" s="142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4"/>
      <c r="U143" s="142"/>
      <c r="W143" s="142"/>
      <c r="Y143" s="142"/>
      <c r="AA143" s="142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4"/>
      <c r="U144" s="142"/>
      <c r="W144" s="142"/>
      <c r="Y144" s="142"/>
      <c r="AA144" s="142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4"/>
      <c r="U145" s="142"/>
      <c r="W145" s="142"/>
      <c r="Y145" s="142"/>
      <c r="AA145" s="142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4"/>
      <c r="U146" s="142"/>
      <c r="W146" s="142"/>
      <c r="Y146" s="142"/>
      <c r="AA146" s="142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4"/>
      <c r="U147" s="142"/>
      <c r="W147" s="142"/>
      <c r="Y147" s="142"/>
      <c r="AA147" s="142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4"/>
      <c r="U148" s="142"/>
      <c r="W148" s="142"/>
      <c r="Y148" s="142"/>
      <c r="AA148" s="142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4"/>
      <c r="U149" s="142"/>
      <c r="W149" s="142"/>
      <c r="Y149" s="142"/>
      <c r="AA149" s="142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4"/>
      <c r="U150" s="142"/>
      <c r="W150" s="142"/>
      <c r="Y150" s="142"/>
      <c r="AA150" s="142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4"/>
      <c r="U151" s="142"/>
      <c r="W151" s="142"/>
      <c r="Y151" s="142"/>
      <c r="AA151" s="142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4"/>
      <c r="U152" s="142"/>
      <c r="W152" s="142"/>
      <c r="Y152" s="142"/>
      <c r="AA152" s="142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4"/>
      <c r="U153" s="142"/>
      <c r="W153" s="142"/>
      <c r="Y153" s="142"/>
      <c r="AA153" s="142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4"/>
      <c r="U154" s="142"/>
      <c r="W154" s="142"/>
      <c r="Y154" s="142"/>
      <c r="AA154" s="142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4"/>
      <c r="U155" s="142"/>
      <c r="W155" s="142"/>
      <c r="Y155" s="142"/>
      <c r="AA155" s="142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4"/>
      <c r="U156" s="142"/>
      <c r="W156" s="142"/>
      <c r="Y156" s="142"/>
      <c r="AA156" s="142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4"/>
      <c r="U157" s="142"/>
      <c r="W157" s="142"/>
      <c r="Y157" s="142"/>
      <c r="AA157" s="142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4"/>
      <c r="U158" s="142"/>
      <c r="W158" s="142"/>
      <c r="Y158" s="142"/>
      <c r="AA158" s="142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4"/>
      <c r="U159" s="142"/>
      <c r="W159" s="142"/>
      <c r="Y159" s="142"/>
      <c r="AA159" s="142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4"/>
      <c r="U160" s="142"/>
      <c r="W160" s="142"/>
      <c r="Y160" s="142"/>
      <c r="AA160" s="142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4"/>
      <c r="U161" s="142"/>
      <c r="W161" s="142"/>
      <c r="Y161" s="142"/>
      <c r="AA161" s="142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4"/>
      <c r="U162" s="142"/>
      <c r="W162" s="142"/>
      <c r="Y162" s="142"/>
      <c r="AA162" s="142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4"/>
      <c r="U163" s="142"/>
      <c r="W163" s="142"/>
      <c r="Y163" s="142"/>
      <c r="AA163" s="142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4"/>
      <c r="U164" s="142"/>
      <c r="W164" s="142"/>
      <c r="Y164" s="142"/>
      <c r="AA164" s="142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4"/>
      <c r="U165" s="142"/>
      <c r="W165" s="142"/>
      <c r="Y165" s="142"/>
      <c r="AA165" s="142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4"/>
      <c r="U166" s="142"/>
      <c r="W166" s="142"/>
      <c r="Y166" s="142"/>
      <c r="AA166" s="142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4"/>
      <c r="U167" s="142"/>
      <c r="W167" s="142"/>
      <c r="Y167" s="142"/>
      <c r="AA167" s="142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4"/>
      <c r="U168" s="142"/>
      <c r="W168" s="142"/>
      <c r="Y168" s="142"/>
      <c r="AA168" s="142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4"/>
      <c r="U169" s="142"/>
      <c r="W169" s="142"/>
      <c r="Y169" s="142"/>
      <c r="AA169" s="142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4"/>
      <c r="U170" s="142"/>
      <c r="W170" s="142"/>
      <c r="Y170" s="142"/>
      <c r="AA170" s="142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4"/>
      <c r="U171" s="142"/>
      <c r="W171" s="142"/>
      <c r="Y171" s="142"/>
      <c r="AA171" s="142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4"/>
      <c r="U172" s="142"/>
      <c r="W172" s="142"/>
      <c r="Y172" s="142"/>
      <c r="AA172" s="142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4"/>
      <c r="U173" s="142"/>
      <c r="W173" s="142"/>
      <c r="Y173" s="142"/>
      <c r="AA173" s="142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4"/>
      <c r="U174" s="142"/>
      <c r="W174" s="142"/>
      <c r="Y174" s="142"/>
      <c r="AA174" s="142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4"/>
      <c r="U175" s="142"/>
      <c r="W175" s="142"/>
      <c r="Y175" s="142"/>
      <c r="AA175" s="142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4"/>
      <c r="U176" s="142"/>
      <c r="W176" s="142"/>
      <c r="Y176" s="142"/>
      <c r="AA176" s="142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4"/>
      <c r="U177" s="142"/>
      <c r="W177" s="142"/>
      <c r="Y177" s="142"/>
      <c r="AA177" s="142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4"/>
      <c r="U178" s="142"/>
      <c r="W178" s="142"/>
      <c r="Y178" s="142"/>
      <c r="AA178" s="142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4"/>
      <c r="U179" s="142"/>
      <c r="W179" s="142"/>
      <c r="Y179" s="142"/>
      <c r="AA179" s="142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4"/>
      <c r="U180" s="142"/>
      <c r="W180" s="142"/>
      <c r="Y180" s="142"/>
      <c r="AA180" s="142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4"/>
      <c r="U181" s="142"/>
      <c r="W181" s="142"/>
      <c r="Y181" s="142"/>
      <c r="AA181" s="142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4"/>
      <c r="U182" s="142"/>
      <c r="W182" s="142"/>
      <c r="Y182" s="142"/>
      <c r="AA182" s="142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4"/>
      <c r="U183" s="142"/>
      <c r="W183" s="142"/>
      <c r="Y183" s="142"/>
      <c r="AA183" s="142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4"/>
      <c r="U184" s="142"/>
      <c r="W184" s="142"/>
      <c r="Y184" s="142"/>
      <c r="AA184" s="142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4"/>
      <c r="U185" s="142"/>
      <c r="W185" s="142"/>
      <c r="Y185" s="142"/>
      <c r="AA185" s="142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4"/>
      <c r="U186" s="142"/>
      <c r="W186" s="142"/>
      <c r="Y186" s="142"/>
      <c r="AA186" s="142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4"/>
      <c r="U187" s="142"/>
      <c r="W187" s="142"/>
      <c r="Y187" s="142"/>
      <c r="AA187" s="142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4"/>
      <c r="U188" s="142"/>
      <c r="W188" s="142"/>
      <c r="Y188" s="142"/>
      <c r="AA188" s="142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4"/>
      <c r="U189" s="142"/>
      <c r="W189" s="142"/>
      <c r="Y189" s="142"/>
      <c r="AA189" s="142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4"/>
      <c r="U190" s="142"/>
      <c r="W190" s="142"/>
      <c r="Y190" s="142"/>
      <c r="AA190" s="142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4"/>
      <c r="U191" s="142"/>
      <c r="W191" s="142"/>
      <c r="Y191" s="142"/>
      <c r="AA191" s="142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4"/>
      <c r="U192" s="142"/>
      <c r="W192" s="142"/>
      <c r="Y192" s="142"/>
      <c r="AA192" s="142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4"/>
      <c r="U193" s="142"/>
      <c r="W193" s="142"/>
      <c r="Y193" s="142"/>
      <c r="AA193" s="142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4"/>
      <c r="U194" s="142"/>
      <c r="W194" s="142"/>
      <c r="Y194" s="142"/>
      <c r="AA194" s="142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4"/>
      <c r="U195" s="142"/>
      <c r="W195" s="142"/>
      <c r="Y195" s="142"/>
      <c r="AA195" s="142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4"/>
      <c r="U196" s="142"/>
      <c r="W196" s="142"/>
      <c r="Y196" s="142"/>
      <c r="AA196" s="142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4"/>
      <c r="U197" s="142"/>
      <c r="W197" s="142"/>
      <c r="Y197" s="142"/>
      <c r="AA197" s="142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4"/>
      <c r="U198" s="142"/>
      <c r="W198" s="142"/>
      <c r="Y198" s="142"/>
      <c r="AA198" s="142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4"/>
      <c r="U199" s="142"/>
      <c r="W199" s="142"/>
      <c r="Y199" s="142"/>
      <c r="AA199" s="142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4"/>
      <c r="U200" s="142"/>
      <c r="W200" s="142"/>
      <c r="Y200" s="142"/>
      <c r="AA200" s="142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8"/>
      <c r="U201" s="143"/>
      <c r="W201" s="143"/>
      <c r="Y201" s="143"/>
      <c r="AA201" s="14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219-F5D2-4A87-B477-B7C15D5C3181}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8" t="s">
        <v>26</v>
      </c>
      <c r="B1" s="128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8" t="s">
        <v>63</v>
      </c>
      <c r="B9" s="12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30" t="s">
        <v>74</v>
      </c>
      <c r="B10" s="13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7" t="s">
        <v>64</v>
      </c>
      <c r="B11" s="12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7" t="s">
        <v>65</v>
      </c>
      <c r="B12" s="12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8" t="s">
        <v>92</v>
      </c>
      <c r="B14" s="12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30" t="str">
        <f>IF(Moderator_weighting_method="Peto","Log Peto Odds Ratio","Log Odds Ratio")</f>
        <v>Log Odds Ratio</v>
      </c>
      <c r="B15" s="13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7" t="str">
        <f>IF(Moderator_weighting_method="Inverse variance","Log Risk Ratio","")</f>
        <v>Log Risk Ratio</v>
      </c>
      <c r="B16" s="12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7" t="str">
        <f>IF(Moderator_weighting_method="Inverse Variance","Risk Difference","")</f>
        <v>Risk Difference</v>
      </c>
      <c r="B17" s="12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B1" zoomScale="70" zoomScaleNormal="70" workbookViewId="0">
      <pane ySplit="1" topLeftCell="A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4" t="s">
        <v>1</v>
      </c>
      <c r="E1" s="94" t="str">
        <f>Additional_effect_size_measure</f>
        <v>Log Odds Ratio</v>
      </c>
      <c r="F1" s="94" t="s">
        <v>108</v>
      </c>
      <c r="M1" s="85"/>
      <c r="O1" s="128" t="s">
        <v>109</v>
      </c>
      <c r="P1" s="128"/>
      <c r="Q1" s="128"/>
      <c r="R1" s="128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>
      <c r="A2" s="3" t="s">
        <v>39</v>
      </c>
      <c r="B2" s="5" t="s">
        <v>74</v>
      </c>
      <c r="D2" s="99" t="str">
        <f t="shared" ref="D2:D33" si="0">IF(AND(Include_study?="Yes",Sufficient_data="Yes"),Study_name,"")</f>
        <v>Tian et al. (A)</v>
      </c>
      <c r="E2" s="100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0.18650570402433941</v>
      </c>
      <c r="F2" s="101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0.18467155974547733</v>
      </c>
      <c r="M2" s="142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42" t="s">
        <v>120</v>
      </c>
      <c r="V2" s="77" t="str">
        <f t="shared" ref="V2:V33" si="3">IF(AND(Include_study?="Yes",Sufficient_data="Yes"),Study_name,"")</f>
        <v>Tian et al. (A)</v>
      </c>
      <c r="W2" s="34">
        <f>IF(AND(Include_study?="Yes",Sufficient_data="Yes"),((E:E-I$29)*SQRT(Calculations!FU:FU))/SQRT(1-Calculations!FU:FU/SUM(Calculations!FU:FU)),"")</f>
        <v>0.63919377287680312</v>
      </c>
      <c r="AE2" s="142" t="s">
        <v>121</v>
      </c>
      <c r="AG2" s="77" t="str">
        <f t="shared" ref="AG2:AG33" si="4">IF(AND(Include_study?="Yes",Sufficient_data="Yes"),Study_name,"")</f>
        <v>Tian et al. (A)</v>
      </c>
      <c r="AH2" s="74">
        <f t="shared" ref="AH2:AH65" si="5">IF(AND(Sufficient_data="Yes",Include_study?="Yes"),c_/(c_+d_),"")</f>
        <v>5.3800936534821164E-3</v>
      </c>
      <c r="AI2" s="34">
        <f t="shared" ref="AI2:AI65" si="6">IF(AND(Sufficient_data="Yes",Include_study?="Yes"),a_/(a_+b_),"")</f>
        <v>6.4760386569692142E-3</v>
      </c>
      <c r="AR2" s="142" t="s">
        <v>122</v>
      </c>
      <c r="AT2" s="77" t="str">
        <f t="shared" ref="AT2:AT33" si="7">IF(AND(Include_study?="Yes",Sufficient_data="Yes"),Study_name,"")</f>
        <v>Tian et al. (A)</v>
      </c>
      <c r="AU2" s="74">
        <f t="shared" ref="AU2:AU33" si="8">IF(AND(Include_study?="Yes",Sufficient_data="Yes"),IF(AND(Additional_valid_options="No",Additional_model="Random effects"),NA(),Inverse_standard_error),"")</f>
        <v>5.4150189741086558</v>
      </c>
      <c r="AV2" s="34">
        <f t="shared" ref="AV2:AV33" si="9">IF(AND(Include_study?="Yes",Sufficient_data="Yes"),IF(AND(Additional_valid_options="No",Additional_model="Random effects"),NA(),Z_score),"")</f>
        <v>1.0099319260712911</v>
      </c>
      <c r="BC2" s="142" t="s">
        <v>123</v>
      </c>
      <c r="BE2" s="74" t="str">
        <f t="shared" ref="BE2:BE33" si="10">IF(AND(Include_study?="Yes",Sufficient_data="Yes"),Study_name,"")</f>
        <v>Tian et al. (A)</v>
      </c>
      <c r="BF2" s="74">
        <f>IF(AND(Include_study?="Yes",Sufficient_data="Yes"),NORMSINV(Calculations!IW2),"")</f>
        <v>1.6067550689692418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1.0099319260712911</v>
      </c>
      <c r="BP2" s="142" t="s">
        <v>124</v>
      </c>
      <c r="BR2" s="136" t="s">
        <v>125</v>
      </c>
      <c r="BS2" s="136"/>
      <c r="BT2" s="142" t="s">
        <v>126</v>
      </c>
    </row>
    <row r="3" spans="1:72">
      <c r="A3" s="3" t="s">
        <v>80</v>
      </c>
      <c r="B3" s="5" t="s">
        <v>93</v>
      </c>
      <c r="D3" s="102" t="str">
        <f t="shared" si="0"/>
        <v>Quan et al.</v>
      </c>
      <c r="E3" s="100">
        <f t="shared" si="1"/>
        <v>6.507882343562521E-2</v>
      </c>
      <c r="F3" s="100">
        <f t="shared" si="2"/>
        <v>0.20835597553773649</v>
      </c>
      <c r="M3" s="142"/>
      <c r="O3" s="3" t="s">
        <v>101</v>
      </c>
      <c r="P3" s="4">
        <f>IF(Additional_valid_options="Yes",INTERCEPT(Z_score,Inverse_standard_error),NA())</f>
        <v>4.5709615805608825</v>
      </c>
      <c r="Q3" s="4">
        <f>IF(Additional_valid_options="Yes",Q4*SQRT(1/k_*SUMPRODUCT(Inverse_standard_error,Inverse_standard_error)),NA())</f>
        <v>1.8477387856382201</v>
      </c>
      <c r="R3" s="4">
        <f>P3-ABS(TINV((1-Additional_confidence_level),k_-1))*Q3</f>
        <v>0.50411593364541485</v>
      </c>
      <c r="S3" s="4">
        <f>P3+ABS(TINV((1-Additional_confidence_level),k_-1))*Q3</f>
        <v>8.6378072274763511</v>
      </c>
      <c r="T3" s="142"/>
      <c r="V3" s="76" t="str">
        <f t="shared" si="3"/>
        <v>Quan et al.</v>
      </c>
      <c r="W3" s="35">
        <f>IF(AND(Include_study?="Yes",Sufficient_data="Yes"),((E:E-I$29)*SQRT(Calculations!FU:FU))/SQRT(1-Calculations!FU:FU/SUM(Calculations!FU:FU)),"")</f>
        <v>-4.0628822737570479E-2</v>
      </c>
      <c r="AE3" s="142"/>
      <c r="AG3" s="76" t="str">
        <f t="shared" si="4"/>
        <v>Quan et al.</v>
      </c>
      <c r="AH3" s="3">
        <f t="shared" si="5"/>
        <v>4.7715736040609136E-2</v>
      </c>
      <c r="AI3" s="35">
        <f t="shared" si="6"/>
        <v>5.0761421319796954E-2</v>
      </c>
      <c r="AR3" s="142"/>
      <c r="AT3" s="76" t="str">
        <f t="shared" si="7"/>
        <v>Quan et al.</v>
      </c>
      <c r="AU3" s="3">
        <f t="shared" si="8"/>
        <v>4.799478380301526</v>
      </c>
      <c r="AV3" s="35">
        <f t="shared" si="9"/>
        <v>0.31234440609474351</v>
      </c>
      <c r="BC3" s="142"/>
      <c r="BE3" s="76" t="str">
        <f t="shared" si="10"/>
        <v>Quan et al.</v>
      </c>
      <c r="BF3" s="3">
        <f>IF(AND(Include_study?="Yes",Sufficient_data="Yes"),NORMSINV(Calculations!IW3),"")</f>
        <v>-0.30974253153853021</v>
      </c>
      <c r="BG3" s="35">
        <f t="shared" si="11"/>
        <v>0.31234440609474351</v>
      </c>
      <c r="BP3" s="142"/>
      <c r="BR3" s="3" t="s">
        <v>127</v>
      </c>
      <c r="BS3" s="4">
        <f>SUM(Calculations!JH:JH)/SQRT(k_)</f>
        <v>1.4547619391090225</v>
      </c>
      <c r="BT3" s="142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2" t="str">
        <f t="shared" si="0"/>
        <v>Saffarayazdi et al.</v>
      </c>
      <c r="E4" s="100">
        <f t="shared" si="1"/>
        <v>-2.9726561612291179E-3</v>
      </c>
      <c r="F4" s="100">
        <f t="shared" si="2"/>
        <v>0.17241400642991001</v>
      </c>
      <c r="M4" s="142"/>
      <c r="O4" s="3" t="s">
        <v>128</v>
      </c>
      <c r="P4" s="4">
        <f>IF(Additional_valid_options="Yes",SLOPE(Z_score,Inverse_standard_error),NA())</f>
        <v>-0.7515376197260798</v>
      </c>
      <c r="Q4" s="4">
        <f>IF(Additional_valid_options="Yes",SQRT(((1/(k_-2))*SUMPRODUCT(Calculations!HM:HM,Calculations!HM:HM))/SUMPRODUCT(Calculations!HL:HL,Calculations!HL:HL)),NA())</f>
        <v>0.33397414329097258</v>
      </c>
      <c r="R4" s="4">
        <f>P4-ABS(TINV((1-Additional_confidence_level),k_-1))*Q4</f>
        <v>-1.4866097529638287</v>
      </c>
      <c r="S4" s="4">
        <f>P4+ABS(TINV((1-Additional_confidence_level),k_-1))*Q4</f>
        <v>-1.6465486488330794E-2</v>
      </c>
      <c r="T4" s="142"/>
      <c r="V4" s="76" t="str">
        <f t="shared" si="3"/>
        <v>Saffarayazdi et al.</v>
      </c>
      <c r="W4" s="35">
        <f>IF(AND(Include_study?="Yes",Sufficient_data="Yes"),((E:E-I$29)*SQRT(Calculations!FU:FU))/SQRT(1-Calculations!FU:FU/SUM(Calculations!FU:FU)),"")</f>
        <v>-0.46398909836004049</v>
      </c>
      <c r="AE4" s="142"/>
      <c r="AG4" s="76" t="str">
        <f t="shared" si="4"/>
        <v>Saffarayazdi et al.</v>
      </c>
      <c r="AH4" s="3">
        <f t="shared" si="5"/>
        <v>0.13982142857142857</v>
      </c>
      <c r="AI4" s="35">
        <f t="shared" si="6"/>
        <v>0.13946428571428571</v>
      </c>
      <c r="AR4" s="142"/>
      <c r="AT4" s="76" t="str">
        <f t="shared" si="7"/>
        <v>Saffarayazdi et al.</v>
      </c>
      <c r="AU4" s="3">
        <f t="shared" si="8"/>
        <v>5.7999928237067069</v>
      </c>
      <c r="AV4" s="35">
        <f t="shared" si="9"/>
        <v>-1.7241384402476412E-2</v>
      </c>
      <c r="BC4" s="142"/>
      <c r="BE4" s="76" t="str">
        <f t="shared" si="10"/>
        <v>Saffarayazdi et al.</v>
      </c>
      <c r="BF4" s="3">
        <f>IF(AND(Include_study?="Yes",Sufficient_data="Yes"),NORMSINV(Calculations!IW4),"")</f>
        <v>-0.78503604987689179</v>
      </c>
      <c r="BG4" s="35">
        <f t="shared" si="11"/>
        <v>-1.7241384402476412E-2</v>
      </c>
      <c r="BP4" s="142"/>
      <c r="BR4" s="3" t="s">
        <v>129</v>
      </c>
      <c r="BS4" s="7">
        <f>MAX(0,ROUNDUP(k_*(BS3/NORMSINV((1-Additional_confidence_level)))^2-k_,0))</f>
        <v>0</v>
      </c>
      <c r="BT4" s="142"/>
    </row>
    <row r="5" spans="1:72">
      <c r="D5" s="102" t="str">
        <f>IF(AND(Include_study?="Yes",Sufficient_data="Yes"),Study_name,"")</f>
        <v>Saffarayazdi et al.</v>
      </c>
      <c r="E5" s="100">
        <f t="shared" si="1"/>
        <v>0.18212728086854602</v>
      </c>
      <c r="F5" s="100">
        <f t="shared" si="2"/>
        <v>0.19027643763581617</v>
      </c>
      <c r="M5" s="142"/>
      <c r="T5" s="142"/>
      <c r="V5" s="76" t="str">
        <f t="shared" si="3"/>
        <v>Saffarayazdi et al.</v>
      </c>
      <c r="W5" s="35">
        <f>IF(AND(Include_study?="Yes",Sufficient_data="Yes"),((E:E-I$29)*SQRT(Calculations!FU:FU))/SQRT(1-Calculations!FU:FU/SUM(Calculations!FU:FU)),"")</f>
        <v>0.59488116341266351</v>
      </c>
      <c r="AE5" s="142"/>
      <c r="AG5" s="76" t="str">
        <f t="shared" si="4"/>
        <v>Saffarayazdi et al.</v>
      </c>
      <c r="AH5" s="3">
        <f t="shared" si="5"/>
        <v>0.10267857142857142</v>
      </c>
      <c r="AI5" s="35">
        <f t="shared" si="6"/>
        <v>0.1207142857142857</v>
      </c>
      <c r="AR5" s="142"/>
      <c r="AT5" s="76" t="str">
        <f t="shared" si="7"/>
        <v>Saffarayazdi et al.</v>
      </c>
      <c r="AU5" s="3">
        <f t="shared" si="8"/>
        <v>5.2555114675521324</v>
      </c>
      <c r="AV5" s="35">
        <f t="shared" si="9"/>
        <v>0.95717201315873168</v>
      </c>
      <c r="BC5" s="142"/>
      <c r="BE5" s="76" t="str">
        <f t="shared" si="10"/>
        <v>Saffarayazdi et al.</v>
      </c>
      <c r="BF5" s="3">
        <f>IF(AND(Include_study?="Yes",Sufficient_data="Yes"),NORMSINV(Calculations!IW5),"")</f>
        <v>0.78503604987689113</v>
      </c>
      <c r="BG5" s="35">
        <f t="shared" si="11"/>
        <v>0.95717201315873168</v>
      </c>
      <c r="BP5" s="142"/>
      <c r="BR5" s="3" t="s">
        <v>130</v>
      </c>
      <c r="BS5" s="4" t="b">
        <f>BS4&lt;5*k_+10</f>
        <v>1</v>
      </c>
      <c r="BT5" s="142"/>
    </row>
    <row r="6" spans="1:72">
      <c r="A6" s="3" t="s">
        <v>31</v>
      </c>
      <c r="B6" s="5" t="s">
        <v>94</v>
      </c>
      <c r="D6" s="102" t="str">
        <f t="shared" si="0"/>
        <v>Saffarayazdi et al.</v>
      </c>
      <c r="E6" s="100">
        <f t="shared" si="1"/>
        <v>-2.0332476647412875E-2</v>
      </c>
      <c r="F6" s="100">
        <f t="shared" si="2"/>
        <v>0.17043373591581526</v>
      </c>
      <c r="M6" s="142"/>
      <c r="O6" s="3" t="s">
        <v>131</v>
      </c>
      <c r="P6" s="4">
        <f>P3/Q3</f>
        <v>2.4738137317294258</v>
      </c>
      <c r="T6" s="142"/>
      <c r="V6" s="76" t="str">
        <f t="shared" si="3"/>
        <v>Saffarayazdi et al.</v>
      </c>
      <c r="W6" s="35">
        <f>IF(AND(Include_study?="Yes",Sufficient_data="Yes"),((E:E-I$29)*SQRT(Calculations!FU:FU))/SQRT(1-Calculations!FU:FU/SUM(Calculations!FU:FU)),"")</f>
        <v>-0.57692820973465186</v>
      </c>
      <c r="AE6" s="142"/>
      <c r="AG6" s="76" t="str">
        <f t="shared" si="4"/>
        <v>Saffarayazdi et al.</v>
      </c>
      <c r="AH6" s="3">
        <f t="shared" si="5"/>
        <v>0.14482142857142857</v>
      </c>
      <c r="AI6" s="35">
        <f t="shared" si="6"/>
        <v>0.14232142857142857</v>
      </c>
      <c r="AR6" s="142"/>
      <c r="AT6" s="76" t="str">
        <f t="shared" si="7"/>
        <v>Saffarayazdi et al.</v>
      </c>
      <c r="AU6" s="3">
        <f t="shared" si="8"/>
        <v>5.8673829721948012</v>
      </c>
      <c r="AV6" s="35">
        <f t="shared" si="9"/>
        <v>-0.11929842726357874</v>
      </c>
      <c r="BC6" s="142"/>
      <c r="BE6" s="76" t="str">
        <f t="shared" si="10"/>
        <v>Saffarayazdi et al.</v>
      </c>
      <c r="BF6" s="3">
        <f>IF(AND(Include_study?="Yes",Sufficient_data="Yes"),NORMSINV(Calculations!IW6),"")</f>
        <v>-1.1024403670151643</v>
      </c>
      <c r="BG6" s="35">
        <f t="shared" si="11"/>
        <v>-0.11929842726357874</v>
      </c>
      <c r="BP6" s="142"/>
      <c r="BT6" s="142"/>
    </row>
    <row r="7" spans="1:72">
      <c r="A7" s="3" t="s">
        <v>36</v>
      </c>
      <c r="B7" s="29">
        <v>0.95</v>
      </c>
      <c r="D7" s="102" t="str">
        <f t="shared" si="0"/>
        <v>Saffarayazdi et al.</v>
      </c>
      <c r="E7" s="100">
        <f t="shared" si="1"/>
        <v>0.18212728086854602</v>
      </c>
      <c r="F7" s="100">
        <f t="shared" si="2"/>
        <v>0.19027643763581617</v>
      </c>
      <c r="M7" s="142"/>
      <c r="O7" s="3" t="s">
        <v>100</v>
      </c>
      <c r="P7" s="26">
        <f>TDIST(ABS(P6),k_-2,2)</f>
        <v>3.2889395356775215E-2</v>
      </c>
      <c r="T7" s="142"/>
      <c r="V7" s="76" t="str">
        <f t="shared" si="3"/>
        <v>Saffarayazdi et al.</v>
      </c>
      <c r="W7" s="35">
        <f>IF(AND(Include_study?="Yes",Sufficient_data="Yes"),((E:E-I$29)*SQRT(Calculations!FU:FU))/SQRT(1-Calculations!FU:FU/SUM(Calculations!FU:FU)),"")</f>
        <v>0.59488116341266351</v>
      </c>
      <c r="AE7" s="142"/>
      <c r="AG7" s="76" t="str">
        <f t="shared" si="4"/>
        <v>Saffarayazdi et al.</v>
      </c>
      <c r="AH7" s="3">
        <f t="shared" si="5"/>
        <v>0.10267857142857142</v>
      </c>
      <c r="AI7" s="35">
        <f t="shared" si="6"/>
        <v>0.1207142857142857</v>
      </c>
      <c r="AR7" s="142"/>
      <c r="AT7" s="76" t="str">
        <f t="shared" si="7"/>
        <v>Saffarayazdi et al.</v>
      </c>
      <c r="AU7" s="3">
        <f t="shared" si="8"/>
        <v>5.2555114675521324</v>
      </c>
      <c r="AV7" s="35">
        <f t="shared" si="9"/>
        <v>0.95717201315873168</v>
      </c>
      <c r="BC7" s="142"/>
      <c r="BE7" s="76" t="str">
        <f t="shared" si="10"/>
        <v>Saffarayazdi et al.</v>
      </c>
      <c r="BF7" s="3">
        <f>IF(AND(Include_study?="Yes",Sufficient_data="Yes"),NORMSINV(Calculations!IW7),"")</f>
        <v>1.1024403670151643</v>
      </c>
      <c r="BG7" s="35">
        <f t="shared" si="11"/>
        <v>0.95717201315873168</v>
      </c>
      <c r="BP7" s="142"/>
      <c r="BR7" s="128" t="s">
        <v>132</v>
      </c>
      <c r="BS7" s="128"/>
      <c r="BT7" s="142"/>
    </row>
    <row r="8" spans="1:72">
      <c r="D8" s="102" t="str">
        <f t="shared" si="0"/>
        <v>Saffarayazdi et al.</v>
      </c>
      <c r="E8" s="100">
        <f t="shared" si="1"/>
        <v>9.3376902663461964E-2</v>
      </c>
      <c r="F8" s="100">
        <f t="shared" si="2"/>
        <v>0.17505515252541035</v>
      </c>
      <c r="M8" s="142"/>
      <c r="T8" s="142"/>
      <c r="V8" s="76" t="str">
        <f t="shared" si="3"/>
        <v>Saffarayazdi et al.</v>
      </c>
      <c r="W8" s="35">
        <f>IF(AND(Include_study?="Yes",Sufficient_data="Yes"),((E:E-I$29)*SQRT(Calculations!FU:FU))/SQRT(1-Calculations!FU:FU/SUM(Calculations!FU:FU)),"")</f>
        <v>0.12030378559132295</v>
      </c>
      <c r="AE8" s="142"/>
      <c r="AG8" s="76" t="str">
        <f t="shared" si="4"/>
        <v>Saffarayazdi et al.</v>
      </c>
      <c r="AH8" s="3">
        <f t="shared" si="5"/>
        <v>0.12946428571428573</v>
      </c>
      <c r="AI8" s="35">
        <f t="shared" si="6"/>
        <v>0.14035714285714285</v>
      </c>
      <c r="AR8" s="142"/>
      <c r="AT8" s="76" t="str">
        <f t="shared" si="7"/>
        <v>Saffarayazdi et al.</v>
      </c>
      <c r="AU8" s="3">
        <f t="shared" si="8"/>
        <v>5.7124853828843669</v>
      </c>
      <c r="AV8" s="35">
        <f t="shared" si="9"/>
        <v>0.53341419156404279</v>
      </c>
      <c r="BC8" s="142"/>
      <c r="BE8" s="76" t="str">
        <f t="shared" si="10"/>
        <v>Saffarayazdi et al.</v>
      </c>
      <c r="BF8" s="3">
        <f>IF(AND(Include_study?="Yes",Sufficient_data="Yes"),NORMSINV(Calculations!IW8),"")</f>
        <v>0.30974253153853021</v>
      </c>
      <c r="BG8" s="35">
        <f t="shared" si="11"/>
        <v>0.53341419156404279</v>
      </c>
      <c r="BP8" s="142"/>
      <c r="BR8" s="3" t="s">
        <v>133</v>
      </c>
      <c r="BS8" s="7">
        <f>MAX(0,ROUNDUP((k_*(1-MAX(Calculations!JI:JI))-1)/MAX(Calculations!JI:JI),0))</f>
        <v>11</v>
      </c>
      <c r="BT8" s="142"/>
    </row>
    <row r="9" spans="1:72">
      <c r="A9" s="128" t="s">
        <v>63</v>
      </c>
      <c r="B9" s="128"/>
      <c r="D9" s="102" t="str">
        <f t="shared" si="0"/>
        <v>Saffarayazdi et al.</v>
      </c>
      <c r="E9" s="100">
        <f t="shared" si="1"/>
        <v>0.14129252488388958</v>
      </c>
      <c r="F9" s="100">
        <f t="shared" si="2"/>
        <v>0.18816234837185439</v>
      </c>
      <c r="M9" s="142"/>
      <c r="O9" s="128" t="s">
        <v>134</v>
      </c>
      <c r="P9" s="128"/>
      <c r="T9" s="142"/>
      <c r="V9" s="76" t="str">
        <f t="shared" si="3"/>
        <v>Saffarayazdi et al.</v>
      </c>
      <c r="W9" s="35">
        <f>IF(AND(Include_study?="Yes",Sufficient_data="Yes"),((E:E-I$29)*SQRT(Calculations!FU:FU))/SQRT(1-Calculations!FU:FU/SUM(Calculations!FU:FU)),"")</f>
        <v>0.37624150810966606</v>
      </c>
      <c r="AE9" s="142"/>
      <c r="AG9" s="76" t="str">
        <f t="shared" si="4"/>
        <v>Saffarayazdi et al.</v>
      </c>
      <c r="AH9" s="3">
        <f t="shared" si="5"/>
        <v>0.10714285714285714</v>
      </c>
      <c r="AI9" s="35">
        <f t="shared" si="6"/>
        <v>0.12142857142857143</v>
      </c>
      <c r="AR9" s="142"/>
      <c r="AT9" s="76" t="str">
        <f t="shared" si="7"/>
        <v>Saffarayazdi et al.</v>
      </c>
      <c r="AU9" s="3">
        <f t="shared" si="8"/>
        <v>5.3145595208227192</v>
      </c>
      <c r="AV9" s="35">
        <f t="shared" si="9"/>
        <v>0.75090753334275628</v>
      </c>
      <c r="BC9" s="142"/>
      <c r="BE9" s="76" t="str">
        <f t="shared" si="10"/>
        <v>Saffarayazdi et al.</v>
      </c>
      <c r="BF9" s="3">
        <f>IF(AND(Include_study?="Yes",Sufficient_data="Yes"),NORMSINV(Calculations!IW9),"")</f>
        <v>0.53218973091930399</v>
      </c>
      <c r="BG9" s="35">
        <f t="shared" si="11"/>
        <v>0.75090753334275628</v>
      </c>
      <c r="BP9" s="142"/>
      <c r="BT9" s="142"/>
    </row>
    <row r="10" spans="1:72" ht="12.95">
      <c r="A10" s="130" t="s">
        <v>74</v>
      </c>
      <c r="B10" s="130"/>
      <c r="D10" s="102" t="str">
        <f t="shared" si="0"/>
        <v>Saffarayazdi et al.</v>
      </c>
      <c r="E10" s="100">
        <f t="shared" si="1"/>
        <v>-4.2719508324827377E-2</v>
      </c>
      <c r="F10" s="100">
        <f t="shared" si="2"/>
        <v>0.1716608062797424</v>
      </c>
      <c r="M10" s="142"/>
      <c r="O10" s="3" t="s">
        <v>135</v>
      </c>
      <c r="P10" s="4">
        <f>IF(Additional_valid_options="Yes",SUM(Calculations!HT:HT)/2-SUM(Calculations!HU:HU)/2,NA())</f>
        <v>37</v>
      </c>
      <c r="T10" s="142"/>
      <c r="V10" s="76" t="str">
        <f t="shared" si="3"/>
        <v>Saffarayazdi et al.</v>
      </c>
      <c r="W10" s="35">
        <f>IF(AND(Include_study?="Yes",Sufficient_data="Yes"),((E:E-I$29)*SQRT(Calculations!FU:FU))/SQRT(1-Calculations!FU:FU/SUM(Calculations!FU:FU)),"")</f>
        <v>-0.70927392983889581</v>
      </c>
      <c r="AE10" s="142"/>
      <c r="AG10" s="76" t="str">
        <f t="shared" si="4"/>
        <v>Saffarayazdi et al.</v>
      </c>
      <c r="AH10" s="3">
        <f t="shared" si="5"/>
        <v>0.14374999999999999</v>
      </c>
      <c r="AI10" s="35">
        <f t="shared" si="6"/>
        <v>0.13857142857142857</v>
      </c>
      <c r="AR10" s="142"/>
      <c r="AT10" s="76" t="str">
        <f t="shared" si="7"/>
        <v>Saffarayazdi et al.</v>
      </c>
      <c r="AU10" s="3">
        <f t="shared" si="8"/>
        <v>5.825441588398327</v>
      </c>
      <c r="AV10" s="35">
        <f t="shared" si="9"/>
        <v>-0.24886000043137793</v>
      </c>
      <c r="BC10" s="142"/>
      <c r="BE10" s="76" t="str">
        <f t="shared" si="10"/>
        <v>Saffarayazdi et al.</v>
      </c>
      <c r="BF10" s="3">
        <f>IF(AND(Include_study?="Yes",Sufficient_data="Yes"),NORMSINV(Calculations!IW10),"")</f>
        <v>-1.6067550689692427</v>
      </c>
      <c r="BG10" s="35">
        <f t="shared" si="11"/>
        <v>-0.24886000043137793</v>
      </c>
      <c r="BP10" s="142"/>
      <c r="BR10" s="128" t="s">
        <v>136</v>
      </c>
      <c r="BS10" s="128"/>
      <c r="BT10" s="142"/>
    </row>
    <row r="11" spans="1:72">
      <c r="A11" s="127" t="s">
        <v>64</v>
      </c>
      <c r="B11" s="127"/>
      <c r="D11" s="102" t="str">
        <f t="shared" si="0"/>
        <v>Saffarayazdi et al.</v>
      </c>
      <c r="E11" s="100">
        <f t="shared" si="1"/>
        <v>7.1689591289440108E-2</v>
      </c>
      <c r="F11" s="100">
        <f t="shared" si="2"/>
        <v>0.18481874384332367</v>
      </c>
      <c r="M11" s="142"/>
      <c r="O11" s="3" t="s">
        <v>137</v>
      </c>
      <c r="P11" s="4">
        <f>IF(Additional_valid_options="Yes",(SUM(Calculations!HT:HT)/2-SUM(Calculations!HU:HU)/2)/(1/2*k_*(k_-1)),NA())</f>
        <v>0.56060606060606055</v>
      </c>
      <c r="T11" s="142"/>
      <c r="V11" s="76" t="str">
        <f t="shared" si="3"/>
        <v>Saffarayazdi et al.</v>
      </c>
      <c r="W11" s="35">
        <f>IF(AND(Include_study?="Yes",Sufficient_data="Yes"),((E:E-I$29)*SQRT(Calculations!FU:FU))/SQRT(1-Calculations!FU:FU/SUM(Calculations!FU:FU)),"")</f>
        <v>-8.9382430288512549E-3</v>
      </c>
      <c r="AE11" s="142"/>
      <c r="AG11" s="76" t="str">
        <f t="shared" si="4"/>
        <v>Saffarayazdi et al.</v>
      </c>
      <c r="AH11" s="3">
        <f t="shared" si="5"/>
        <v>0.115</v>
      </c>
      <c r="AI11" s="35">
        <f t="shared" si="6"/>
        <v>0.12249999999999998</v>
      </c>
      <c r="AR11" s="142"/>
      <c r="AT11" s="76" t="str">
        <f t="shared" si="7"/>
        <v>Saffarayazdi et al.</v>
      </c>
      <c r="AU11" s="3">
        <f t="shared" si="8"/>
        <v>5.4107066156002537</v>
      </c>
      <c r="AV11" s="35">
        <f t="shared" si="9"/>
        <v>0.3878913458594519</v>
      </c>
      <c r="BC11" s="142"/>
      <c r="BE11" s="76" t="str">
        <f t="shared" si="10"/>
        <v>Saffarayazdi et al.</v>
      </c>
      <c r="BF11" s="3">
        <f>IF(AND(Include_study?="Yes",Sufficient_data="Yes"),NORMSINV(Calculations!IW11),"")</f>
        <v>0.10179559909470504</v>
      </c>
      <c r="BG11" s="35">
        <f t="shared" si="11"/>
        <v>0.3878913458594519</v>
      </c>
      <c r="BP11" s="142"/>
      <c r="BR11" s="3" t="s">
        <v>105</v>
      </c>
      <c r="BS11" s="4">
        <f>I29</f>
        <v>7.3274346993319348E-2</v>
      </c>
      <c r="BT11" s="142"/>
    </row>
    <row r="12" spans="1:72" ht="12.95">
      <c r="A12" s="127" t="s">
        <v>65</v>
      </c>
      <c r="B12" s="127"/>
      <c r="D12" s="102" t="str">
        <f t="shared" si="0"/>
        <v>Quan et al.</v>
      </c>
      <c r="E12" s="100">
        <f t="shared" si="1"/>
        <v>2.9591957523124511E-2</v>
      </c>
      <c r="F12" s="100">
        <f t="shared" si="2"/>
        <v>0.17203309999867294</v>
      </c>
      <c r="M12" s="142"/>
      <c r="O12" s="3" t="s">
        <v>138</v>
      </c>
      <c r="P12" s="4">
        <f>P10/SQRT((k_*(k_-1)*(2*k_+5)/18))</f>
        <v>2.537184280897844</v>
      </c>
      <c r="T12" s="142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-0.2664704080206336</v>
      </c>
      <c r="AE12" s="142"/>
      <c r="AG12" s="76" t="str">
        <f t="shared" si="4"/>
        <v>Quan et al.</v>
      </c>
      <c r="AH12" s="3">
        <f t="shared" si="5"/>
        <v>7.309644670050762E-2</v>
      </c>
      <c r="AI12" s="35">
        <f t="shared" si="6"/>
        <v>7.5126903553299498E-2</v>
      </c>
      <c r="AR12" s="142"/>
      <c r="AT12" s="76" t="str">
        <f t="shared" si="7"/>
        <v>Quan et al.</v>
      </c>
      <c r="AU12" s="3">
        <f t="shared" si="8"/>
        <v>5.8128348556627412</v>
      </c>
      <c r="AV12" s="35">
        <f t="shared" si="9"/>
        <v>0.17201316213770945</v>
      </c>
      <c r="BC12" s="142"/>
      <c r="BE12" s="76" t="str">
        <f t="shared" si="10"/>
        <v>Quan et al.</v>
      </c>
      <c r="BF12" s="3">
        <f>IF(AND(Include_study?="Yes",Sufficient_data="Yes"),NORMSINV(Calculations!IW12),"")</f>
        <v>-0.53218973091930433</v>
      </c>
      <c r="BG12" s="35">
        <f t="shared" si="11"/>
        <v>0.17201316213770945</v>
      </c>
      <c r="BP12" s="142"/>
      <c r="BR12" s="3" t="s">
        <v>139</v>
      </c>
      <c r="BS12" s="5">
        <v>0</v>
      </c>
      <c r="BT12" s="142"/>
    </row>
    <row r="13" spans="1:72" ht="12.95">
      <c r="D13" s="102" t="str">
        <f t="shared" si="0"/>
        <v>Quan et al.</v>
      </c>
      <c r="E13" s="100">
        <f t="shared" si="1"/>
        <v>5.9194208438249261E-2</v>
      </c>
      <c r="F13" s="100">
        <f t="shared" si="2"/>
        <v>0.1720779863265719</v>
      </c>
      <c r="M13" s="142"/>
      <c r="O13" s="3" t="s">
        <v>88</v>
      </c>
      <c r="P13" s="26">
        <f>2*(1-NORMSDIST(ABS(P12)))</f>
        <v>1.1174811327380407E-2</v>
      </c>
      <c r="T13" s="142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-8.5866696280382362E-2</v>
      </c>
      <c r="AE13" s="142"/>
      <c r="AG13" s="76" t="str">
        <f t="shared" si="4"/>
        <v>Quan et al.</v>
      </c>
      <c r="AH13" s="3">
        <f t="shared" si="5"/>
        <v>7.208121827411168E-2</v>
      </c>
      <c r="AI13" s="35">
        <f t="shared" si="6"/>
        <v>7.6142131979695438E-2</v>
      </c>
      <c r="AR13" s="142"/>
      <c r="AT13" s="76" t="str">
        <f t="shared" si="7"/>
        <v>Quan et al.</v>
      </c>
      <c r="AU13" s="3">
        <f t="shared" si="8"/>
        <v>5.811318584947796</v>
      </c>
      <c r="AV13" s="35">
        <f t="shared" si="9"/>
        <v>0.34399640361847161</v>
      </c>
      <c r="BC13" s="142"/>
      <c r="BE13" s="76" t="str">
        <f t="shared" si="10"/>
        <v>Quan et al.</v>
      </c>
      <c r="BF13" s="3">
        <f>IF(AND(Include_study?="Yes",Sufficient_data="Yes"),NORMSINV(Calculations!IW13),"")</f>
        <v>-0.10179559909470488</v>
      </c>
      <c r="BG13" s="35">
        <f t="shared" si="11"/>
        <v>0.34399640361847161</v>
      </c>
      <c r="BP13" s="142"/>
      <c r="BR13" s="3" t="s">
        <v>140</v>
      </c>
      <c r="BS13" s="5">
        <v>-0.69</v>
      </c>
      <c r="BT13" s="142"/>
    </row>
    <row r="14" spans="1:72">
      <c r="A14" s="128" t="s">
        <v>92</v>
      </c>
      <c r="B14" s="12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42"/>
      <c r="T14" s="14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4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4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4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42"/>
      <c r="BR14" s="3" t="s">
        <v>129</v>
      </c>
      <c r="BS14" s="7">
        <f>MAX(0,ROUNDUP(k_*(BS11-BS12)/(BS12-BS13),0))</f>
        <v>2</v>
      </c>
      <c r="BT14" s="142"/>
    </row>
    <row r="15" spans="1:72">
      <c r="A15" s="130" t="str">
        <f>IF(Additional_weighting_method="Peto","Log Peto Odds Ratio","Log Odds Ratio")</f>
        <v>Log Odds Ratio</v>
      </c>
      <c r="B15" s="13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2"/>
      <c r="T15" s="14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4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4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2"/>
      <c r="BT15" s="142"/>
    </row>
    <row r="16" spans="1:72">
      <c r="A16" s="127" t="str">
        <f>IF(Additional_weighting_method="Inverse variance","Log Risk Ratio","")</f>
        <v>Log Risk Ratio</v>
      </c>
      <c r="B16" s="12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2"/>
      <c r="T16" s="14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4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4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2"/>
      <c r="BR16" s="128" t="s">
        <v>141</v>
      </c>
      <c r="BS16" s="128"/>
      <c r="BT16" s="142"/>
    </row>
    <row r="17" spans="1:72">
      <c r="A17" s="127" t="str">
        <f>IF(Additional_weighting_method="Inverse Variance","Risk Difference","")</f>
        <v>Risk Difference</v>
      </c>
      <c r="B17" s="12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2"/>
      <c r="T17" s="14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4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4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2"/>
      <c r="BR17" s="3" t="s">
        <v>129</v>
      </c>
      <c r="BS17" s="7">
        <f>MAX(0,ROUNDUP(-2*SUM(Calculations!JJ:JJ),0))</f>
        <v>29</v>
      </c>
      <c r="BT17" s="142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2"/>
      <c r="T18" s="14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4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4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2"/>
      <c r="BR18" s="3" t="s">
        <v>142</v>
      </c>
      <c r="BS18" s="26">
        <f>CHIDIST(BS17,k_*2)</f>
        <v>0.22013086388530589</v>
      </c>
      <c r="BT18" s="142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2"/>
      <c r="T19" s="14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4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4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2"/>
      <c r="BT19" s="142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2"/>
      <c r="T20" s="14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4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4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2"/>
      <c r="BT20" s="142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2"/>
      <c r="T21" s="14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4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4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2"/>
      <c r="BT21" s="142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2"/>
      <c r="T22" s="14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4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4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2"/>
      <c r="BT22" s="142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2"/>
      <c r="T23" s="14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4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4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2"/>
      <c r="BT23" s="142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2"/>
      <c r="T24" s="14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4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4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2"/>
      <c r="BT24" s="142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2"/>
      <c r="T25" s="14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4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4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2"/>
      <c r="BT25" s="142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2"/>
      <c r="T26" s="14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4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4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2"/>
      <c r="BT26" s="142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2"/>
      <c r="T27" s="14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4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4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2"/>
      <c r="BT27" s="142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28" t="s">
        <v>59</v>
      </c>
      <c r="L28" s="128"/>
      <c r="M28" s="142"/>
      <c r="T28" s="14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4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7" t="s">
        <v>144</v>
      </c>
      <c r="AY28" s="137"/>
      <c r="AZ28" s="137"/>
      <c r="BA28" s="137"/>
      <c r="BB28" s="138"/>
      <c r="BC28" s="14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7" t="s">
        <v>144</v>
      </c>
      <c r="BJ28" s="137"/>
      <c r="BK28" s="137"/>
      <c r="BL28" s="137"/>
      <c r="BM28" s="137"/>
      <c r="BP28" s="142"/>
      <c r="BT28" s="142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7.3274346993319348E-2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2.2009602277713052</v>
      </c>
      <c r="M29" s="142"/>
      <c r="T29" s="14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4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4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4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42"/>
      <c r="BT29" s="142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5.2177305317758008E-2</v>
      </c>
      <c r="K30" s="3" t="s">
        <v>61</v>
      </c>
      <c r="L30" s="26">
        <f>IF(Additional_valid_options="Yes",CHIDIST(L29,k_-1+IF(Trim_and_fill="On",L39,0)),"")</f>
        <v>0.99765616614595543</v>
      </c>
      <c r="M30" s="142"/>
      <c r="T30" s="14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4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4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0.41995359857570813</v>
      </c>
      <c r="BK30" s="4">
        <f>BK31*SQRT(1/k_*SUMPRODUCT(BF:BF,BF:BF))</f>
        <v>2.615057656454205E-2</v>
      </c>
      <c r="BL30" s="4">
        <f>BJ30-ABS(TINV((1-Additional_confidence_level),k_-1))*BK30</f>
        <v>0.36239656762931088</v>
      </c>
      <c r="BM30" s="4">
        <f>BJ30+ABS(TINV((1-Additional_confidence_level),k_-1))*BK30</f>
        <v>0.47751062952210538</v>
      </c>
      <c r="BP30" s="142"/>
      <c r="BT30" s="142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-4.1567127704636553E-2</v>
      </c>
      <c r="K31" s="3" t="s">
        <v>62</v>
      </c>
      <c r="L31" s="8">
        <f>IF(Additional_valid_options="Yes",IF(L29-(k_-1+IF(Trim_and_fill="On",L39,0))&lt;=0,0,(L29-(k_-1+IF(Trim_and_fill="On",L39,0)))/L29),"")</f>
        <v>0</v>
      </c>
      <c r="M31" s="142"/>
      <c r="T31" s="14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8.3333333333333329E-2</v>
      </c>
      <c r="AA31" s="4">
        <f>NORMSDIST(Calculations!HZ2)</f>
        <v>0.24196365222307298</v>
      </c>
      <c r="AE31" s="14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4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7.3274346993319348E-2</v>
      </c>
      <c r="AZ31" s="4">
        <f>I30</f>
        <v>5.2177305317758008E-2</v>
      </c>
      <c r="BA31" s="4">
        <f>AY31-ABS(TINV((1-Additional_confidence_level),k_-1))*AZ31</f>
        <v>-4.1567127704636553E-2</v>
      </c>
      <c r="BB31" s="4">
        <f>AY31+ABS(TINV((1-Additional_confidence_level),k_-1))*AZ31</f>
        <v>0.18811582169127525</v>
      </c>
      <c r="BC31" s="14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0.4534070286490865</v>
      </c>
      <c r="BK31" s="4">
        <f>SQRT(((1/(k_-2))*SUMPRODUCT(Calculations!JA:JA,Calculations!JA:JA))/SUMPRODUCT(Calculations!IZ:IZ,Calculations!IZ:IZ))</f>
        <v>2.9228566905969772E-2</v>
      </c>
      <c r="BL31" s="4">
        <f>BJ31-ABS(TINV((1-Additional_confidence_level),k_-1))*BK31</f>
        <v>0.38907538663830143</v>
      </c>
      <c r="BM31" s="4">
        <f>BJ31+ABS(TINV((1-Additional_confidence_level),k_-1))*BK31</f>
        <v>0.51773867065987156</v>
      </c>
      <c r="BP31" s="142"/>
      <c r="BT31" s="142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0.18811582169127525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42"/>
      <c r="T32" s="14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8.3333333333333329E-2</v>
      </c>
      <c r="AA32" s="4">
        <f>NORMSDIST(Calculations!HZ3)-(SUM(AA$31:AA31))</f>
        <v>6.6573886502913904E-2</v>
      </c>
      <c r="AE32" s="14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7" t="s">
        <v>105</v>
      </c>
      <c r="AL32" s="137"/>
      <c r="AM32" s="137"/>
      <c r="AR32" s="14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4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2"/>
      <c r="BT32" s="142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-4.1567127704636553E-2</v>
      </c>
      <c r="K33" s="3" t="s">
        <v>72</v>
      </c>
      <c r="L33" s="4">
        <f>IF(Additional_valid_options="Yes",SQRT(L32),"")</f>
        <v>0</v>
      </c>
      <c r="M33" s="142"/>
      <c r="T33" s="14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8.3333333333333329E-2</v>
      </c>
      <c r="AA33" s="4">
        <f>NORMSDIST(Calculations!HZ4)-(SUM(AA$31:AA32))</f>
        <v>7.3551039085060443E-2</v>
      </c>
      <c r="AE33" s="14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5" t="s">
        <v>149</v>
      </c>
      <c r="AL33" s="135"/>
      <c r="AM33" s="135"/>
      <c r="AR33" s="14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4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42"/>
      <c r="BT33" s="142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0.18811582169127525</v>
      </c>
      <c r="M34" s="142"/>
      <c r="T34" s="14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8.3333333333333329E-2</v>
      </c>
      <c r="AA34" s="4">
        <f>NORMSDIST(Calculations!HZ5)-(SUM(AA$31:AA33))</f>
        <v>7.8083584911923687E-2</v>
      </c>
      <c r="AE34" s="14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1.0661008662202776</v>
      </c>
      <c r="AR34" s="14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2"/>
      <c r="BT34" s="142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2"/>
      <c r="T35" s="14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0.25</v>
      </c>
      <c r="AA35" s="4">
        <f>NORMSDIST(Calculations!HZ6)-(SUM(AA$31:AA34))</f>
        <v>7.9655674554057976E-2</v>
      </c>
      <c r="AE35" s="14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4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4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2"/>
      <c r="BT35" s="142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42"/>
      <c r="T36" s="14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8.3333333333333329E-2</v>
      </c>
      <c r="AA36" s="4">
        <f>NORMSDIST(Calculations!HZ7)-(SUM(AA$31:AA35))</f>
        <v>7.8083584911923687E-2</v>
      </c>
      <c r="AE36" s="14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4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4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2"/>
      <c r="BT36" s="142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7.3274346993319348E-2</v>
      </c>
      <c r="K37" s="3" t="s">
        <v>156</v>
      </c>
      <c r="L37" s="5" t="s">
        <v>157</v>
      </c>
      <c r="M37" s="142"/>
      <c r="T37" s="14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8.3333333333333329E-2</v>
      </c>
      <c r="AA37" s="4">
        <f>NORMSDIST(Calculations!HZ8)-(SUM(AA$31:AA36))</f>
        <v>7.3551039085060443E-2</v>
      </c>
      <c r="AE37" s="14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4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4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2"/>
      <c r="BT37" s="142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5.2177305317758008E-2</v>
      </c>
      <c r="K38" s="3" t="s">
        <v>158</v>
      </c>
      <c r="L38" s="91" t="str">
        <f>IF(Trim_and_fill="Off","",IF(I29&gt;0,"Left",IF(I29&lt;0,"Right","NA")))</f>
        <v>Left</v>
      </c>
      <c r="M38" s="142"/>
      <c r="T38" s="14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0.25</v>
      </c>
      <c r="AA38" s="4">
        <f>NORMSDIST(Calculations!HZ9)-(SUM(AA$31:AA37))</f>
        <v>6.6573886502913848E-2</v>
      </c>
      <c r="AE38" s="14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4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4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2"/>
      <c r="BT38" s="142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-4.1567127704636553E-2</v>
      </c>
      <c r="K39" s="3" t="s">
        <v>159</v>
      </c>
      <c r="L39" s="7">
        <f>IF(L38&lt;&gt;"",Calculations!GW21,"")</f>
        <v>0</v>
      </c>
      <c r="M39" s="142"/>
      <c r="T39" s="14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4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4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4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2"/>
      <c r="BT39" s="142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0.18811582169127525</v>
      </c>
      <c r="M40" s="142"/>
      <c r="T40" s="14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4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4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2"/>
      <c r="BT40" s="142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-4.1567127704636553E-2</v>
      </c>
      <c r="M41" s="142"/>
      <c r="T41" s="14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4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4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4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2"/>
      <c r="BT41" s="142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0.18811582169127525</v>
      </c>
      <c r="M42" s="142"/>
      <c r="T42" s="14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4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4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2"/>
      <c r="BT42" s="142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2"/>
      <c r="T43" s="14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4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4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2"/>
      <c r="BT43" s="142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2"/>
      <c r="T44" s="14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4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4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2"/>
      <c r="BT44" s="142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2"/>
      <c r="T45" s="14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4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4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2"/>
      <c r="BT45" s="142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2"/>
      <c r="T46" s="14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4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4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2"/>
      <c r="BT46" s="142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2"/>
      <c r="T47" s="14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4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4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2"/>
      <c r="BT47" s="142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2"/>
      <c r="T48" s="14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4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4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2"/>
      <c r="BT48" s="142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2"/>
      <c r="T49" s="14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4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4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2"/>
      <c r="BT49" s="142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2"/>
      <c r="T50" s="14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4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4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2"/>
      <c r="BT50" s="142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2"/>
      <c r="T51" s="14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4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4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2"/>
      <c r="BT51" s="142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2"/>
      <c r="T52" s="14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4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4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2"/>
      <c r="BT52" s="142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2"/>
      <c r="T53" s="14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4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4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2"/>
      <c r="BT53" s="142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2"/>
      <c r="T54" s="14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4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4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2"/>
      <c r="BT54" s="142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2"/>
      <c r="T55" s="14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4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4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2"/>
      <c r="BT55" s="142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2"/>
      <c r="T56" s="14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4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4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2"/>
      <c r="BT56" s="142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2"/>
      <c r="T57" s="14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4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4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2"/>
      <c r="BT57" s="142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2"/>
      <c r="T58" s="14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4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4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2"/>
      <c r="BT58" s="142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2"/>
      <c r="T59" s="14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4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4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2"/>
      <c r="BT59" s="142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2"/>
      <c r="T60" s="14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4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4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2"/>
      <c r="BT60" s="142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2"/>
      <c r="T61" s="14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4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4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2"/>
      <c r="BT61" s="142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2"/>
      <c r="T62" s="14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4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4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2"/>
      <c r="BT62" s="142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2"/>
      <c r="T63" s="14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4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4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2"/>
      <c r="BT63" s="142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2"/>
      <c r="T64" s="14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4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4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2"/>
      <c r="BT64" s="142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2"/>
      <c r="T65" s="14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4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4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2"/>
      <c r="BT65" s="142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2"/>
      <c r="T66" s="14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2"/>
      <c r="BT66" s="142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2"/>
      <c r="T67" s="14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4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4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2"/>
      <c r="BT67" s="142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2"/>
      <c r="T68" s="14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4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4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2"/>
      <c r="BT68" s="142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2"/>
      <c r="T69" s="14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4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4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2"/>
      <c r="BT69" s="142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2"/>
      <c r="T70" s="14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4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4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2"/>
      <c r="BT70" s="142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2"/>
      <c r="T71" s="14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4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4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2"/>
      <c r="BT71" s="142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2"/>
      <c r="T72" s="14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4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4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2"/>
      <c r="BT72" s="142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2"/>
      <c r="T73" s="14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4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4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2"/>
      <c r="BT73" s="142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2"/>
      <c r="T74" s="14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4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4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2"/>
      <c r="BT74" s="142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2"/>
      <c r="T75" s="14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4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4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2"/>
      <c r="BT75" s="142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2"/>
      <c r="T76" s="14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4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4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2"/>
      <c r="BT76" s="142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2"/>
      <c r="T77" s="14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4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4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2"/>
      <c r="BT77" s="142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2"/>
      <c r="T78" s="14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4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4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2"/>
      <c r="BT78" s="142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2"/>
      <c r="T79" s="14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4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4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2"/>
      <c r="BT79" s="142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2"/>
      <c r="T80" s="14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4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4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2"/>
      <c r="BT80" s="142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2"/>
      <c r="T81" s="14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4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4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2"/>
      <c r="BT81" s="142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2"/>
      <c r="T82" s="14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4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4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2"/>
      <c r="BT82" s="142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2"/>
      <c r="T83" s="14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4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4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2"/>
      <c r="BT83" s="142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2"/>
      <c r="T84" s="14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4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4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2"/>
      <c r="BT84" s="142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2"/>
      <c r="T85" s="14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4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4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2"/>
      <c r="BT85" s="142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2"/>
      <c r="T86" s="14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4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4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2"/>
      <c r="BT86" s="142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2"/>
      <c r="T87" s="14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4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4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2"/>
      <c r="BT87" s="142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2"/>
      <c r="T88" s="14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4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4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2"/>
      <c r="BT88" s="142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2"/>
      <c r="T89" s="14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4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4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2"/>
      <c r="BT89" s="142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2"/>
      <c r="T90" s="14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4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4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2"/>
      <c r="BT90" s="142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2"/>
      <c r="T91" s="14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4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4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2"/>
      <c r="BT91" s="142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2"/>
      <c r="T92" s="14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4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4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2"/>
      <c r="BT92" s="142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2"/>
      <c r="T93" s="14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4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4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2"/>
      <c r="BT93" s="142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2"/>
      <c r="T94" s="14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4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4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2"/>
      <c r="BT94" s="142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2"/>
      <c r="T95" s="14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4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4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2"/>
      <c r="BT95" s="142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2"/>
      <c r="T96" s="14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4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4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2"/>
      <c r="BT96" s="142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2"/>
      <c r="T97" s="14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4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4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2"/>
      <c r="BT97" s="142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2"/>
      <c r="T98" s="14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2"/>
      <c r="BT98" s="142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2"/>
      <c r="T99" s="14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4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4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2"/>
      <c r="BT99" s="142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2"/>
      <c r="T100" s="14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4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4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2"/>
      <c r="BT100" s="142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2"/>
      <c r="T101" s="14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4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4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2"/>
      <c r="BT101" s="142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2"/>
      <c r="T102" s="14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4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4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2"/>
      <c r="BT102" s="142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2"/>
      <c r="T103" s="14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4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4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2"/>
      <c r="BT103" s="142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2"/>
      <c r="T104" s="14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4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4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2"/>
      <c r="BT104" s="142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2"/>
      <c r="T105" s="14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4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4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2"/>
      <c r="BT105" s="142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2"/>
      <c r="T106" s="14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4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4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2"/>
      <c r="BT106" s="142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2"/>
      <c r="T107" s="14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4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4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2"/>
      <c r="BT107" s="142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2"/>
      <c r="T108" s="14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4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4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2"/>
      <c r="BT108" s="142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2"/>
      <c r="T109" s="14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4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4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2"/>
      <c r="BT109" s="142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2"/>
      <c r="T110" s="14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4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4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2"/>
      <c r="BT110" s="142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2"/>
      <c r="T111" s="14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4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4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2"/>
      <c r="BT111" s="142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2"/>
      <c r="T112" s="14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4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4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2"/>
      <c r="BT112" s="142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2"/>
      <c r="T113" s="14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4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4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2"/>
      <c r="BT113" s="142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2"/>
      <c r="T114" s="14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4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4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2"/>
      <c r="BT114" s="142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2"/>
      <c r="T115" s="14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4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4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2"/>
      <c r="BT115" s="142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2"/>
      <c r="T116" s="14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4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4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2"/>
      <c r="BT116" s="142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2"/>
      <c r="T117" s="14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4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4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2"/>
      <c r="BT117" s="142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2"/>
      <c r="T118" s="14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4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4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2"/>
      <c r="BT118" s="142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2"/>
      <c r="T119" s="14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4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4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2"/>
      <c r="BT119" s="142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2"/>
      <c r="T120" s="14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4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4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2"/>
      <c r="BT120" s="142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2"/>
      <c r="T121" s="14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4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4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2"/>
      <c r="BT121" s="142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2"/>
      <c r="T122" s="14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4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4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2"/>
      <c r="BT122" s="142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2"/>
      <c r="T123" s="14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4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4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2"/>
      <c r="BT123" s="142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2"/>
      <c r="T124" s="14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4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4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2"/>
      <c r="BT124" s="142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2"/>
      <c r="T125" s="14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4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4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2"/>
      <c r="BT125" s="142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2"/>
      <c r="T126" s="14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4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4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2"/>
      <c r="BT126" s="142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2"/>
      <c r="T127" s="14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4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4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2"/>
      <c r="BT127" s="142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2"/>
      <c r="T128" s="14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4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4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2"/>
      <c r="BT128" s="142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2"/>
      <c r="T129" s="14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4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4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2"/>
      <c r="BT129" s="142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2"/>
      <c r="T130" s="14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2"/>
      <c r="BT130" s="142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2"/>
      <c r="T131" s="14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4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4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2"/>
      <c r="BT131" s="142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2"/>
      <c r="T132" s="14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4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4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2"/>
      <c r="BT132" s="142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2"/>
      <c r="T133" s="14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4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4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2"/>
      <c r="BT133" s="142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2"/>
      <c r="T134" s="14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4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4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2"/>
      <c r="BT134" s="142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2"/>
      <c r="T135" s="14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4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4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2"/>
      <c r="BT135" s="142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2"/>
      <c r="T136" s="14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4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4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2"/>
      <c r="BT136" s="142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2"/>
      <c r="T137" s="14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4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4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2"/>
      <c r="BT137" s="142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2"/>
      <c r="T138" s="14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4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4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2"/>
      <c r="BT138" s="142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2"/>
      <c r="T139" s="14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4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4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2"/>
      <c r="BT139" s="142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2"/>
      <c r="T140" s="14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4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4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2"/>
      <c r="BT140" s="142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2"/>
      <c r="T141" s="14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4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4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2"/>
      <c r="BT141" s="142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2"/>
      <c r="T142" s="14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4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4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2"/>
      <c r="BT142" s="142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2"/>
      <c r="T143" s="14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4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4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2"/>
      <c r="BT143" s="142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2"/>
      <c r="T144" s="14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4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4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2"/>
      <c r="BT144" s="142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2"/>
      <c r="T145" s="14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4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4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2"/>
      <c r="BT145" s="142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2"/>
      <c r="T146" s="14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4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4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2"/>
      <c r="BT146" s="142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2"/>
      <c r="T147" s="14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4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4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2"/>
      <c r="BT147" s="142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2"/>
      <c r="T148" s="14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4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4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2"/>
      <c r="BT148" s="142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2"/>
      <c r="T149" s="14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4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4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2"/>
      <c r="BT149" s="142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2"/>
      <c r="T150" s="14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4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4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2"/>
      <c r="BT150" s="142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2"/>
      <c r="T151" s="14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4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4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2"/>
      <c r="BT151" s="142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2"/>
      <c r="T152" s="14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4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4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2"/>
      <c r="BT152" s="142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2"/>
      <c r="T153" s="14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4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4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2"/>
      <c r="BT153" s="142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2"/>
      <c r="T154" s="14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4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4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2"/>
      <c r="BT154" s="142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2"/>
      <c r="T155" s="14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4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4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2"/>
      <c r="BT155" s="142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2"/>
      <c r="T156" s="14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4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4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2"/>
      <c r="BT156" s="142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2"/>
      <c r="T157" s="14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4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4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2"/>
      <c r="BT157" s="142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2"/>
      <c r="T158" s="14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4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4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2"/>
      <c r="BT158" s="142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2"/>
      <c r="T159" s="14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4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4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2"/>
      <c r="BT159" s="142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2"/>
      <c r="T160" s="14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4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4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2"/>
      <c r="BT160" s="142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2"/>
      <c r="T161" s="14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4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4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2"/>
      <c r="BT161" s="142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2"/>
      <c r="T162" s="14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2"/>
      <c r="BT162" s="142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2"/>
      <c r="T163" s="14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4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4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2"/>
      <c r="BT163" s="142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2"/>
      <c r="T164" s="14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4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4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2"/>
      <c r="BT164" s="142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2"/>
      <c r="T165" s="14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4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4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2"/>
      <c r="BT165" s="142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2"/>
      <c r="T166" s="14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4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4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2"/>
      <c r="BT166" s="142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2"/>
      <c r="T167" s="14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4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4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2"/>
      <c r="BT167" s="142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2"/>
      <c r="T168" s="14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4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4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2"/>
      <c r="BT168" s="142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2"/>
      <c r="T169" s="14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4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4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2"/>
      <c r="BT169" s="142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2"/>
      <c r="T170" s="14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4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4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2"/>
      <c r="BT170" s="142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2"/>
      <c r="T171" s="14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4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4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2"/>
      <c r="BT171" s="142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2"/>
      <c r="T172" s="14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4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4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2"/>
      <c r="BT172" s="142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2"/>
      <c r="T173" s="14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4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4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2"/>
      <c r="BT173" s="142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2"/>
      <c r="T174" s="14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4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4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2"/>
      <c r="BT174" s="142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2"/>
      <c r="T175" s="14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4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4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2"/>
      <c r="BT175" s="142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2"/>
      <c r="T176" s="14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4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4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2"/>
      <c r="BT176" s="142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2"/>
      <c r="T177" s="14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4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4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2"/>
      <c r="BT177" s="142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2"/>
      <c r="T178" s="14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4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4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2"/>
      <c r="BT178" s="142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2"/>
      <c r="T179" s="14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4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4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2"/>
      <c r="BT179" s="142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2"/>
      <c r="T180" s="14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4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4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2"/>
      <c r="BT180" s="142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2"/>
      <c r="T181" s="14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4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4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2"/>
      <c r="BT181" s="142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2"/>
      <c r="T182" s="14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4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4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2"/>
      <c r="BT182" s="142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2"/>
      <c r="T183" s="14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4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4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2"/>
      <c r="BT183" s="142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2"/>
      <c r="T184" s="14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4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4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2"/>
      <c r="BT184" s="142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2"/>
      <c r="T185" s="14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4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4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2"/>
      <c r="BT185" s="142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2"/>
      <c r="T186" s="14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4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4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2"/>
      <c r="BT186" s="142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2"/>
      <c r="T187" s="14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4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4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2"/>
      <c r="BT187" s="142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2"/>
      <c r="T188" s="14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4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4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2"/>
      <c r="BT188" s="142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2"/>
      <c r="T189" s="14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4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4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2"/>
      <c r="BT189" s="142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2"/>
      <c r="T190" s="14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4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4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2"/>
      <c r="BT190" s="142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2"/>
      <c r="T191" s="14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4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4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2"/>
      <c r="BT191" s="142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2"/>
      <c r="T192" s="14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4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4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2"/>
      <c r="BT192" s="142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2"/>
      <c r="T193" s="14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4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4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2"/>
      <c r="BT193" s="142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2"/>
      <c r="T194" s="14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2"/>
      <c r="BT194" s="142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2"/>
      <c r="T195" s="14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4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4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2"/>
      <c r="BT195" s="142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2"/>
      <c r="T196" s="14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4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4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2"/>
      <c r="BT196" s="142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2"/>
      <c r="T197" s="14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4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4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2"/>
      <c r="BT197" s="142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2"/>
      <c r="T198" s="14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4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4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2"/>
      <c r="BT198" s="142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2"/>
      <c r="T199" s="14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4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4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2"/>
      <c r="BT199" s="142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2"/>
      <c r="T200" s="14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4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4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2"/>
      <c r="BT200" s="142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3"/>
      <c r="T201" s="14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3"/>
      <c r="BT201" s="14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GW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161</v>
      </c>
      <c r="H1" s="87"/>
      <c r="I1" s="88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5"/>
      <c r="Q1" s="1" t="s">
        <v>167</v>
      </c>
      <c r="R1" s="1" t="s">
        <v>168</v>
      </c>
      <c r="S1" s="1" t="s">
        <v>169</v>
      </c>
      <c r="T1" s="1" t="s">
        <v>170</v>
      </c>
      <c r="V1" s="85"/>
      <c r="W1" s="1" t="s">
        <v>171</v>
      </c>
      <c r="X1" s="1" t="s">
        <v>172</v>
      </c>
      <c r="Y1" s="1" t="s">
        <v>173</v>
      </c>
      <c r="Z1" s="1" t="s">
        <v>174</v>
      </c>
      <c r="AB1" s="85"/>
      <c r="AC1" s="1" t="s">
        <v>152</v>
      </c>
      <c r="AD1" s="1" t="s">
        <v>175</v>
      </c>
      <c r="AE1" s="1" t="s">
        <v>176</v>
      </c>
      <c r="AF1" s="1" t="s">
        <v>177</v>
      </c>
      <c r="AG1" s="1" t="s">
        <v>178</v>
      </c>
      <c r="AI1" s="87"/>
      <c r="AJ1" s="128" t="s">
        <v>179</v>
      </c>
      <c r="AK1" s="128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180</v>
      </c>
      <c r="AY1" s="1" t="s">
        <v>181</v>
      </c>
      <c r="BA1" s="128" t="s">
        <v>182</v>
      </c>
      <c r="BB1" s="12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28" t="s">
        <v>51</v>
      </c>
      <c r="BM1" s="128"/>
      <c r="BO1" s="85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41</v>
      </c>
      <c r="BW1" s="1" t="s">
        <v>189</v>
      </c>
      <c r="BX1" s="1" t="s">
        <v>44</v>
      </c>
      <c r="BY1" s="1" t="s">
        <v>104</v>
      </c>
      <c r="BZ1" s="11"/>
      <c r="CA1" s="128" t="s">
        <v>51</v>
      </c>
      <c r="CB1" s="128"/>
      <c r="CD1" s="85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41</v>
      </c>
      <c r="CJ1" s="1" t="s">
        <v>44</v>
      </c>
      <c r="CK1" s="1" t="s">
        <v>104</v>
      </c>
      <c r="CM1" s="128" t="s">
        <v>51</v>
      </c>
      <c r="CN1" s="128"/>
      <c r="CP1" s="85"/>
      <c r="CQ1" s="1" t="s">
        <v>194</v>
      </c>
      <c r="CS1" s="128" t="s">
        <v>43</v>
      </c>
      <c r="CT1" s="128"/>
      <c r="CU1" s="128"/>
      <c r="CV1" s="128"/>
      <c r="CX1" s="87"/>
      <c r="CY1" s="1" t="s">
        <v>195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196</v>
      </c>
      <c r="DF1" s="1" t="s">
        <v>197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198</v>
      </c>
      <c r="DI1" s="1" t="s">
        <v>199</v>
      </c>
      <c r="DJ1" s="1" t="s">
        <v>104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200</v>
      </c>
      <c r="DQ1" s="1" t="s">
        <v>10</v>
      </c>
      <c r="DR1" s="1" t="s">
        <v>27</v>
      </c>
      <c r="DS1" s="1" t="s">
        <v>201</v>
      </c>
      <c r="DT1" s="1" t="s">
        <v>60</v>
      </c>
      <c r="DU1" s="1" t="s">
        <v>69</v>
      </c>
      <c r="DV1" s="1" t="s">
        <v>70</v>
      </c>
      <c r="DW1" s="1" t="s">
        <v>202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203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204</v>
      </c>
      <c r="EI1" s="1" t="s">
        <v>205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206</v>
      </c>
      <c r="EO1" s="1" t="s">
        <v>207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208</v>
      </c>
      <c r="ES1" s="1" t="s">
        <v>41</v>
      </c>
      <c r="ET1" s="1" t="s">
        <v>209</v>
      </c>
      <c r="EU1" s="1" t="s">
        <v>210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211</v>
      </c>
      <c r="FE1" s="1" t="s">
        <v>41</v>
      </c>
      <c r="FF1" s="1" t="s">
        <v>212</v>
      </c>
      <c r="FG1" s="1" t="s">
        <v>213</v>
      </c>
      <c r="FH1" s="1" t="s">
        <v>214</v>
      </c>
      <c r="FJ1" s="1" t="s">
        <v>30</v>
      </c>
      <c r="FK1" s="1" t="s">
        <v>215</v>
      </c>
      <c r="FL1" s="1" t="s">
        <v>213</v>
      </c>
      <c r="FM1" s="1" t="s">
        <v>216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217</v>
      </c>
      <c r="FW1" s="1" t="s">
        <v>218</v>
      </c>
      <c r="FX1" s="1" t="s">
        <v>219</v>
      </c>
      <c r="FY1" s="1" t="s">
        <v>54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8" t="s">
        <v>224</v>
      </c>
      <c r="GH1" s="128"/>
      <c r="GI1" s="128"/>
      <c r="GK1" s="85"/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V1" s="128" t="s">
        <v>234</v>
      </c>
      <c r="GW1" s="128"/>
      <c r="GY1" s="1" t="s">
        <v>235</v>
      </c>
      <c r="GZ1" s="1" t="s">
        <v>236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237</v>
      </c>
      <c r="HD1" s="1" t="s">
        <v>30</v>
      </c>
      <c r="HE1" s="1" t="s">
        <v>104</v>
      </c>
      <c r="HG1" s="1" t="s">
        <v>238</v>
      </c>
      <c r="HH1" s="1" t="str">
        <f>HA1</f>
        <v>Log Odds Ratio</v>
      </c>
      <c r="HI1" s="1" t="str">
        <f>HB1</f>
        <v>SE Log Odds Ratio</v>
      </c>
      <c r="HK1" s="85"/>
      <c r="HL1" s="1" t="s">
        <v>239</v>
      </c>
      <c r="HM1" s="1" t="s">
        <v>240</v>
      </c>
      <c r="HO1" s="85"/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W1" s="85"/>
      <c r="HX1" s="1" t="s">
        <v>247</v>
      </c>
      <c r="HY1" s="1" t="s">
        <v>248</v>
      </c>
      <c r="HZ1" s="1" t="s">
        <v>249</v>
      </c>
      <c r="IB1" s="85"/>
      <c r="IC1" s="1" t="s">
        <v>112</v>
      </c>
      <c r="ID1" s="1" t="s">
        <v>111</v>
      </c>
      <c r="IE1" s="1" t="s">
        <v>41</v>
      </c>
      <c r="IF1" s="1" t="s">
        <v>250</v>
      </c>
      <c r="IH1" s="128" t="s">
        <v>251</v>
      </c>
      <c r="II1" s="128"/>
      <c r="IK1" s="85"/>
      <c r="IL1" s="1" t="s">
        <v>252</v>
      </c>
      <c r="IM1" s="1" t="s">
        <v>253</v>
      </c>
      <c r="IN1" s="1" t="s">
        <v>239</v>
      </c>
      <c r="IO1" s="1" t="s">
        <v>240</v>
      </c>
      <c r="IQ1" s="128" t="s">
        <v>254</v>
      </c>
      <c r="IR1" s="128"/>
      <c r="IS1" s="128"/>
      <c r="IU1" s="85"/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240</v>
      </c>
      <c r="JC1" s="128" t="s">
        <v>254</v>
      </c>
      <c r="JD1" s="128"/>
      <c r="JE1" s="128"/>
      <c r="JG1" s="85"/>
      <c r="JH1" s="1" t="s">
        <v>114</v>
      </c>
      <c r="JI1" s="1" t="s">
        <v>100</v>
      </c>
      <c r="JJ1" s="1" t="s">
        <v>260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9972</v>
      </c>
      <c r="D2" s="6">
        <f>IF(AND(Include_study?="Yes",Sufficient_data="Yes"),IF(Input!c_&lt;&gt;"",Input!c_,Input!n2_-Input!d_),"")</f>
        <v>54</v>
      </c>
      <c r="E2" s="6">
        <f>IF(AND(Include_study?="Yes",Sufficient_data="Yes"),IF(Input!d_&lt;&gt;"",Input!d_,Input!n2_-Input!c_),"")</f>
        <v>9983</v>
      </c>
      <c r="F2" s="35" t="str">
        <f t="shared" ref="F2:F33" si="1">IF(AND(Include_study?="Yes",Sufficient_data="Yes"),IF(OR(a_=0,b_=0,c_=0,d_=0),"Yes","No"),"")</f>
        <v>No</v>
      </c>
      <c r="H2" s="149" t="s">
        <v>261</v>
      </c>
      <c r="I2" s="144" t="s">
        <v>43</v>
      </c>
      <c r="J2" s="77">
        <f t="shared" ref="J2:J65" si="2">IF(AND(Include_study?="Yes",Sufficient_data="Yes"),IF(Add_0_5="Yes",((a_+0.5)*(d_+0.5))/((b_+0.5)*(c_+0.5)),(a_*d_)/(b_*c_)),"")</f>
        <v>1.2050314955950736</v>
      </c>
      <c r="K2" s="74">
        <f t="shared" ref="K2:K33" si="3">IF(AND(Include_study?="Yes",Sufficient_data="Yes"),LN(OddsRatio),"")</f>
        <v>0.18650570402433941</v>
      </c>
      <c r="L2" s="74">
        <f t="shared" ref="L2:L33" si="4">IF(AND(Include_study?="Yes",Sufficient_data="Yes"),SQRT(IF(Add_0_5="Yes",1/(a_+0.5)+1/(b_+0.5)+1/(c_+0.5)+1/(d_+0.5),1/a_+1/b_+1/c_+1/d_)),"")</f>
        <v>0.18467155974547733</v>
      </c>
      <c r="M2" s="74">
        <f t="shared" ref="M2:M33" si="5">IF(AND(Include_study?="Yes",Sufficient_data="Yes"),EXP(LogOddsRatio-ABS(TINV((1-Confidence_level),Number_of_subjects-2))*SELogOddsRatio),"")</f>
        <v>0.83906615205057988</v>
      </c>
      <c r="N2" s="34">
        <f t="shared" ref="N2:N33" si="6">IF(AND(Include_study?="Yes",Sufficient_data="Yes"),EXP(LogOddsRatio+ABS(TINV((1-Confidence_level),Number_of_subjects-2))*SELogOddsRatio),"")</f>
        <v>1.7306155203941127</v>
      </c>
      <c r="P2" s="142" t="s">
        <v>262</v>
      </c>
      <c r="Q2" s="77">
        <f t="shared" ref="Q2:Q33" si="7">IF(AND(Include_study?="Yes",Sufficient_data="Yes"),EXP(LogPetoOddsRatio),"")</f>
        <v>1.2043827145668076</v>
      </c>
      <c r="R2" s="74">
        <f t="shared" ref="R2:R33" si="8">IF(AND(Include_study?="Yes",Sufficient_data="Yes"),SQRT(VarLogPetoOddsRatio),"")</f>
        <v>0.18388097218207602</v>
      </c>
      <c r="S2" s="74">
        <f t="shared" ref="S2:S33" si="9">IF(AND(Include_study?="Yes",Sufficient_data="Yes"),EXP(LogPetoOddsRatio-ABS(TINV((1-Confidence_level),Number_of_subjects-2))*SELogPetoOddsRatio),"")</f>
        <v>0.83991494256015486</v>
      </c>
      <c r="T2" s="34">
        <f t="shared" ref="T2:T33" si="10">IF(AND(Include_study?="Yes",Sufficient_data="Yes"),EXP(LogPetoOddsRatio+ABS(TINV((1-Confidence_level),Number_of_subjects-2))*SELogPetoOddsRatio),"")</f>
        <v>1.7270054973970468</v>
      </c>
      <c r="V2" s="142" t="s">
        <v>171</v>
      </c>
      <c r="W2" s="77">
        <f t="shared" ref="W2:W33" si="11">IF(AND(Include_study?="Yes",Sufficient_data="Yes"),a_/(a_+b_)-c_/(c_+d_),"")</f>
        <v>1.0959450034870978E-3</v>
      </c>
      <c r="X2" s="74">
        <f t="shared" ref="X2:X33" si="12">IF(AND(Include_study?="Yes",Sufficient_data="Yes"),SQRT(a_*b_/(a_+b_)^3+c_*d_/(c_+d_)^3),"")</f>
        <v>1.0835960111763678E-3</v>
      </c>
      <c r="Y2" s="74">
        <f t="shared" ref="Y2:Y33" si="13">IF(AND(Include_study?="Yes",Sufficient_data="Yes"),Risk_Difference-SERiskDifference*ABS(TINV((1-Confidence_level),Number_of_subjects-2)),"")</f>
        <v>-1.027992227938283E-3</v>
      </c>
      <c r="Z2" s="34">
        <f t="shared" ref="Z2:Z33" si="14">IF(AND(Include_study?="Yes",Sufficient_data="Yes"),Risk_Difference+SERiskDifference*ABS(TINV((1-Confidence_level),Number_of_subjects-2)),"")</f>
        <v>3.2198822349124787E-3</v>
      </c>
      <c r="AB2" s="142" t="s">
        <v>152</v>
      </c>
      <c r="AC2" s="77">
        <f t="shared" ref="AC2:AC33" si="15">IF(AND(Include_study?="Yes",Sufficient_data="Yes"),IF(Add_0_5="Yes",((a_+0.5)/(a_+0.5+b_+0.5))/((c_+0.5)/(c_+0.5+d_+0.5)),(a_/(a_+b_))/(c_/(c_+d_))),"")</f>
        <v>1.2037037037037037</v>
      </c>
      <c r="AD2" s="74">
        <f t="shared" ref="AD2:AD33" si="16">IF(AND(Include_study?="Yes",Sufficient_data="Yes"),LN(Risk_Ratio),"")</f>
        <v>0.18540322333136275</v>
      </c>
      <c r="AE2" s="74">
        <f t="shared" ref="AE2:AE33" si="17">IF(AND(Include_study?="Yes",Sufficient_data="Yes"),IF(Add_0_5="Yes",SQRT(1/(a_+0.5)-1/(a_+0.5+b_+0.5)+1/(c_+0.5)-1/(c_+0.5+d_+0.5)),SQRT(1/a_-1/(a_+b_)+1/c_-1/(c_+d_))),"")</f>
        <v>0.18358614102166634</v>
      </c>
      <c r="AF2" s="74">
        <f t="shared" ref="AF2:AF33" si="18">IF(AND(Include_study?="Yes",Sufficient_data="Yes"),EXP(LN(Risk_Ratio)-ABS(TINV((1-Confidence_level),Number_of_subjects-2))*SELogRiskRatio),"")</f>
        <v>0.83992666030906515</v>
      </c>
      <c r="AG2" s="34">
        <f t="shared" ref="AG2:AG33" si="19">IF(AND(Include_study?="Yes",Sufficient_data="Yes"),EXP(LN(Risk_Ratio)+ABS(TINV((1-Confidence_level),Number_of_subjects-2))*SELogRiskRatio),"")</f>
        <v>1.7250346664515515</v>
      </c>
      <c r="AI2" s="149" t="s">
        <v>263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Tian et al. (A)</v>
      </c>
      <c r="AN2" s="6">
        <f t="shared" ref="AN2:AN65" si="21">IF(AND(Sufficient_data="Yes",Include_study?="Yes"),(a_+b_+c_+d_),"")</f>
        <v>20074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1.2050314955950736</v>
      </c>
      <c r="AP2" s="3">
        <f t="shared" ref="AP2:AP33" si="23">IF(AND(Include_study?="Yes",Sufficient_data="Yes"),IF(Weighting_method="Inverse variance",Weightf,IF(Weighting_method="Mantel-Haenszel",Weightf_MH,Weightf_Peto)),"")</f>
        <v>29.322430489956762</v>
      </c>
      <c r="AQ2" s="3">
        <f t="shared" ref="AQ2:AQ33" si="24">IF(AND(Include_study?="Yes",Sufficient_data="Yes"),IF(Weighting_method="Inverse variance",Weight,IF(Weighting_method="Mantel-Haenszel",Weight_MH,Weight_Peto)),"")</f>
        <v>29.322430489956762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0.18467155974547733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0.83906615205057988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1.7306155203941127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7.982947223621023E-2</v>
      </c>
      <c r="AW2" s="43">
        <f t="shared" ref="AW2:AW33" si="29">IF(Effect_size_lookup&lt;&gt;"",Effect_size_lookup,NA())</f>
        <v>1.2050314955950736</v>
      </c>
      <c r="AX2" s="3">
        <f t="shared" ref="AX2:AX33" si="30">IF(Effect_size_lookup&lt;&gt;"",Effect_size_lookup-AS2,NA())</f>
        <v>0.36596534354449373</v>
      </c>
      <c r="AY2" s="34">
        <f t="shared" ref="AY2:AY33" si="31">IF(Effect_size_lookup&lt;&gt;"",AT2-Effect_size_lookup,NA())</f>
        <v>0.5255840247990391</v>
      </c>
      <c r="BA2" s="2" t="s">
        <v>264</v>
      </c>
      <c r="BB2" s="3">
        <f>'Forest Plot'!$B$16</f>
        <v>1.0760257008399443</v>
      </c>
      <c r="BD2" s="149" t="s">
        <v>265</v>
      </c>
      <c r="BE2" s="144" t="s">
        <v>266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0.18650570402433941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0.18467155974547733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29.322430489956762</v>
      </c>
      <c r="BI2" s="74">
        <f>IF(Weightf&lt;&gt;"",1/(IF(Model_effect_size_measure="Odds Ratio",SELogOddsRatio,IF(Model_effect_size_measure="Risk Ratio",SELogRiskRatio,SERiskDifference))^2+T2_),"")</f>
        <v>29.322430489956762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0.11323135703102007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7.3274346993319348E-2</v>
      </c>
      <c r="BO2" s="142" t="s">
        <v>267</v>
      </c>
      <c r="BP2" s="3">
        <f t="shared" ref="BP2:BP33" si="36">IF(AND(Sufficient_data="Yes",Include_study?="Yes"),IF(Add_0_5="Yes",(a_+0.5)*(d_+0.5)/(Number_of_subjects+2),a_*d_/Number_of_subjects),"")</f>
        <v>32.325146956261833</v>
      </c>
      <c r="BQ2" s="3">
        <f t="shared" ref="BQ2:BQ33" si="37">IF(AND(Sufficient_data="Yes",Include_study?="Yes"),IF(Add_0_5="Yes",(b_+0.5)*(c_+0.5)/(Number_of_subjects+2),b_*c_/Number_of_subjects),"")</f>
        <v>26.825146956261833</v>
      </c>
      <c r="BR2" s="3">
        <f t="shared" ref="BR2:BR33" si="38">IF(AND(Sufficient_data="Yes",Include_study?="Yes"),IF(Add_0_5="Yes",(a_+d_+1)*(a_+0.5)*(d_+0.5)/(Number_of_subjects+2)^2,(a_+d_)*a_*d_/Number_of_subjects^2),"")</f>
        <v>16.180286769777766</v>
      </c>
      <c r="BS2" s="3">
        <f>IF(AND(Sufficient_data="Yes",Include_study?="Yes"),IF(Add_0_5="Yes",(a_+d_+1)*(ab_+0.5)*(c_+0.5)/(Number_of_subjects+2)^2,(a_+d_)*b_*c_/Number_of_subjects^2),"")</f>
        <v>13.427272921018178</v>
      </c>
      <c r="BT2" s="3">
        <f t="shared" ref="BT2:BT33" si="39">IF(AND(Sufficient_data="Yes",Include_study?="Yes"),IF(Add_0_5="Yes",(b_+c_+1)*(a_+0.5)*(d_+0.5)/(Number_of_subjects+2)^2,(b_+c_)*a_*d_/Number_of_subjects^2),"")</f>
        <v>16.144860186484063</v>
      </c>
      <c r="BU2" s="3">
        <f t="shared" ref="BU2:BU33" si="40">IF(AND(Sufficient_data="Yes",Include_study?="Yes"),IF(Add_0_5="Yes",(b_+c_+1)*(b_+0.5)*(c_+0.5)/(Number_of_subjects+2)^2,(b_+c_)*b_*c_/Number_of_subjects^2),"")</f>
        <v>13.397874035243655</v>
      </c>
      <c r="BV2" s="3">
        <f t="shared" ref="BV2:BV33" si="41">IF(AND(Sufficient_data="Yes",Include_study?="Yes"),IF(Add_0_5="Yes",(b_+0.5)*(c_+0.5)/(Number_of_subjects+2),b_*c_/Number_of_subjects),"")</f>
        <v>26.825146956261833</v>
      </c>
      <c r="BW2" s="3">
        <f t="shared" ref="BW2:BW33" si="42">IF(AND(Sufficient_data="Yes",Include_study?="Yes"),1/(SELogOddsRatio^2)*(LogOddsRatio-LN(SUMPRODUCT(Weightf_MH,OddsRatio)/SUM(Weightf_MH)))^2,"")</f>
        <v>0.37536653604070769</v>
      </c>
      <c r="BX2" s="74">
        <f t="shared" ref="BX2:BX33" si="43">IF(Weithf_MH&lt;&gt;"",1/(SELogOddsRatio^2+T2_MH),"")</f>
        <v>29.322430489956762</v>
      </c>
      <c r="BY2" s="34">
        <f t="shared" ref="BY2:BY33" si="44">IF(Weithf_MH&lt;&gt;"",LogOddsRatio-lnCES_OddsRatio_MH,"")</f>
        <v>0.11323135703101998</v>
      </c>
      <c r="CA2" s="3" t="s">
        <v>268</v>
      </c>
      <c r="CB2" s="3">
        <f>LN(CES_OddsRatio_MH)</f>
        <v>7.3274346993319431E-2</v>
      </c>
      <c r="CD2" s="142" t="s">
        <v>269</v>
      </c>
      <c r="CE2" s="77">
        <f t="shared" ref="CE2:CE33" si="45">IF(AND(Include_study?="Yes",Sufficient_data="Yes"),((a_+b_)*(a_+c_))/(Number_of_subjects),"")</f>
        <v>59.5</v>
      </c>
      <c r="CF2" s="74">
        <f t="shared" ref="CF2:CF33" si="46">IF(AND(Include_study?="Yes",Sufficient_data="Yes"),((a_+b_)*(c_+d_)*(a_+c_)*(b_+d_))/((Number_of_subjects)^2*(Number_of_subjects-1)),"")</f>
        <v>29.575113336322424</v>
      </c>
      <c r="CG2" s="74">
        <f t="shared" ref="CG2:CG33" si="47">IF(AND(Include_study?="Yes",Sufficient_data="Yes"),(a_-Expected)/VarExpected,"")</f>
        <v>0.18596716561843979</v>
      </c>
      <c r="CH2" s="74">
        <f t="shared" ref="CH2:CH33" si="48">IF(AND(Include_study?="Yes",Sufficient_data="Yes"),1/VarExpected,"")</f>
        <v>3.3812211930625419E-2</v>
      </c>
      <c r="CI2" s="74">
        <f t="shared" ref="CI2:CI33" si="49">IF(AND(Sufficient_data="Yes",Include_study?="Yes"),VarExpected,"")</f>
        <v>29.575113336322424</v>
      </c>
      <c r="CJ2" s="74">
        <f t="shared" ref="CJ2:CJ65" si="50">IF(Weightf_Peto&lt;&gt;"",1/(VarLogPetoOddsRatio+T2_Peto),"")</f>
        <v>29.575113336322424</v>
      </c>
      <c r="CK2" s="34">
        <f t="shared" ref="CK2:CK33" si="51">IF(Weightf_Peto&lt;&gt;"",LogPetoOddsRatio-lnCES_PetoOddsRatio,"")</f>
        <v>0.11267508904975232</v>
      </c>
      <c r="CM2" s="3" t="s">
        <v>270</v>
      </c>
      <c r="CN2" s="3">
        <f>IF(Meta_analysis_model="Fixed effect model",SUMPRODUCT(Weightf_Peto,LogPetoOddsRatio)/SUM(Weightf_Peto),SUMPRODUCT(Weight_Peto,LogPetoOddsRatio)/SUM(Weight_Peto))</f>
        <v>7.329207656868747E-2</v>
      </c>
      <c r="CP2" s="142" t="s">
        <v>271</v>
      </c>
      <c r="CQ2" s="51">
        <f t="shared" ref="CQ2:CQ33" si="52">IF(AND(Sufficient_data="Yes",Include_study?="Yes"),c_/(c_+d_),"")</f>
        <v>5.3800936534821164E-3</v>
      </c>
      <c r="CS2" s="2"/>
      <c r="CT2" s="2" t="s">
        <v>40</v>
      </c>
      <c r="CU2" s="2" t="s">
        <v>64</v>
      </c>
      <c r="CV2" s="2" t="s">
        <v>65</v>
      </c>
      <c r="CX2" s="149" t="s">
        <v>272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Tian et al. (A)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0.18650570402433941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0.18467155974547733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29.322430489956762</v>
      </c>
      <c r="DE2" s="74">
        <f t="shared" ref="DE2:DE33" si="59">IF(AND(Include_study?="Yes",Sufficient_data="Yes",Subgroup&lt;&gt;""),1/(DC2^2+IF(Within_subgroup_weighting=EX$42,0,INDEX(DQ:DX,MATCH(Subgroup,DQ:DQ,0),8))),"")</f>
        <v>29.322430489956762</v>
      </c>
      <c r="DF2" s="79">
        <f t="shared" ref="DF2:DF33" si="60">IF(AND(Include_study?="Yes",Sufficient_data="Yes",Subgroup_valid_options="Yes",Subgroup&lt;&gt;""),DE2/SUMIF(Subgroup,Subgroup,DE:DE),"")</f>
        <v>0.56004342250958261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1.2050314955950736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0.83906615296307063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1.7306155185120551</v>
      </c>
      <c r="DJ2" s="34">
        <f t="shared" ref="DJ2:DJ33" si="64">IF(AND(Include_study?="Yes",Sufficient_data="Yes",Subgroup&lt;&gt;""),Subgroup_effect_size-VLOOKUP(DA:DA,DQ:DZ,10,FALSE),"")</f>
        <v>5.3422554799148286E-2</v>
      </c>
      <c r="DL2" s="43">
        <f t="shared" ref="DL2:DL33" si="65">IF(Subgroup_effect_size&lt;&gt;"",IF(Subgroup_effect_size_measure="Risk Difference",Subgroup_effect_size,DG:DG),NA())</f>
        <v>1.2050314955950736</v>
      </c>
      <c r="DM2" s="74">
        <f>IF(AND(Include_study?="Yes",Sufficient_data="Yes",Subgroup&lt;&gt;""),IF(Subgroup_effect_size_measure="Risk Difference",DB2-DH2,DG2-DH2),NA())</f>
        <v>0.36596534263200298</v>
      </c>
      <c r="DN2" s="34">
        <f>IF(AND(Include_study?="Yes",Sufficient_data="Yes",Subgroup&lt;&gt;""),IF(Subgroup_effect_size_measure="Risk Difference",DI2-DB2,DI2-DG2),NA())</f>
        <v>0.52558402291698147</v>
      </c>
      <c r="DP2" s="47">
        <f>IF(DQ2&lt;&gt;"",SUMIFS(DS:DS,DS:DS,"&gt;="&amp;0,DQ:DQ,"&lt;"&amp;DQ2)+DS2+DR2,"")</f>
        <v>3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2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0.19021267665459551</v>
      </c>
      <c r="DU2" s="10">
        <f>IF(DT2&lt;&gt;"",CHIDIST(DT2,DS2-1),"")</f>
        <v>0.66273966752705582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25.801192324124081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0.13308314922519113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6.0274080839712675E-2</v>
      </c>
      <c r="EB2" s="6">
        <f t="shared" ref="EB2:EB33" si="72">IF(DT2&lt;&gt;"",SUMIFS(Number_of_subjects,Subgroup,DQ2,Include_study?,"Yes",Sufficient_data,"Yes"),"")</f>
        <v>22044</v>
      </c>
      <c r="EC2" s="3">
        <f>IF(DT2&lt;&gt;"",DZ2-ABS(TINV((1-Subgroup_confidence_level),DS2-1))*EA2,"")</f>
        <v>-0.63277166220894243</v>
      </c>
      <c r="ED2" s="3">
        <f>IF(DT2&lt;&gt;"",DZ2+ABS(TINV((1-Subgroup_confidence_level),DS2-1))*EA2,"")</f>
        <v>0.89893796065932474</v>
      </c>
      <c r="EE2" s="3">
        <f>IF(AND(EE$1&lt;&gt;"",DT2&lt;&gt;""),EXP(DZ2),"")</f>
        <v>1.1423449794819798</v>
      </c>
      <c r="EF2" s="3">
        <f>IF(AND(EF$1&lt;&gt;"",DT2&lt;&gt;""),EXP(EC2),"")</f>
        <v>0.53111768026532569</v>
      </c>
      <c r="EG2" s="3">
        <f>IF(AND(EG$1&lt;&gt;"",DT2&lt;&gt;""),EXP(ED2),"")</f>
        <v>2.4569923025265923</v>
      </c>
      <c r="EH2" s="3">
        <f>IF(AND(EE$1&lt;&gt;"",DT2&lt;&gt;""),EE2-EF2,IF(DT2&lt;&gt;"",DZ2-EC2,""))</f>
        <v>0.61122729921665409</v>
      </c>
      <c r="EI2" s="3">
        <f>IF(AND(EE$1&lt;&gt;"",DT2&lt;&gt;""),EG2-EE2,IF(DT2&lt;&gt;"",ED2-DZ2,""))</f>
        <v>1.3146473230446125</v>
      </c>
      <c r="EJ2" s="3">
        <f>IF(DT2&lt;&gt;"",DZ2-ABS(TINV((1-Subgroup_confidence_level),DS2-1))*SQRT(DX2+EA2^2),"")</f>
        <v>-0.63277166220894243</v>
      </c>
      <c r="EK2" s="3">
        <f t="shared" ref="EK2:EK33" si="73">IF(DT2&lt;&gt;"",DZ2+ABS(TINV((1-Subgroup_confidence_level),DS2-1))*SQRT(DX2+EA2^2),"")</f>
        <v>0.89893796065932474</v>
      </c>
      <c r="EL2" s="3">
        <f>IF(AND(EL$1&lt;&gt;"",DT2&lt;&gt;""),EXP(EJ2),"")</f>
        <v>0.53111768026532569</v>
      </c>
      <c r="EM2" s="3">
        <f>IF(AND(EM$1&lt;&gt;"",DT2&lt;&gt;""),EXP(EK2),"")</f>
        <v>2.4569923025265923</v>
      </c>
      <c r="EN2" s="3">
        <f>IF(AND(EE$1&lt;&gt;"",DT2&lt;&gt;""),EE2-EL2,IF(DT2&lt;&gt;"",DZ2-EJ2,""))</f>
        <v>0.61122729921665409</v>
      </c>
      <c r="EO2" s="3">
        <f>IF(AND(EE$1&lt;&gt;"",DT2&lt;&gt;""),EM2-EE2,IF(DT2&lt;&gt;"",EK2-DZ2,""))</f>
        <v>1.3146473230446125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0.19021267665459551</v>
      </c>
      <c r="EQ2" s="3">
        <f>IF(DT2&lt;&gt;"",IF(EE2&lt;&gt;"",EE2,DZ2),NA())</f>
        <v>1.1423449794819798</v>
      </c>
      <c r="ER2" s="9">
        <f>IF(DT2&lt;&gt;"",(ET2/SUM(ET:ET)),"")</f>
        <v>0.19162220564323063</v>
      </c>
      <c r="ES2" s="3">
        <f>IF(DT2&lt;&gt;"",1/(EA2^2),"")</f>
        <v>275.25727587553791</v>
      </c>
      <c r="ET2" s="3">
        <f>IF(EA2&lt;&gt;"",1/(EA2^2+IF(Between_subgroup_weighting=EX$38,0,EY$35)),"")</f>
        <v>254.26205759553528</v>
      </c>
      <c r="EU2" s="74">
        <f t="shared" ref="EU2:EU33" si="75">IF(ES2&lt;&gt;"",IF(Subgroup_effect_size_measure="Risk Difference",(EY$9-DZ2)^2*ET2,(EY$2-DZ2)^2*ET2),"")</f>
        <v>0.80837779435676838</v>
      </c>
      <c r="EV2" s="34">
        <f t="shared" ref="EV2:EV33" si="76">IF(DT2&lt;&gt;"",IF(Subgroup_effect_size_measure="Risk Difference",EE:EE-EY$9,DZ:DZ-EY$2),"")</f>
        <v>5.6385366677274423E-2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7.6697782547916704E-2</v>
      </c>
      <c r="FA2" s="149" t="s">
        <v>273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49" t="s">
        <v>274</v>
      </c>
      <c r="FS2" s="144" t="s">
        <v>118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29.322430489956762</v>
      </c>
      <c r="FU2" s="74">
        <f>IF(AND(Include_study?="Yes",Sufficient_data="Yes"),1/('Publication Bias Analysis'!F:F^2+IF(Additional_model="Fixed effect",0,Calculations!GH$12)),"")</f>
        <v>29.322430489956762</v>
      </c>
      <c r="FV2" s="74">
        <f>IF(AND(Include_study?="Yes",Sufficient_data="Yes"),1/('Publication Bias Analysis'!F:F^2+IF(Additional_model="Fixed effect",0,'Publication Bias Analysis'!L$32)),"")</f>
        <v>29.322430489956762</v>
      </c>
      <c r="FW2" s="74">
        <f>IF(AND(Include_study?="Yes",Sufficient_data="Yes"),'Publication Bias Analysis'!E:E-'Publication Bias Analysis'!I$37,"")</f>
        <v>0.11323135703102007</v>
      </c>
      <c r="FX2" s="74">
        <f>IF(AND(Include_study?="Yes",Sufficient_data="Yes"),IF(Additional_model="Fixed effect",1/'Publication Bias Analysis'!F:F,1/SQRT('Publication Bias Analysis'!F:F^2+GH$12)),"")</f>
        <v>5.4150189741086558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1.0099319260712911</v>
      </c>
      <c r="FZ2" s="37">
        <f t="shared" ref="FZ2:FZ33" si="80">IF(AND(Include_study?="Yes",Sufficient_data="Yes"),RANK(GM:GM,GM:GM,1)*IF(GL:GL&gt;0,1,-1),"")</f>
        <v>11</v>
      </c>
      <c r="GA2" s="82">
        <f>IF(AND(Include_study?="Yes",Sufficient_data="Yes"),FZ:FZ,"")</f>
        <v>11</v>
      </c>
      <c r="GB2" s="82">
        <f>IF(AND(Include_study?="Yes",Sufficient_data="Yes"),RANK(GP:GP,GP:GP,1)*IF(GO:GO&lt;0,-1,1),"")</f>
        <v>11</v>
      </c>
      <c r="GC2" s="82">
        <f>IF(AND(Include_study?="Yes",Sufficient_data="Yes"),RANK(GS:GS,GS:GS,1)*IF(GR:GR&lt;0,-1,1),"")</f>
        <v>11</v>
      </c>
      <c r="GD2" s="74">
        <f>IF(AND(Include_study?="Yes",Sufficient_data="Yes"),'Publication Bias Analysis'!E2,NA())</f>
        <v>0.18650570402433941</v>
      </c>
      <c r="GE2" s="34">
        <f>IF(AND(Include_study?="Yes",Sufficient_data="Yes"),'Publication Bias Analysis'!F2,NA())</f>
        <v>0.18467155974547733</v>
      </c>
      <c r="GG2" s="24" t="s">
        <v>275</v>
      </c>
      <c r="GH2" s="2" t="s">
        <v>245</v>
      </c>
      <c r="GI2" s="2" t="s">
        <v>246</v>
      </c>
      <c r="GK2" s="142" t="s">
        <v>276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0.11323135703102007</v>
      </c>
      <c r="GM2" s="74">
        <f t="shared" ref="GM2:GM33" si="81">IF(AND(Include_study?="Yes",Sufficient_data="Yes"),ABS(GL2),"")</f>
        <v>0.11323135703102007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29.322430489956762</v>
      </c>
      <c r="GO2" s="74">
        <f>IF(AND(Include_study?="Yes",Sufficient_data="Yes"),IF('Publication Bias Analysis'!L$38="Left",'Publication Bias Analysis'!E:E-GW$3,GW$3-'Publication Bias Analysis'!E:E),"")</f>
        <v>0.11323135703102007</v>
      </c>
      <c r="GP2" s="74">
        <f t="shared" ref="GP2:GP33" si="82">IF(GO2&lt;&gt;"",ABS(GO2),"")</f>
        <v>0.11323135703102007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29.322430489956762</v>
      </c>
      <c r="GR2" s="74">
        <f>IF(AND(Include_study?="Yes",Sufficient_data="Yes"),IF('Publication Bias Analysis'!L$38="Left",'Publication Bias Analysis'!E:E-GW$10,GW$10-'Publication Bias Analysis'!E:E),"")</f>
        <v>0.11323135703102007</v>
      </c>
      <c r="GS2" s="74">
        <f t="shared" ref="GS2:GS33" si="83">IF(GR2&lt;&gt;"",ABS(GR2),"")</f>
        <v>0.11323135703102007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29.322430489956762</v>
      </c>
      <c r="GV2" s="136" t="s">
        <v>105</v>
      </c>
      <c r="GW2" s="136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2" t="s">
        <v>109</v>
      </c>
      <c r="HL2" s="3">
        <f t="shared" ref="HL2:HL65" si="89">IF(AND(Include_study?="Yes",Sufficient_data="Yes"),Inverse_standard_error-AVERAGE(Inverse_standard_error),"")</f>
        <v>-0.1083345787023573</v>
      </c>
      <c r="HM2" s="34">
        <f>IF(AND(Include_study?="Yes",Sufficient_data="Yes"),Z_score-('Publication Bias Analysis'!P$3+'Publication Bias Analysis'!P$4*Inverse_standard_error),"")</f>
        <v>0.50856081608358616</v>
      </c>
      <c r="HO2" s="142" t="s">
        <v>277</v>
      </c>
      <c r="HP2" s="3">
        <f>IF(AND(Include_study?="Yes",Sufficient_data="Yes"),(GD:GD-SUMPRODUCT(Calculations!FT:FT,'Publication Bias Analysis'!E:E)/SUM(Calculations!FT:FT))/SQRT(Calculations!HQ:HQ),"")</f>
        <v>0.63919377287680301</v>
      </c>
      <c r="HQ2" s="3">
        <f>IF(AND(Include_study?="Yes",Sufficient_data="Yes"),GE:GE^2-1/SUM(Calculations!FT:FT),"")</f>
        <v>3.1381113788604864E-2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6</v>
      </c>
      <c r="HT2" s="6">
        <f>IF(AND(Include_study?="Yes",Sufficient_data="Yes"),COUNTIFS(HR3:HR201,"&lt;"&amp;HR2,HS3:HS201,"&lt;"&amp;HS2)+COUNTIFS(HR3:HR201,"&gt;"&amp;HR2,HS3:HS201,"&gt;"&amp;HS2),"")</f>
        <v>6</v>
      </c>
      <c r="HU2" s="56">
        <f>IF(AND(Include_study?="Yes",Sufficient_data="Yes"),COUNTIFS(HR3:HR201,"&lt;"&amp;HR2,HS3:HS201,"&gt;"&amp;HS2)+COUNTIFS(HR3:HR201,"&gt;"&amp;HR2,HS3:HS201,"&lt;"&amp;HS2),"")</f>
        <v>5</v>
      </c>
      <c r="HW2" s="142" t="s">
        <v>121</v>
      </c>
      <c r="HX2" s="20">
        <v>1</v>
      </c>
      <c r="HY2" s="3"/>
      <c r="HZ2" s="34">
        <f>HZ3-HY14</f>
        <v>-0.7</v>
      </c>
      <c r="IB2" s="142" t="s">
        <v>278</v>
      </c>
      <c r="IC2" s="77">
        <f t="shared" ref="IC2:IC33" si="92">IF(AND(Include_study?="Yes",Sufficient_data="Yes"),a_/(a_+b_),NA())</f>
        <v>6.4760386569692142E-3</v>
      </c>
      <c r="ID2" s="74">
        <f t="shared" ref="ID2:ID33" si="93">IF(AND(Include_study?="Yes",Sufficient_data="Yes"),c_/(c_+d_),NA())</f>
        <v>5.3800936534821164E-3</v>
      </c>
      <c r="IE2" s="74">
        <f t="shared" ref="IE2:IE33" si="94">IF(AND(Include_study?="Yes",Sufficient_data="Yes"),1/SELogRiskRatio^2,"")</f>
        <v>29.670182241113437</v>
      </c>
      <c r="IF2" s="74">
        <f t="shared" ref="IF2:IF33" si="95">IF(AND(Include_study?="Yes",Sufficient_data="Yes"),IF(Additional_model="Fixed effect",Weightf,Weightr),"")</f>
        <v>29.322430489956762</v>
      </c>
      <c r="IH2" s="2" t="s">
        <v>245</v>
      </c>
      <c r="II2" s="2" t="s">
        <v>246</v>
      </c>
      <c r="IK2" s="142" t="s">
        <v>123</v>
      </c>
      <c r="IL2" s="3">
        <f>IF(AND(Include_study?="Yes",Sufficient_data="Yes"),'Publication Bias Analysis'!AV:AV,NA())</f>
        <v>1.0099319260712911</v>
      </c>
      <c r="IM2" s="3">
        <f>IF(AND(Sufficient_data="Yes",Include_study?="Yes"),'Publication Bias Analysis'!AU:AU,NA())</f>
        <v>5.4150189741086558</v>
      </c>
      <c r="IN2" s="3">
        <f t="shared" ref="IN2:IN33" si="96">IF(AND(Include_study?="Yes",Sufficient_data="Yes"),Inverse_standard_error-AVERAGE(Inverse_standard_error),"")</f>
        <v>-0.1083345787023573</v>
      </c>
      <c r="IO2" s="34">
        <f>IF(AND(Include_study?="Yes",Sufficient_data="Yes"),Z_score-('Publication Bias Analysis'!AY$30+'Publication Bias Analysis'!AY$31*Inverse_standard_error),"")</f>
        <v>0.61314994678704537</v>
      </c>
      <c r="IQ2" s="24" t="s">
        <v>279</v>
      </c>
      <c r="IR2" s="2" t="s">
        <v>245</v>
      </c>
      <c r="IS2" s="2" t="s">
        <v>246</v>
      </c>
      <c r="IU2" s="142" t="s">
        <v>124</v>
      </c>
      <c r="IV2" s="6">
        <f>IF('Publication Bias Analysis'!BG:BG&lt;&gt;"",RANK('Publication Bias Analysis'!BG:BG,'Publication Bias Analysis'!BG:BG,1),"")</f>
        <v>12</v>
      </c>
      <c r="IW2" s="3">
        <f t="shared" ref="IW2:IW33" si="97">IF(IV:IV&lt;&gt;"",(IV:IV-1/3)/(k_+1/3),"")</f>
        <v>0.94594594594594583</v>
      </c>
      <c r="IX2" s="3">
        <f>IF('Publication Bias Analysis'!BF2&lt;&gt;"",'Publication Bias Analysis'!BF2,NA())</f>
        <v>1.6067550689692418</v>
      </c>
      <c r="IY2" s="3">
        <f>IF('Publication Bias Analysis'!BG2&lt;&gt;"",'Publication Bias Analysis'!BG2,NA())</f>
        <v>1.0099319260712911</v>
      </c>
      <c r="IZ2" s="3">
        <f>IF(AND(Include_study?="Yes",Sufficient_data="Yes"),'Publication Bias Analysis'!BF:BF-AVERAGE('Publication Bias Analysis'!BF:BF),"")</f>
        <v>1.606755068969242</v>
      </c>
      <c r="JA2" s="34">
        <f>IF(AND(Include_study?="Yes",Sufficient_data="Yes"),'Publication Bias Analysis'!BG:BG-('Publication Bias Analysis'!BJ$30+'Publication Bias Analysis'!BJ$31*'Publication Bias Analysis'!BF:BF),"")</f>
        <v>-0.13853571409261889</v>
      </c>
      <c r="JC2" s="24" t="s">
        <v>280</v>
      </c>
      <c r="JD2" s="2" t="s">
        <v>245</v>
      </c>
      <c r="JE2" s="2" t="s">
        <v>246</v>
      </c>
      <c r="JG2" s="142" t="s">
        <v>126</v>
      </c>
      <c r="JH2" s="74">
        <f t="shared" ref="JH2:JH33" si="98">IF(AND(Include_study?="Yes",Sufficient_data="Yes"),IF(AND(Additional_valid_options="No",Additional_model="Random effects"),NA(),Z_score),"")</f>
        <v>1.0099319260712911</v>
      </c>
      <c r="JI2" s="84">
        <f>IF(JH2&lt;&gt;"",1-NORMSDIST(ABS(JH2)),"")</f>
        <v>0.1562639527662012</v>
      </c>
      <c r="JJ2" s="34">
        <f>IF(JI2&lt;&gt;"",LN(MAX(10^-306,JI2)),"")</f>
        <v>-1.8562086966487412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50</v>
      </c>
      <c r="C3" s="6">
        <f>IF(AND(Include_study?="Yes",Sufficient_data="Yes"),IF(Input!b_&lt;&gt;"",Input!b_,Input!n1_-Input!a_),"")</f>
        <v>935</v>
      </c>
      <c r="D3" s="6">
        <f>IF(AND(Include_study?="Yes",Sufficient_data="Yes"),IF(Input!c_&lt;&gt;"",Input!c_,Input!n2_-Input!d_),"")</f>
        <v>47</v>
      </c>
      <c r="E3" s="6">
        <f>IF(AND(Include_study?="Yes",Sufficient_data="Yes"),IF(Input!d_&lt;&gt;"",Input!d_,Input!n2_-Input!c_),"")</f>
        <v>938</v>
      </c>
      <c r="F3" s="35" t="str">
        <f t="shared" si="1"/>
        <v>No</v>
      </c>
      <c r="H3" s="149"/>
      <c r="I3" s="144"/>
      <c r="J3" s="76">
        <f t="shared" si="2"/>
        <v>1.0672431448401412</v>
      </c>
      <c r="K3" s="3">
        <f t="shared" si="3"/>
        <v>6.507882343562521E-2</v>
      </c>
      <c r="L3" s="3">
        <f t="shared" si="4"/>
        <v>0.20835597553773649</v>
      </c>
      <c r="M3" s="3">
        <f t="shared" si="5"/>
        <v>0.70925320003371028</v>
      </c>
      <c r="N3" s="35">
        <f t="shared" si="6"/>
        <v>1.6059256837390912</v>
      </c>
      <c r="P3" s="142"/>
      <c r="Q3" s="76">
        <f t="shared" si="7"/>
        <v>1.0671868372200262</v>
      </c>
      <c r="R3" s="3">
        <f t="shared" si="8"/>
        <v>0.20820832862608654</v>
      </c>
      <c r="S3" s="3">
        <f t="shared" si="9"/>
        <v>0.70942117068266408</v>
      </c>
      <c r="T3" s="35">
        <f t="shared" si="10"/>
        <v>1.6053760341543655</v>
      </c>
      <c r="V3" s="142"/>
      <c r="W3" s="76">
        <f t="shared" si="11"/>
        <v>3.0456852791878181E-3</v>
      </c>
      <c r="X3" s="3">
        <f t="shared" si="12"/>
        <v>9.7493274009891693E-3</v>
      </c>
      <c r="Y3" s="3">
        <f t="shared" si="13"/>
        <v>-1.6074404465786344E-2</v>
      </c>
      <c r="Z3" s="35">
        <f t="shared" si="14"/>
        <v>2.216577502416198E-2</v>
      </c>
      <c r="AB3" s="142"/>
      <c r="AC3" s="76">
        <f t="shared" si="15"/>
        <v>1.0638297872340425</v>
      </c>
      <c r="AD3" s="3">
        <f t="shared" si="16"/>
        <v>6.1875403718087453E-2</v>
      </c>
      <c r="AE3" s="3">
        <f t="shared" si="17"/>
        <v>0.1981063827641325</v>
      </c>
      <c r="AF3" s="3">
        <f t="shared" si="18"/>
        <v>0.7213398324119018</v>
      </c>
      <c r="AG3" s="35">
        <f t="shared" si="19"/>
        <v>1.5689329291886129</v>
      </c>
      <c r="AI3" s="149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Quan et al.</v>
      </c>
      <c r="AN3" s="6">
        <f t="shared" si="21"/>
        <v>1970</v>
      </c>
      <c r="AO3" s="3">
        <f t="shared" si="22"/>
        <v>1.0672431448401412</v>
      </c>
      <c r="AP3" s="3">
        <f t="shared" si="23"/>
        <v>23.034992722981762</v>
      </c>
      <c r="AQ3" s="3">
        <f t="shared" si="24"/>
        <v>23.034992722981762</v>
      </c>
      <c r="AR3" s="3">
        <f t="shared" si="25"/>
        <v>0.20835597553773649</v>
      </c>
      <c r="AS3" s="3">
        <f t="shared" si="26"/>
        <v>0.70925320003371028</v>
      </c>
      <c r="AT3" s="3">
        <f t="shared" si="27"/>
        <v>1.6059256837390912</v>
      </c>
      <c r="AU3" s="80">
        <f t="shared" si="28"/>
        <v>6.2712104055303669E-2</v>
      </c>
      <c r="AW3" s="44">
        <f t="shared" si="29"/>
        <v>1.0672431448401412</v>
      </c>
      <c r="AX3" s="3">
        <f t="shared" si="30"/>
        <v>0.35798994480643087</v>
      </c>
      <c r="AY3" s="35">
        <f t="shared" si="31"/>
        <v>0.53868253889895001</v>
      </c>
      <c r="BA3" s="2" t="s">
        <v>281</v>
      </c>
      <c r="BB3" s="6">
        <f>IF(BB2&lt;&gt;"",MAX(Entry_number)+1,"")</f>
        <v>13</v>
      </c>
      <c r="BD3" s="149"/>
      <c r="BE3" s="144"/>
      <c r="BF3" s="3">
        <f t="shared" si="32"/>
        <v>6.507882343562521E-2</v>
      </c>
      <c r="BG3" s="3">
        <f t="shared" si="33"/>
        <v>0.20835597553773649</v>
      </c>
      <c r="BH3" s="3">
        <f t="shared" si="34"/>
        <v>23.034992722981762</v>
      </c>
      <c r="BI3" s="3">
        <f t="shared" ref="BI3:BI33" si="99">IF(Weightf&lt;&gt;"",1/(IF(Model_effect_size_measure="Odds Ratio",SELogOddsRatio,IF(Model_effect_size_measure="Risk Ratio",SELogRiskRatio,SERiskDifference))^2+T2_),"")</f>
        <v>23.034992722981762</v>
      </c>
      <c r="BJ3" s="35">
        <f t="shared" si="35"/>
        <v>-8.1955235576941371E-3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2.3339492108934184E-2</v>
      </c>
      <c r="BO3" s="142"/>
      <c r="BP3" s="3">
        <f t="shared" si="36"/>
        <v>23.80710659898477</v>
      </c>
      <c r="BQ3" s="3">
        <f t="shared" si="37"/>
        <v>22.30710659898477</v>
      </c>
      <c r="BR3" s="3">
        <f t="shared" si="38"/>
        <v>11.939807776546678</v>
      </c>
      <c r="BS3" s="3">
        <f>IF(AND(Sufficient_data="Yes",Include_study?="Yes"),IF(Add_0_5="Yes",(a_+d_+1)*(ab_+0.5)*(c_+0.5)/(Number_of_subjects+2)^2,(a_+d_)*b_*c_/Number_of_subjects^2),"")</f>
        <v>11.187523512587287</v>
      </c>
      <c r="BT3" s="3">
        <f t="shared" si="39"/>
        <v>11.867298822438094</v>
      </c>
      <c r="BU3" s="3">
        <f t="shared" si="40"/>
        <v>11.119583086397485</v>
      </c>
      <c r="BV3" s="3">
        <f t="shared" si="41"/>
        <v>22.30710659898477</v>
      </c>
      <c r="BW3" s="3">
        <f t="shared" si="42"/>
        <v>1.5807125728412026E-3</v>
      </c>
      <c r="BX3" s="3">
        <f t="shared" si="43"/>
        <v>23.034992722981762</v>
      </c>
      <c r="BY3" s="35">
        <f t="shared" si="44"/>
        <v>-8.1955235576942204E-3</v>
      </c>
      <c r="CA3" s="3" t="s">
        <v>282</v>
      </c>
      <c r="CB3" s="3">
        <f>IF(Meta_analysis_model="Fixed effect model",0.5*(SUM(BR:BR)/SUM(BP:BP)^2+(SUM(BS:BS)+SUM(BT:BT))/(SUM(BP:BP)*SUM(BQ:BQ))+SUM(BU:BU)/SUM(BQ:BQ)^2),SUMPRODUCT(Weight_MH,BY:BY,BY:BY)/((k_-1)*SUM(Weight_MH)))</f>
        <v>5.4473189190300112E-4</v>
      </c>
      <c r="CD3" s="142"/>
      <c r="CE3" s="76">
        <f t="shared" si="45"/>
        <v>48.5</v>
      </c>
      <c r="CF3" s="3">
        <f t="shared" si="46"/>
        <v>23.067673946165566</v>
      </c>
      <c r="CG3" s="3">
        <f t="shared" si="47"/>
        <v>6.5026062163902665E-2</v>
      </c>
      <c r="CH3" s="3">
        <f t="shared" si="48"/>
        <v>4.3350708109268443E-2</v>
      </c>
      <c r="CI3" s="3">
        <f t="shared" si="49"/>
        <v>23.067673946165566</v>
      </c>
      <c r="CJ3" s="3">
        <f t="shared" si="50"/>
        <v>23.067673946165566</v>
      </c>
      <c r="CK3" s="35">
        <f t="shared" si="51"/>
        <v>-8.266014404784805E-3</v>
      </c>
      <c r="CM3" s="3" t="s">
        <v>282</v>
      </c>
      <c r="CN3" s="3">
        <f>IF(Meta_analysis_model="Fixed effect model",1/SUM(Weightf_Peto),SUMPRODUCT(Weight_Peto,CK:CK,CK:CK)/((k_-1)*SUM(Weight_Peto)))</f>
        <v>5.4261352009832395E-4</v>
      </c>
      <c r="CP3" s="142"/>
      <c r="CQ3" s="52">
        <f t="shared" si="52"/>
        <v>4.7715736040609136E-2</v>
      </c>
      <c r="CS3" s="2" t="s">
        <v>283</v>
      </c>
      <c r="CT3" s="3">
        <f>IF(Weighting_method="Inverse variance",IF(Model_effect_size_measure="Odds Ratio",CES_IV,NA()),NA())</f>
        <v>1.0760257008399443</v>
      </c>
      <c r="CU3" s="3">
        <f>IF(Model_effect_size_measure="Odds Ratio",CES_OddsRatio_MH,NA())</f>
        <v>1.0760257008399443</v>
      </c>
      <c r="CV3" s="3" t="e">
        <f>IF(Model_effect_size_measure="Peto Odds Ratio",CES_PetoOddsRatio,NA())</f>
        <v>#N/A</v>
      </c>
      <c r="CX3" s="149"/>
      <c r="CY3" s="48">
        <f t="shared" si="53"/>
        <v>2</v>
      </c>
      <c r="CZ3" s="6" t="str">
        <f t="shared" si="54"/>
        <v>Quan et al.</v>
      </c>
      <c r="DA3" s="17" t="str">
        <f t="shared" si="55"/>
        <v>Audio</v>
      </c>
      <c r="DB3" s="3">
        <f t="shared" si="56"/>
        <v>6.507882343562521E-2</v>
      </c>
      <c r="DC3" s="3">
        <f t="shared" si="57"/>
        <v>0.20835597553773649</v>
      </c>
      <c r="DD3" s="3">
        <f t="shared" si="58"/>
        <v>23.034992722981762</v>
      </c>
      <c r="DE3" s="3">
        <f t="shared" si="59"/>
        <v>23.034992722981762</v>
      </c>
      <c r="DF3" s="80">
        <f t="shared" si="60"/>
        <v>0.43995657749041728</v>
      </c>
      <c r="DG3" s="3">
        <f t="shared" si="61"/>
        <v>1.0672431448401412</v>
      </c>
      <c r="DH3" s="3">
        <f t="shared" si="62"/>
        <v>0.7092532906123552</v>
      </c>
      <c r="DI3" s="3">
        <f t="shared" si="63"/>
        <v>1.6059254786465322</v>
      </c>
      <c r="DJ3" s="35">
        <f t="shared" si="64"/>
        <v>-6.8004325789565917E-2</v>
      </c>
      <c r="DL3" s="44">
        <f t="shared" si="65"/>
        <v>1.0672431448401412</v>
      </c>
      <c r="DM3" s="3">
        <f t="shared" ref="DM3:DM33" si="100">IF(AND(Include_study?="Yes",Sufficient_data="Yes",Subgroup&lt;&gt;""),IF(Subgroup_effect_size_measure="Risk Difference",DB3-DH3,DG3-DH3),NA())</f>
        <v>0.35798985422778595</v>
      </c>
      <c r="DN3" s="35">
        <f t="shared" ref="DN3:DN33" si="101">IF(AND(Include_study?="Yes",Sufficient_data="Yes",Subgroup&lt;&gt;""),IF(Subgroup_effect_size_measure="Risk Difference",DI3-DB3,DI3-DG3),NA())</f>
        <v>0.53868233380639108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2.7452515080899353E-2</v>
      </c>
      <c r="FA3" s="149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284</v>
      </c>
      <c r="FP3" s="3" t="str">
        <f>IF(SUM(Moderator)&lt;&gt;0,SUMPRODUCT(Moderator,FE:FE)/SUM(Calculations!FE:FE),"")</f>
        <v/>
      </c>
      <c r="FR3" s="149"/>
      <c r="FS3" s="144"/>
      <c r="FT3" s="76">
        <f>IF(AND(Include_study?="Yes",Sufficient_data="Yes"),IF(Additional_weighting_method="Inverse Variance",1/'Publication Bias Analysis'!F:F^2,IF(Additional_weighting_method="Mantel-Haenszel",Weightf_MH,Weightf_Peto)),"")</f>
        <v>23.034992722981762</v>
      </c>
      <c r="FU3" s="3">
        <f>IF(AND(Include_study?="Yes",Sufficient_data="Yes"),1/('Publication Bias Analysis'!F:F^2+IF(Additional_model="Fixed effect",0,Calculations!GH$12)),"")</f>
        <v>23.034992722981762</v>
      </c>
      <c r="FV3" s="3">
        <f>IF(AND(Include_study?="Yes",Sufficient_data="Yes"),1/('Publication Bias Analysis'!F:F^2+IF(Additional_model="Fixed effect",0,'Publication Bias Analysis'!L$32)),"")</f>
        <v>23.034992722981762</v>
      </c>
      <c r="FW3" s="3">
        <f>IF(AND(Include_study?="Yes",Sufficient_data="Yes"),'Publication Bias Analysis'!E:E-'Publication Bias Analysis'!I$37,"")</f>
        <v>-8.1955235576941371E-3</v>
      </c>
      <c r="FX3" s="3">
        <f>IF(AND(Include_study?="Yes",Sufficient_data="Yes"),IF(Additional_model="Fixed effect",1/'Publication Bias Analysis'!F:F,1/SQRT('Publication Bias Analysis'!F:F^2+GH$12)),"")</f>
        <v>4.799478380301526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0.31234440609474351</v>
      </c>
      <c r="FZ3" s="6">
        <f t="shared" si="80"/>
        <v>-2</v>
      </c>
      <c r="GA3" s="83">
        <f>IF(AND(Include_study?="Yes",Sufficient_data="Yes"),FZ:FZ+IF(GL:GL&lt;0,-1,1)*COUNTIF(FZ$2:FZ2,FZ:FZ),"")</f>
        <v>-2</v>
      </c>
      <c r="GB3" s="83">
        <f>IF(AND(Include_study?="Yes",Sufficient_data="Yes"),RANK(GP:GP,GP:GP,1)*IF(GO:GO&lt;0,-1,1)+IF(GO:GO&lt;0,-1,1)*COUNTIF(FZ$2:FZ2,FZ:FZ),"")</f>
        <v>-2</v>
      </c>
      <c r="GC3" s="83">
        <f>IF(AND(Include_study?="Yes",Sufficient_data="Yes"),RANK(GS:GS,GS:GS,1)*IF(GR:GR&lt;0,-1,1)+IF(GR:GR&lt;0,-1,1)*COUNTIF(FZ$2:FZ2,FZ:FZ),"")</f>
        <v>-2</v>
      </c>
      <c r="GD3" s="3">
        <f>IF(AND(Include_study?="Yes",Sufficient_data="Yes"),'Publication Bias Analysis'!E3,NA())</f>
        <v>6.507882343562521E-2</v>
      </c>
      <c r="GE3" s="35">
        <f>IF(AND(Include_study?="Yes",Sufficient_data="Yes"),'Publication Bias Analysis'!F3,NA())</f>
        <v>0.20835597553773649</v>
      </c>
      <c r="GG3" s="2" t="s">
        <v>285</v>
      </c>
      <c r="GH3" s="3">
        <f>IF(Additional_valid_options="Yes",IF(Trim_and_fill="Off",'Publication Bias Analysis'!I29,'Publication Bias Analysis'!I37)-ABS(TINV((1-Additional_confidence_level),k_-1))*GI3,"")</f>
        <v>-0.47703174521664993</v>
      </c>
      <c r="GI3" s="3">
        <f>IF(Trim_and_fill="Off",GH17,GH22)</f>
        <v>0.25002717064528379</v>
      </c>
      <c r="GK3" s="14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-8.1955235576941371E-3</v>
      </c>
      <c r="GM3" s="3">
        <f t="shared" si="81"/>
        <v>8.1955235576941371E-3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23.034992722981762</v>
      </c>
      <c r="GO3" s="3">
        <f>IF(AND(Include_study?="Yes",Sufficient_data="Yes"),IF('Publication Bias Analysis'!L$38="Left",'Publication Bias Analysis'!E:E-GW$3,GW$3-'Publication Bias Analysis'!E:E),"")</f>
        <v>-8.1955235576941371E-3</v>
      </c>
      <c r="GP3" s="3">
        <f t="shared" si="82"/>
        <v>8.1955235576941371E-3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23.034992722981762</v>
      </c>
      <c r="GR3" s="3">
        <f>IF(AND(Include_study?="Yes",Sufficient_data="Yes"),IF('Publication Bias Analysis'!L$38="Left",'Publication Bias Analysis'!E:E-GW$10,GW$10-'Publication Bias Analysis'!E:E),"")</f>
        <v>-8.1955235576941371E-3</v>
      </c>
      <c r="GS3" s="3">
        <f t="shared" si="83"/>
        <v>8.1955235576941371E-3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23.034992722981762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7.3274346993319348E-2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2"/>
      <c r="HL3" s="3">
        <f t="shared" si="89"/>
        <v>-0.72387517250948719</v>
      </c>
      <c r="HM3" s="35">
        <f>IF(AND(Include_study?="Yes",Sufficient_data="Yes"),Z_score-('Publication Bias Analysis'!P$3+'Publication Bias Analysis'!P$4*Inverse_standard_error),"")</f>
        <v>-0.65162861660754956</v>
      </c>
      <c r="HO3" s="142"/>
      <c r="HP3" s="3">
        <f>IF(AND(Include_study?="Yes",Sufficient_data="Yes"),(GD:GD-SUMPRODUCT(Calculations!FT:FT,'Publication Bias Analysis'!E:E)/SUM(Calculations!FT:FT))/SQRT(Calculations!HQ:HQ),"")</f>
        <v>-4.0628822737570486E-2</v>
      </c>
      <c r="HQ3" s="3">
        <f>IF(AND(Include_study?="Yes",Sufficient_data="Yes"),GE:GE^2-1/SUM(Calculations!FT:FT),"")</f>
        <v>4.0689741352059314E-2</v>
      </c>
      <c r="HR3" s="6">
        <f t="shared" si="90"/>
        <v>7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5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6</v>
      </c>
      <c r="HW3" s="142"/>
      <c r="HX3" s="20">
        <v>2</v>
      </c>
      <c r="HY3" s="3">
        <f t="shared" ref="HY3:HY10" si="123">HZ2</f>
        <v>-0.7</v>
      </c>
      <c r="HZ3" s="35">
        <f>HZ4-HY14</f>
        <v>-0.5</v>
      </c>
      <c r="IB3" s="142"/>
      <c r="IC3" s="76">
        <f t="shared" si="92"/>
        <v>5.0761421319796954E-2</v>
      </c>
      <c r="ID3" s="3">
        <f t="shared" si="93"/>
        <v>4.7715736040609136E-2</v>
      </c>
      <c r="IE3" s="3">
        <f t="shared" si="94"/>
        <v>25.480213550553135</v>
      </c>
      <c r="IF3" s="35">
        <f t="shared" si="95"/>
        <v>23.034992722981762</v>
      </c>
      <c r="IH3" s="3">
        <v>0</v>
      </c>
      <c r="II3" s="3">
        <v>0</v>
      </c>
      <c r="IK3" s="142"/>
      <c r="IL3" s="3">
        <f>IF(AND(Include_study?="Yes",Sufficient_data="Yes"),'Publication Bias Analysis'!AV:AV,NA())</f>
        <v>0.31234440609474351</v>
      </c>
      <c r="IM3" s="3">
        <f>IF(AND(Sufficient_data="Yes",Include_study?="Yes"),'Publication Bias Analysis'!AU:AU,NA())</f>
        <v>4.799478380301526</v>
      </c>
      <c r="IN3" s="3">
        <f t="shared" si="96"/>
        <v>-0.72387517250948719</v>
      </c>
      <c r="IO3" s="35">
        <f>IF(AND(Include_study?="Yes",Sufficient_data="Yes"),Z_score-('Publication Bias Analysis'!AY$30+'Publication Bias Analysis'!AY$31*Inverse_standard_error),"")</f>
        <v>-3.9334238130404819E-2</v>
      </c>
      <c r="IQ3" s="2" t="s">
        <v>101</v>
      </c>
      <c r="IR3" s="3">
        <v>0</v>
      </c>
      <c r="IS3" s="3">
        <v>0</v>
      </c>
      <c r="IU3" s="142"/>
      <c r="IV3" s="6">
        <f>IF('Publication Bias Analysis'!BG:BG&lt;&gt;"",RANK('Publication Bias Analysis'!BG:BG,'Publication Bias Analysis'!BG:BG,1)+COUNTIF('Publication Bias Analysis'!BG$2:BG2,'Publication Bias Analysis'!BG3),"")</f>
        <v>5</v>
      </c>
      <c r="IW3" s="3">
        <f t="shared" si="97"/>
        <v>0.3783783783783784</v>
      </c>
      <c r="IX3" s="3">
        <f>IF('Publication Bias Analysis'!BF3&lt;&gt;"",'Publication Bias Analysis'!BF3,NA())</f>
        <v>-0.30974253153853021</v>
      </c>
      <c r="IY3" s="3">
        <f>IF('Publication Bias Analysis'!BG3&lt;&gt;"",'Publication Bias Analysis'!BG3,NA())</f>
        <v>0.31234440609474351</v>
      </c>
      <c r="IZ3" s="3">
        <f>IF(AND(Include_study?="Yes",Sufficient_data="Yes"),'Publication Bias Analysis'!BF:BF-AVERAGE('Publication Bias Analysis'!BF:BF),"")</f>
        <v>-0.30974253153853004</v>
      </c>
      <c r="JA3" s="35">
        <f>IF(AND(Include_study?="Yes",Sufficient_data="Yes"),'Publication Bias Analysis'!BG:BG-('Publication Bias Analysis'!BJ$30+'Publication Bias Analysis'!BJ$31*'Publication Bias Analysis'!BF:BF),"")</f>
        <v>3.2830248390166294E-2</v>
      </c>
      <c r="JC3" s="2" t="s">
        <v>248</v>
      </c>
      <c r="JD3" s="3">
        <f>MIN('Publication Bias Analysis'!BF:BF)</f>
        <v>-1.6067550689692427</v>
      </c>
      <c r="JE3" s="3">
        <f>'Publication Bias Analysis'!BJ$30+JD3*'Publication Bias Analysis'!BJ$31</f>
        <v>-0.30856044301249419</v>
      </c>
      <c r="JG3" s="142"/>
      <c r="JH3" s="3">
        <f t="shared" si="98"/>
        <v>0.31234440609474351</v>
      </c>
      <c r="JI3" s="10">
        <f t="shared" ref="JI3:JI66" si="124">IF(JH3&lt;&gt;"",1-NORMSDIST(ABS(JH3)),"")</f>
        <v>0.37738939785354697</v>
      </c>
      <c r="JJ3" s="35">
        <f t="shared" ref="JJ3:JJ66" si="125">IF(JI3&lt;&gt;"",LN(MAX(10^-306,JI3)),"")</f>
        <v>-0.9744777390402064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78.099999999999994</v>
      </c>
      <c r="C4" s="6">
        <f>IF(AND(Include_study?="Yes",Sufficient_data="Yes"),IF(Input!b_&lt;&gt;"",Input!b_,Input!n1_-Input!a_),"")</f>
        <v>481.9</v>
      </c>
      <c r="D4" s="6">
        <f>IF(AND(Include_study?="Yes",Sufficient_data="Yes"),IF(Input!c_&lt;&gt;"",Input!c_,Input!n2_-Input!d_),"")</f>
        <v>78.3</v>
      </c>
      <c r="E4" s="6">
        <f>IF(AND(Include_study?="Yes",Sufficient_data="Yes"),IF(Input!d_&lt;&gt;"",Input!d_,Input!n2_-Input!c_),"")</f>
        <v>481.7</v>
      </c>
      <c r="F4" s="35" t="str">
        <f t="shared" si="1"/>
        <v>No</v>
      </c>
      <c r="H4" s="149"/>
      <c r="I4" s="144"/>
      <c r="J4" s="76">
        <f t="shared" si="2"/>
        <v>0.99703175780627817</v>
      </c>
      <c r="K4" s="3">
        <f t="shared" si="3"/>
        <v>-2.9726561612291179E-3</v>
      </c>
      <c r="L4" s="3">
        <f t="shared" si="4"/>
        <v>0.17241400642991001</v>
      </c>
      <c r="M4" s="3">
        <f t="shared" si="5"/>
        <v>0.71087111950827131</v>
      </c>
      <c r="N4" s="35">
        <f t="shared" si="6"/>
        <v>1.3983861473538319</v>
      </c>
      <c r="P4" s="142"/>
      <c r="Q4" s="76">
        <f t="shared" si="7"/>
        <v>0.99703440548354183</v>
      </c>
      <c r="R4" s="3">
        <f t="shared" si="8"/>
        <v>0.17233689695325194</v>
      </c>
      <c r="S4" s="3">
        <f t="shared" si="9"/>
        <v>0.71098056735578041</v>
      </c>
      <c r="T4" s="35">
        <f t="shared" si="10"/>
        <v>1.3981783066378455</v>
      </c>
      <c r="V4" s="142"/>
      <c r="W4" s="76">
        <f t="shared" si="11"/>
        <v>-3.5714285714286143E-4</v>
      </c>
      <c r="X4" s="3">
        <f t="shared" si="12"/>
        <v>2.0714271969559127E-2</v>
      </c>
      <c r="Y4" s="3">
        <f t="shared" si="13"/>
        <v>-4.1000370070391208E-2</v>
      </c>
      <c r="Z4" s="35">
        <f t="shared" si="14"/>
        <v>4.0286084356105485E-2</v>
      </c>
      <c r="AB4" s="142"/>
      <c r="AC4" s="76">
        <f t="shared" si="15"/>
        <v>0.99744572158365263</v>
      </c>
      <c r="AD4" s="3">
        <f t="shared" si="16"/>
        <v>-2.5575461511171205E-3</v>
      </c>
      <c r="AE4" s="3">
        <f t="shared" si="17"/>
        <v>0.14833765813659019</v>
      </c>
      <c r="AF4" s="3">
        <f t="shared" si="18"/>
        <v>0.74556787335992192</v>
      </c>
      <c r="AG4" s="35">
        <f t="shared" si="19"/>
        <v>1.3344163597366376</v>
      </c>
      <c r="AI4" s="149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Saffarayazdi et al.</v>
      </c>
      <c r="AN4" s="6">
        <f t="shared" si="21"/>
        <v>1120</v>
      </c>
      <c r="AO4" s="3">
        <f t="shared" si="22"/>
        <v>0.99703175780627817</v>
      </c>
      <c r="AP4" s="3">
        <f t="shared" si="23"/>
        <v>33.639916755049299</v>
      </c>
      <c r="AQ4" s="3">
        <f t="shared" si="24"/>
        <v>33.639916755049299</v>
      </c>
      <c r="AR4" s="3">
        <f t="shared" si="25"/>
        <v>0.17241400642991001</v>
      </c>
      <c r="AS4" s="3">
        <f t="shared" si="26"/>
        <v>0.71087111950827131</v>
      </c>
      <c r="AT4" s="3">
        <f t="shared" si="27"/>
        <v>1.3983861473538319</v>
      </c>
      <c r="AU4" s="80">
        <f t="shared" si="28"/>
        <v>9.1583704207106167E-2</v>
      </c>
      <c r="AW4" s="44">
        <f t="shared" si="29"/>
        <v>0.99703175780627817</v>
      </c>
      <c r="AX4" s="3">
        <f t="shared" si="30"/>
        <v>0.28616063829800686</v>
      </c>
      <c r="AY4" s="35">
        <f t="shared" si="31"/>
        <v>0.40135438954755376</v>
      </c>
      <c r="BA4" s="2" t="s">
        <v>286</v>
      </c>
      <c r="BB4" s="3">
        <f>'Forest Plot'!$B$16-CES_CI_Lower_limit</f>
        <v>5.3879565409454599E-2</v>
      </c>
      <c r="BD4" s="149"/>
      <c r="BE4" s="144"/>
      <c r="BF4" s="3">
        <f t="shared" si="32"/>
        <v>-2.9726561612291179E-3</v>
      </c>
      <c r="BG4" s="3">
        <f t="shared" si="33"/>
        <v>0.17241400642991001</v>
      </c>
      <c r="BH4" s="3">
        <f t="shared" si="34"/>
        <v>33.639916755049299</v>
      </c>
      <c r="BI4" s="3">
        <f t="shared" si="99"/>
        <v>33.639916755049299</v>
      </c>
      <c r="BJ4" s="35">
        <f t="shared" si="35"/>
        <v>-7.6247003154548465E-2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2.1904471217479314E-2</v>
      </c>
      <c r="BO4" s="142"/>
      <c r="BP4" s="3">
        <f t="shared" si="36"/>
        <v>33.589973214285713</v>
      </c>
      <c r="BQ4" s="3">
        <f t="shared" si="37"/>
        <v>33.689973214285715</v>
      </c>
      <c r="BR4" s="3">
        <f t="shared" si="38"/>
        <v>16.788988397640303</v>
      </c>
      <c r="BS4" s="3">
        <f>IF(AND(Sufficient_data="Yes",Include_study?="Yes"),IF(Add_0_5="Yes",(a_+d_+1)*(ab_+0.5)*(c_+0.5)/(Number_of_subjects+2)^2,(a_+d_)*b_*c_/Number_of_subjects^2),"")</f>
        <v>16.838970540497446</v>
      </c>
      <c r="BT4" s="3">
        <f t="shared" si="39"/>
        <v>16.800984816645403</v>
      </c>
      <c r="BU4" s="3">
        <f t="shared" si="40"/>
        <v>16.851002673788258</v>
      </c>
      <c r="BV4" s="3">
        <f t="shared" si="41"/>
        <v>33.689973214285715</v>
      </c>
      <c r="BW4" s="3">
        <f t="shared" si="42"/>
        <v>0.19602259012756515</v>
      </c>
      <c r="BX4" s="3">
        <f t="shared" si="43"/>
        <v>33.639916755049299</v>
      </c>
      <c r="BY4" s="35">
        <f t="shared" si="44"/>
        <v>-7.6247003154548548E-2</v>
      </c>
      <c r="CA4" s="3" t="s">
        <v>287</v>
      </c>
      <c r="CB4" s="3">
        <f>SQRT(VarlnCES_MH)</f>
        <v>2.3339492108934184E-2</v>
      </c>
      <c r="CD4" s="142"/>
      <c r="CE4" s="76">
        <f t="shared" si="45"/>
        <v>78.199999999999989</v>
      </c>
      <c r="CF4" s="3">
        <f t="shared" si="46"/>
        <v>33.670026809651461</v>
      </c>
      <c r="CG4" s="3">
        <f t="shared" si="47"/>
        <v>-2.9700006051474087E-3</v>
      </c>
      <c r="CH4" s="3">
        <f t="shared" si="48"/>
        <v>2.9700006051475776E-2</v>
      </c>
      <c r="CI4" s="3">
        <f t="shared" si="49"/>
        <v>33.670026809651461</v>
      </c>
      <c r="CJ4" s="3">
        <f t="shared" si="50"/>
        <v>33.670026809651461</v>
      </c>
      <c r="CK4" s="35">
        <f t="shared" si="51"/>
        <v>-7.6262077173834875E-2</v>
      </c>
      <c r="CM4" s="3" t="s">
        <v>287</v>
      </c>
      <c r="CN4" s="3">
        <f>SQRT(VarlnCES_Peto)</f>
        <v>2.3294066199320462E-2</v>
      </c>
      <c r="CP4" s="142"/>
      <c r="CQ4" s="52">
        <f t="shared" si="52"/>
        <v>0.13982142857142857</v>
      </c>
      <c r="CS4" s="2" t="s">
        <v>97</v>
      </c>
      <c r="CT4" s="3">
        <f>IF(Weighting_method="Inverse variance",IF(Model_effect_size_measure="Odds Ratio",CICES_LL,""),"")</f>
        <v>1.0221461354304897</v>
      </c>
      <c r="CU4" s="3">
        <f>IF(Model_effect_size_measure="Odds Ratio",CICES_LL_MH,"")</f>
        <v>1.0221461354304897</v>
      </c>
      <c r="CV4" s="3" t="str">
        <f>IF(Model_effect_size_measure="Peto Odds Ratio",CICES_LL_Peto,"")</f>
        <v/>
      </c>
      <c r="CX4" s="149"/>
      <c r="CY4" s="48">
        <f t="shared" si="53"/>
        <v>4</v>
      </c>
      <c r="CZ4" s="6" t="str">
        <f t="shared" si="54"/>
        <v>Saffarayazdi et al.</v>
      </c>
      <c r="DA4" s="17" t="str">
        <f t="shared" si="55"/>
        <v>Multimodal</v>
      </c>
      <c r="DB4" s="3">
        <f t="shared" si="56"/>
        <v>-2.9726561612291179E-3</v>
      </c>
      <c r="DC4" s="3">
        <f t="shared" si="57"/>
        <v>0.17241400642991001</v>
      </c>
      <c r="DD4" s="3">
        <f t="shared" si="58"/>
        <v>33.639916755049299</v>
      </c>
      <c r="DE4" s="3">
        <f t="shared" si="59"/>
        <v>33.639916755049299</v>
      </c>
      <c r="DF4" s="80">
        <f t="shared" si="60"/>
        <v>0.10680833224660498</v>
      </c>
      <c r="DG4" s="3">
        <f t="shared" si="61"/>
        <v>0.99703175780627817</v>
      </c>
      <c r="DH4" s="3">
        <f t="shared" si="62"/>
        <v>0.71087135241392463</v>
      </c>
      <c r="DI4" s="3">
        <f t="shared" si="63"/>
        <v>1.3983856891949287</v>
      </c>
      <c r="DJ4" s="35">
        <f t="shared" si="64"/>
        <v>-6.6304549141015121E-2</v>
      </c>
      <c r="DL4" s="44">
        <f t="shared" si="65"/>
        <v>0.99703175780627817</v>
      </c>
      <c r="DM4" s="3">
        <f t="shared" si="100"/>
        <v>0.28616040539235355</v>
      </c>
      <c r="DN4" s="35">
        <f t="shared" si="101"/>
        <v>0.4013539313886505</v>
      </c>
      <c r="DP4" s="48">
        <f t="shared" si="102"/>
        <v>14</v>
      </c>
      <c r="DQ4" s="17" t="str">
        <f>IF(AND(Sufficient_data="Yes",Subgroup&lt;&gt;""),IF(COUNTIFS(Input!J$2:J3,"="&amp;"Yes",Input!C$2:C3,"="&amp;"Yes",Input!K$2:K3,"="&amp;Subgroup)&gt;0,"",Subgroup),"")</f>
        <v>Multimodal</v>
      </c>
      <c r="DR4" s="6">
        <f t="shared" si="103"/>
        <v>2</v>
      </c>
      <c r="DS4" s="6">
        <f t="shared" si="66"/>
        <v>10</v>
      </c>
      <c r="DT4" s="3">
        <f t="shared" si="67"/>
        <v>1.792326042036833</v>
      </c>
      <c r="DU4" s="10">
        <f t="shared" si="104"/>
        <v>0.99434218547394326</v>
      </c>
      <c r="DV4" s="9">
        <f t="shared" si="105"/>
        <v>0</v>
      </c>
      <c r="DW4" s="10">
        <f t="shared" si="68"/>
        <v>283.21774311539662</v>
      </c>
      <c r="DX4" s="3">
        <f t="shared" si="69"/>
        <v>0</v>
      </c>
      <c r="DY4" s="3">
        <f t="shared" si="106"/>
        <v>0</v>
      </c>
      <c r="DZ4" s="3">
        <f t="shared" si="70"/>
        <v>6.3331892979786003E-2</v>
      </c>
      <c r="EA4" s="3">
        <f t="shared" si="71"/>
        <v>2.5145620884937221E-2</v>
      </c>
      <c r="EB4" s="6">
        <f t="shared" si="72"/>
        <v>12900</v>
      </c>
      <c r="EC4" s="3">
        <f t="shared" si="107"/>
        <v>6.448546581917132E-3</v>
      </c>
      <c r="ED4" s="3">
        <f t="shared" si="108"/>
        <v>0.12021523937765488</v>
      </c>
      <c r="EE4" s="3">
        <f t="shared" si="109"/>
        <v>1.065380372826944</v>
      </c>
      <c r="EF4" s="3">
        <f t="shared" si="110"/>
        <v>1.0064693832230316</v>
      </c>
      <c r="EG4" s="3">
        <f t="shared" si="111"/>
        <v>1.1277395594192225</v>
      </c>
      <c r="EH4" s="3">
        <f t="shared" si="112"/>
        <v>5.8910989603912389E-2</v>
      </c>
      <c r="EI4" s="3">
        <f t="shared" si="113"/>
        <v>6.235918659227857E-2</v>
      </c>
      <c r="EJ4" s="3">
        <f t="shared" si="114"/>
        <v>6.448546581917132E-3</v>
      </c>
      <c r="EK4" s="3">
        <f t="shared" si="73"/>
        <v>0.12021523937765488</v>
      </c>
      <c r="EL4" s="3">
        <f t="shared" si="115"/>
        <v>1.0064693832230316</v>
      </c>
      <c r="EM4" s="3">
        <f t="shared" si="116"/>
        <v>1.1277395594192225</v>
      </c>
      <c r="EN4" s="3">
        <f t="shared" si="117"/>
        <v>5.8910989603912389E-2</v>
      </c>
      <c r="EO4" s="3">
        <f t="shared" si="118"/>
        <v>6.235918659227857E-2</v>
      </c>
      <c r="EP4" s="3">
        <f t="shared" si="74"/>
        <v>1.792326042036833</v>
      </c>
      <c r="EQ4" s="3">
        <f t="shared" si="119"/>
        <v>1.065380372826944</v>
      </c>
      <c r="ER4" s="9">
        <f t="shared" si="120"/>
        <v>0.80837779435676937</v>
      </c>
      <c r="ES4" s="3">
        <f t="shared" si="121"/>
        <v>1581.5221288424445</v>
      </c>
      <c r="ET4" s="3">
        <f t="shared" si="122"/>
        <v>1072.6303907093854</v>
      </c>
      <c r="EU4" s="3">
        <f t="shared" si="75"/>
        <v>0.1916222056432306</v>
      </c>
      <c r="EV4" s="35">
        <f t="shared" si="76"/>
        <v>-1.3365889568130701E-2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1.6275204247665327E-2</v>
      </c>
      <c r="FA4" s="149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49"/>
      <c r="FS4" s="144"/>
      <c r="FT4" s="76">
        <f>IF(AND(Include_study?="Yes",Sufficient_data="Yes"),IF(Additional_weighting_method="Inverse Variance",1/'Publication Bias Analysis'!F:F^2,IF(Additional_weighting_method="Mantel-Haenszel",Weightf_MH,Weightf_Peto)),"")</f>
        <v>33.639916755049299</v>
      </c>
      <c r="FU4" s="3">
        <f>IF(AND(Include_study?="Yes",Sufficient_data="Yes"),1/('Publication Bias Analysis'!F:F^2+IF(Additional_model="Fixed effect",0,Calculations!GH$12)),"")</f>
        <v>33.639916755049299</v>
      </c>
      <c r="FV4" s="3">
        <f>IF(AND(Include_study?="Yes",Sufficient_data="Yes"),1/('Publication Bias Analysis'!F:F^2+IF(Additional_model="Fixed effect",0,'Publication Bias Analysis'!L$32)),"")</f>
        <v>33.639916755049299</v>
      </c>
      <c r="FW4" s="3">
        <f>IF(AND(Include_study?="Yes",Sufficient_data="Yes"),'Publication Bias Analysis'!E:E-'Publication Bias Analysis'!I$37,"")</f>
        <v>-7.6247003154548465E-2</v>
      </c>
      <c r="FX4" s="3">
        <f>IF(AND(Include_study?="Yes",Sufficient_data="Yes"),IF(Additional_model="Fixed effect",1/'Publication Bias Analysis'!F:F,1/SQRT('Publication Bias Analysis'!F:F^2+GH$12)),"")</f>
        <v>5.7999928237067069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-1.7241384402476412E-2</v>
      </c>
      <c r="FZ4" s="6">
        <f t="shared" si="80"/>
        <v>-7</v>
      </c>
      <c r="GA4" s="83">
        <f>IF(AND(Include_study?="Yes",Sufficient_data="Yes"),FZ:FZ+IF(GL:GL&lt;0,-1,1)*COUNTIF(FZ$2:FZ3,FZ:FZ),"")</f>
        <v>-7</v>
      </c>
      <c r="GB4" s="83">
        <f>IF(AND(Include_study?="Yes",Sufficient_data="Yes"),RANK(GP:GP,GP:GP,1)*IF(GO:GO&lt;0,-1,1)+IF(GO:GO&lt;0,-1,1)*COUNTIF(FZ$2:FZ3,FZ:FZ),"")</f>
        <v>-7</v>
      </c>
      <c r="GC4" s="83">
        <f>IF(AND(Include_study?="Yes",Sufficient_data="Yes"),RANK(GS:GS,GS:GS,1)*IF(GR:GR&lt;0,-1,1)+IF(GR:GR&lt;0,-1,1)*COUNTIF(FZ$2:FZ3,FZ:FZ),"")</f>
        <v>-7</v>
      </c>
      <c r="GD4" s="3">
        <f>IF(AND(Include_study?="Yes",Sufficient_data="Yes"),'Publication Bias Analysis'!E4,NA())</f>
        <v>-2.9726561612291179E-3</v>
      </c>
      <c r="GE4" s="35">
        <f>IF(AND(Include_study?="Yes",Sufficient_data="Yes"),'Publication Bias Analysis'!F4,NA())</f>
        <v>0.17241400642991001</v>
      </c>
      <c r="GG4" s="2" t="s">
        <v>279</v>
      </c>
      <c r="GH4" s="3">
        <f>IF(Trim_and_fill="Off",'Publication Bias Analysis'!I29,'Publication Bias Analysis'!I37)</f>
        <v>7.3274346993319348E-2</v>
      </c>
      <c r="GI4" s="3">
        <v>0</v>
      </c>
      <c r="GK4" s="142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-7.6247003154548465E-2</v>
      </c>
      <c r="GM4" s="3">
        <f t="shared" si="81"/>
        <v>7.6247003154548465E-2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33.639916755049299</v>
      </c>
      <c r="GO4" s="3">
        <f>IF(AND(Include_study?="Yes",Sufficient_data="Yes"),IF('Publication Bias Analysis'!L$38="Left",'Publication Bias Analysis'!E:E-GW$3,GW$3-'Publication Bias Analysis'!E:E),"")</f>
        <v>-7.6247003154548465E-2</v>
      </c>
      <c r="GP4" s="3">
        <f t="shared" si="82"/>
        <v>7.6247003154548465E-2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33.639916755049299</v>
      </c>
      <c r="GR4" s="3">
        <f>IF(AND(Include_study?="Yes",Sufficient_data="Yes"),IF('Publication Bias Analysis'!L$38="Left",'Publication Bias Analysis'!E:E-GW$10,GW$10-'Publication Bias Analysis'!E:E),"")</f>
        <v>-7.6247003154548465E-2</v>
      </c>
      <c r="GS4" s="3">
        <f t="shared" si="83"/>
        <v>7.6247003154548465E-2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33.639916755049299</v>
      </c>
      <c r="GV4" s="128" t="s">
        <v>59</v>
      </c>
      <c r="GW4" s="12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2"/>
      <c r="HL4" s="3">
        <f t="shared" si="89"/>
        <v>0.27663927089569373</v>
      </c>
      <c r="HM4" s="35">
        <f>IF(AND(Include_study?="Yes",Sufficient_data="Yes"),Z_score-('Publication Bias Analysis'!P$3+'Publication Bias Analysis'!P$4*Inverse_standard_error),"")</f>
        <v>-0.22929016380647577</v>
      </c>
      <c r="HO4" s="142"/>
      <c r="HP4" s="3">
        <f>IF(AND(Include_study?="Yes",Sufficient_data="Yes"),(GD:GD-SUMPRODUCT(Calculations!FT:FT,'Publication Bias Analysis'!E:E)/SUM(Calculations!FT:FT))/SQRT(Calculations!HQ:HQ),"")</f>
        <v>-0.46398909836004049</v>
      </c>
      <c r="HQ4" s="3">
        <f>IF(AND(Include_study?="Yes",Sufficient_data="Yes"),GE:GE^2-1/SUM(Calculations!FT:FT),"")</f>
        <v>2.7004118422990511E-2</v>
      </c>
      <c r="HR4" s="6">
        <f t="shared" si="90"/>
        <v>10</v>
      </c>
      <c r="HS4" s="6">
        <f t="shared" si="91"/>
        <v>8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9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42"/>
      <c r="HX4" s="20">
        <v>3</v>
      </c>
      <c r="HY4" s="3">
        <f t="shared" si="123"/>
        <v>-0.5</v>
      </c>
      <c r="HZ4" s="35">
        <f>HZ5-HY14</f>
        <v>-0.30000000000000004</v>
      </c>
      <c r="IB4" s="142"/>
      <c r="IC4" s="76">
        <f t="shared" si="92"/>
        <v>0.13946428571428571</v>
      </c>
      <c r="ID4" s="3">
        <f t="shared" si="93"/>
        <v>0.13982142857142857</v>
      </c>
      <c r="IE4" s="3">
        <f t="shared" si="94"/>
        <v>45.446156875974246</v>
      </c>
      <c r="IF4" s="35">
        <f t="shared" si="95"/>
        <v>33.639916755049299</v>
      </c>
      <c r="IH4" s="3">
        <f>MAX('Publication Bias Analysis'!AH:AH)</f>
        <v>0.14482142857142857</v>
      </c>
      <c r="II4" s="3">
        <f>MAX('Publication Bias Analysis'!AH:AH)</f>
        <v>0.14482142857142857</v>
      </c>
      <c r="IK4" s="142"/>
      <c r="IL4" s="3">
        <f>IF(AND(Include_study?="Yes",Sufficient_data="Yes"),'Publication Bias Analysis'!AV:AV,NA())</f>
        <v>-1.7241384402476412E-2</v>
      </c>
      <c r="IM4" s="3">
        <f>IF(AND(Sufficient_data="Yes",Include_study?="Yes"),'Publication Bias Analysis'!AU:AU,NA())</f>
        <v>5.7999928237067069</v>
      </c>
      <c r="IN4" s="3">
        <f t="shared" si="96"/>
        <v>0.27663927089569373</v>
      </c>
      <c r="IO4" s="35">
        <f>IF(AND(Include_study?="Yes",Sufficient_data="Yes"),Z_score-('Publication Bias Analysis'!AY$30+'Publication Bias Analysis'!AY$31*Inverse_standard_error),"")</f>
        <v>-0.44223207112552376</v>
      </c>
      <c r="IQ4" s="2" t="s">
        <v>288</v>
      </c>
      <c r="IR4" s="3">
        <f>MAX(Inverse_standard_error)</f>
        <v>5.8673829721948012</v>
      </c>
      <c r="IS4" s="3">
        <f>IR4*'Publication Bias Analysis'!AY31</f>
        <v>0.42992865584729528</v>
      </c>
      <c r="IU4" s="142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0.2162162162162162</v>
      </c>
      <c r="IX4" s="3">
        <f>IF('Publication Bias Analysis'!BF4&lt;&gt;"",'Publication Bias Analysis'!BF4,NA())</f>
        <v>-0.78503604987689179</v>
      </c>
      <c r="IY4" s="3">
        <f>IF('Publication Bias Analysis'!BG4&lt;&gt;"",'Publication Bias Analysis'!BG4,NA())</f>
        <v>-1.7241384402476412E-2</v>
      </c>
      <c r="IZ4" s="3">
        <f>IF(AND(Include_study?="Yes",Sufficient_data="Yes"),'Publication Bias Analysis'!BF:BF-AVERAGE('Publication Bias Analysis'!BF:BF),"")</f>
        <v>-0.78503604987689168</v>
      </c>
      <c r="JA4" s="35">
        <f>IF(AND(Include_study?="Yes",Sufficient_data="Yes"),'Publication Bias Analysis'!BG:BG-('Publication Bias Analysis'!BJ$30+'Publication Bias Analysis'!BJ$31*'Publication Bias Analysis'!BF:BF),"")</f>
        <v>-8.1254120221086967E-2</v>
      </c>
      <c r="JC4" s="2" t="s">
        <v>249</v>
      </c>
      <c r="JD4" s="3">
        <f>MAX('Publication Bias Analysis'!BF:BF)</f>
        <v>1.6067550689692418</v>
      </c>
      <c r="JE4" s="3">
        <f>'Publication Bias Analysis'!BJ$30+JD4*'Publication Bias Analysis'!BJ$31</f>
        <v>1.14846764016391</v>
      </c>
      <c r="JG4" s="142"/>
      <c r="JH4" s="3">
        <f t="shared" si="98"/>
        <v>-1.7241384402476412E-2</v>
      </c>
      <c r="JI4" s="10">
        <f t="shared" si="124"/>
        <v>0.49312202355488322</v>
      </c>
      <c r="JJ4" s="35">
        <f t="shared" si="125"/>
        <v>-0.70699862328384788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67.599999999999994</v>
      </c>
      <c r="C5" s="6">
        <f>IF(AND(Include_study?="Yes",Sufficient_data="Yes"),IF(Input!b_&lt;&gt;"",Input!b_,Input!n1_-Input!a_),"")</f>
        <v>492.4</v>
      </c>
      <c r="D5" s="6">
        <f>IF(AND(Include_study?="Yes",Sufficient_data="Yes"),IF(Input!c_&lt;&gt;"",Input!c_,Input!n2_-Input!d_),"")</f>
        <v>57.5</v>
      </c>
      <c r="E5" s="6">
        <f>IF(AND(Include_study?="Yes",Sufficient_data="Yes"),IF(Input!d_&lt;&gt;"",Input!d_,Input!n2_-Input!c_),"")</f>
        <v>502.5</v>
      </c>
      <c r="F5" s="35" t="str">
        <f t="shared" si="1"/>
        <v>No</v>
      </c>
      <c r="H5" s="149"/>
      <c r="I5" s="144"/>
      <c r="J5" s="76">
        <f t="shared" si="2"/>
        <v>1.1997668915339244</v>
      </c>
      <c r="K5" s="3">
        <f t="shared" si="3"/>
        <v>0.18212728086854602</v>
      </c>
      <c r="L5" s="3">
        <f t="shared" si="4"/>
        <v>0.19027643763581617</v>
      </c>
      <c r="M5" s="3">
        <f t="shared" si="5"/>
        <v>0.8259575827454062</v>
      </c>
      <c r="N5" s="35">
        <f t="shared" si="6"/>
        <v>1.7427536523563458</v>
      </c>
      <c r="P5" s="142"/>
      <c r="Q5" s="76">
        <f t="shared" si="7"/>
        <v>1.199148921265111</v>
      </c>
      <c r="R5" s="3">
        <f t="shared" si="8"/>
        <v>0.18963856862734227</v>
      </c>
      <c r="S5" s="3">
        <f t="shared" si="9"/>
        <v>0.82656599830194089</v>
      </c>
      <c r="T5" s="35">
        <f t="shared" si="10"/>
        <v>1.7396773377145374</v>
      </c>
      <c r="V5" s="142"/>
      <c r="W5" s="76">
        <f t="shared" si="11"/>
        <v>1.803571428571428E-2</v>
      </c>
      <c r="X5" s="3">
        <f t="shared" si="12"/>
        <v>1.8816692311080695E-2</v>
      </c>
      <c r="Y5" s="3">
        <f t="shared" si="13"/>
        <v>-1.8884294398390726E-2</v>
      </c>
      <c r="Z5" s="35">
        <f t="shared" si="14"/>
        <v>5.4955722969819286E-2</v>
      </c>
      <c r="AB5" s="142"/>
      <c r="AC5" s="76">
        <f t="shared" si="15"/>
        <v>1.1756521739130434</v>
      </c>
      <c r="AD5" s="3">
        <f t="shared" si="16"/>
        <v>0.16182303524561362</v>
      </c>
      <c r="AE5" s="3">
        <f t="shared" si="17"/>
        <v>0.16915311166124478</v>
      </c>
      <c r="AF5" s="3">
        <f t="shared" si="18"/>
        <v>0.84360552778182751</v>
      </c>
      <c r="AG5" s="35">
        <f t="shared" si="19"/>
        <v>1.6383937616680926</v>
      </c>
      <c r="AI5" s="149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Saffarayazdi et al.</v>
      </c>
      <c r="AN5" s="6">
        <f t="shared" si="21"/>
        <v>1120</v>
      </c>
      <c r="AO5" s="3">
        <f t="shared" si="22"/>
        <v>1.1997668915339244</v>
      </c>
      <c r="AP5" s="3">
        <f t="shared" si="23"/>
        <v>27.620400785571967</v>
      </c>
      <c r="AQ5" s="3">
        <f t="shared" si="24"/>
        <v>27.620400785571967</v>
      </c>
      <c r="AR5" s="3">
        <f t="shared" si="25"/>
        <v>0.19027643763581617</v>
      </c>
      <c r="AS5" s="3">
        <f t="shared" si="26"/>
        <v>0.8259575827454062</v>
      </c>
      <c r="AT5" s="3">
        <f t="shared" si="27"/>
        <v>1.7427536523563458</v>
      </c>
      <c r="AU5" s="80">
        <f t="shared" si="28"/>
        <v>7.5195745401119632E-2</v>
      </c>
      <c r="AW5" s="44">
        <f t="shared" si="29"/>
        <v>1.1997668915339244</v>
      </c>
      <c r="AX5" s="3">
        <f t="shared" si="30"/>
        <v>0.37380930878851815</v>
      </c>
      <c r="AY5" s="35">
        <f t="shared" si="31"/>
        <v>0.54298676082242148</v>
      </c>
      <c r="BA5" s="2" t="s">
        <v>289</v>
      </c>
      <c r="BB5" s="3">
        <f>CES_CI_Upper_limit-'Forest Plot'!$B$16</f>
        <v>5.6719675515128465E-2</v>
      </c>
      <c r="BD5" s="149"/>
      <c r="BE5" s="144"/>
      <c r="BF5" s="3">
        <f t="shared" si="32"/>
        <v>0.18212728086854602</v>
      </c>
      <c r="BG5" s="3">
        <f t="shared" si="33"/>
        <v>0.19027643763581617</v>
      </c>
      <c r="BH5" s="3">
        <f t="shared" si="34"/>
        <v>27.620400785571967</v>
      </c>
      <c r="BI5" s="3">
        <f t="shared" si="99"/>
        <v>27.620400785571967</v>
      </c>
      <c r="BJ5" s="35">
        <f t="shared" si="35"/>
        <v>0.10885293387522667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0.12464422276915937</v>
      </c>
      <c r="BO5" s="142"/>
      <c r="BP5" s="3">
        <f t="shared" si="36"/>
        <v>30.329464285714284</v>
      </c>
      <c r="BQ5" s="3">
        <f t="shared" si="37"/>
        <v>25.279464285714287</v>
      </c>
      <c r="BR5" s="3">
        <f t="shared" si="38"/>
        <v>15.438238919005101</v>
      </c>
      <c r="BS5" s="3">
        <f>IF(AND(Sufficient_data="Yes",Include_study?="Yes"),IF(Add_0_5="Yes",(a_+d_+1)*(ab_+0.5)*(c_+0.5)/(Number_of_subjects+2)^2,(a_+d_)*b_*c_/Number_of_subjects^2),"")</f>
        <v>12.867698740433672</v>
      </c>
      <c r="BT5" s="3">
        <f t="shared" si="39"/>
        <v>14.891225366709183</v>
      </c>
      <c r="BU5" s="3">
        <f t="shared" si="40"/>
        <v>12.411765545280611</v>
      </c>
      <c r="BV5" s="3">
        <f t="shared" si="41"/>
        <v>25.279464285714287</v>
      </c>
      <c r="BW5" s="3">
        <f t="shared" si="42"/>
        <v>0.32674213376864025</v>
      </c>
      <c r="BX5" s="3">
        <f t="shared" si="43"/>
        <v>27.620400785571967</v>
      </c>
      <c r="BY5" s="35">
        <f t="shared" si="44"/>
        <v>0.10885293387522658</v>
      </c>
      <c r="CA5" s="3" t="s">
        <v>290</v>
      </c>
      <c r="CB5" s="3">
        <f>lnCES_OddsRatio_MH-ABS(TINV((1-Confidence_level),k_-1))*SElnCES_MH</f>
        <v>2.1904471217479397E-2</v>
      </c>
      <c r="CD5" s="142"/>
      <c r="CE5" s="76">
        <f t="shared" si="45"/>
        <v>62.55</v>
      </c>
      <c r="CF5" s="3">
        <f t="shared" si="46"/>
        <v>27.806521447721181</v>
      </c>
      <c r="CG5" s="3">
        <f t="shared" si="47"/>
        <v>0.18161207289068723</v>
      </c>
      <c r="CH5" s="3">
        <f t="shared" si="48"/>
        <v>3.5962786711027199E-2</v>
      </c>
      <c r="CI5" s="3">
        <f t="shared" si="49"/>
        <v>27.806521447721181</v>
      </c>
      <c r="CJ5" s="3">
        <f t="shared" si="50"/>
        <v>27.806521447721178</v>
      </c>
      <c r="CK5" s="35">
        <f t="shared" si="51"/>
        <v>0.10831999632199976</v>
      </c>
      <c r="CM5" s="3" t="s">
        <v>290</v>
      </c>
      <c r="CN5" s="3">
        <f>lnCES_PetoOddsRatio-ABS(TINV((1-Confidence_level),k_-1))*SElnCES_Peto</f>
        <v>2.20221825457909E-2</v>
      </c>
      <c r="CP5" s="142"/>
      <c r="CQ5" s="52">
        <f t="shared" si="52"/>
        <v>0.10267857142857142</v>
      </c>
      <c r="CS5" s="2" t="s">
        <v>98</v>
      </c>
      <c r="CT5" s="3">
        <f>IF(Weighting_method="Inverse variance",IF(Model_effect_size_measure="Odds Ratio",CICES_UL,""),"")</f>
        <v>1.1327453763550728</v>
      </c>
      <c r="CU5" s="3">
        <f>IF(Model_effect_size_measure="Odds Ratio",CICES_UL_MH,"")</f>
        <v>1.1327453763550728</v>
      </c>
      <c r="CV5" s="3" t="str">
        <f>IF(Model_effect_size_measure="Peto Odds Ratio",CICES_UL_Peto,"")</f>
        <v/>
      </c>
      <c r="CX5" s="149"/>
      <c r="CY5" s="48">
        <f t="shared" si="53"/>
        <v>5</v>
      </c>
      <c r="CZ5" s="6" t="str">
        <f t="shared" si="54"/>
        <v>Saffarayazdi et al.</v>
      </c>
      <c r="DA5" s="17" t="str">
        <f t="shared" si="55"/>
        <v>Multimodal</v>
      </c>
      <c r="DB5" s="3">
        <f t="shared" si="56"/>
        <v>0.18212728086854602</v>
      </c>
      <c r="DC5" s="3">
        <f t="shared" si="57"/>
        <v>0.19027643763581617</v>
      </c>
      <c r="DD5" s="3">
        <f t="shared" si="58"/>
        <v>27.620400785571967</v>
      </c>
      <c r="DE5" s="3">
        <f t="shared" si="59"/>
        <v>27.620400785571967</v>
      </c>
      <c r="DF5" s="80">
        <f t="shared" si="60"/>
        <v>8.7696083357487978E-2</v>
      </c>
      <c r="DG5" s="3">
        <f t="shared" si="61"/>
        <v>1.1997668915339244</v>
      </c>
      <c r="DH5" s="3">
        <f t="shared" si="62"/>
        <v>0.82595788139324744</v>
      </c>
      <c r="DI5" s="3">
        <f t="shared" si="63"/>
        <v>1.7427530222157201</v>
      </c>
      <c r="DJ5" s="35">
        <f t="shared" si="64"/>
        <v>0.11879538788876001</v>
      </c>
      <c r="DL5" s="44">
        <f t="shared" si="65"/>
        <v>1.1997668915339244</v>
      </c>
      <c r="DM5" s="3">
        <f t="shared" si="100"/>
        <v>0.37380901014067691</v>
      </c>
      <c r="DN5" s="35">
        <f t="shared" si="101"/>
        <v>0.5429861306817958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0.13712036084816809</v>
      </c>
      <c r="FA5" s="149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49"/>
      <c r="FS5" s="144"/>
      <c r="FT5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5" s="3">
        <f>IF(AND(Include_study?="Yes",Sufficient_data="Yes"),1/('Publication Bias Analysis'!F:F^2+IF(Additional_model="Fixed effect",0,Calculations!GH$12)),"")</f>
        <v>27.620400785571967</v>
      </c>
      <c r="FV5" s="3">
        <f>IF(AND(Include_study?="Yes",Sufficient_data="Yes"),1/('Publication Bias Analysis'!F:F^2+IF(Additional_model="Fixed effect",0,'Publication Bias Analysis'!L$32)),"")</f>
        <v>27.620400785571967</v>
      </c>
      <c r="FW5" s="3">
        <f>IF(AND(Include_study?="Yes",Sufficient_data="Yes"),'Publication Bias Analysis'!E:E-'Publication Bias Analysis'!I$37,"")</f>
        <v>0.10885293387522667</v>
      </c>
      <c r="FX5" s="3">
        <f>IF(AND(Include_study?="Yes",Sufficient_data="Yes"),IF(Additional_model="Fixed effect",1/'Publication Bias Analysis'!F:F,1/SQRT('Publication Bias Analysis'!F:F^2+GH$12)),"")</f>
        <v>5.2555114675521324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5" s="6">
        <f t="shared" si="80"/>
        <v>9</v>
      </c>
      <c r="GA5" s="83">
        <f>IF(AND(Include_study?="Yes",Sufficient_data="Yes"),FZ:FZ+IF(GL:GL&lt;0,-1,1)*COUNTIF(FZ$2:FZ4,FZ:FZ),"")</f>
        <v>9</v>
      </c>
      <c r="GB5" s="83">
        <f>IF(AND(Include_study?="Yes",Sufficient_data="Yes"),RANK(GP:GP,GP:GP,1)*IF(GO:GO&lt;0,-1,1)+IF(GO:GO&lt;0,-1,1)*COUNTIF(FZ$2:FZ4,FZ:FZ),"")</f>
        <v>9</v>
      </c>
      <c r="GC5" s="83">
        <f>IF(AND(Include_study?="Yes",Sufficient_data="Yes"),RANK(GS:GS,GS:GS,1)*IF(GR:GR&lt;0,-1,1)+IF(GR:GR&lt;0,-1,1)*COUNTIF(FZ$2:FZ4,FZ:FZ),"")</f>
        <v>9</v>
      </c>
      <c r="GD5" s="3">
        <f>IF(AND(Include_study?="Yes",Sufficient_data="Yes"),'Publication Bias Analysis'!E5,NA())</f>
        <v>0.18212728086854602</v>
      </c>
      <c r="GE5" s="35">
        <f>IF(AND(Include_study?="Yes",Sufficient_data="Yes"),'Publication Bias Analysis'!F5,NA())</f>
        <v>0.19027643763581617</v>
      </c>
      <c r="GG5" s="2" t="s">
        <v>291</v>
      </c>
      <c r="GH5" s="3">
        <f>IF(Additional_valid_options="Yes",IF(Trim_and_fill="Off",'Publication Bias Analysis'!I29,'Publication Bias Analysis'!I37)+ABS(TINV((1-Additional_confidence_level),k_-1))*GI3,"")</f>
        <v>0.62358043920328865</v>
      </c>
      <c r="GI5" s="3">
        <f>IF(Trim_and_fill="Off",GH17,GH22)</f>
        <v>0.25002717064528379</v>
      </c>
      <c r="GK5" s="142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0.10885293387522667</v>
      </c>
      <c r="GM5" s="3">
        <f t="shared" si="81"/>
        <v>0.10885293387522667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5" s="3">
        <f>IF(AND(Include_study?="Yes",Sufficient_data="Yes"),IF('Publication Bias Analysis'!L$38="Left",'Publication Bias Analysis'!E:E-GW$3,GW$3-'Publication Bias Analysis'!E:E),"")</f>
        <v>0.10885293387522667</v>
      </c>
      <c r="GP5" s="3">
        <f t="shared" si="82"/>
        <v>0.10885293387522667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5" s="3">
        <f>IF(AND(Include_study?="Yes",Sufficient_data="Yes"),IF('Publication Bias Analysis'!L$38="Left",'Publication Bias Analysis'!E:E-GW$10,GW$10-'Publication Bias Analysis'!E:E),"")</f>
        <v>0.10885293387522667</v>
      </c>
      <c r="GS5" s="3">
        <f t="shared" si="83"/>
        <v>0.10885293387522667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2.2009602277713052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2"/>
      <c r="HL5" s="3">
        <f t="shared" si="89"/>
        <v>-0.26784208525888076</v>
      </c>
      <c r="HM5" s="35">
        <f>IF(AND(Include_study?="Yes",Sufficient_data="Yes"),Z_score-('Publication Bias Analysis'!P$3+'Publication Bias Analysis'!P$4*Inverse_standard_error),"")</f>
        <v>0.33592501136509501</v>
      </c>
      <c r="HO5" s="142"/>
      <c r="HP5" s="3">
        <f>IF(AND(Include_study?="Yes",Sufficient_data="Yes"),(GD:GD-SUMPRODUCT(Calculations!FT:FT,'Publication Bias Analysis'!E:E)/SUM(Calculations!FT:FT))/SQRT(Calculations!HQ:HQ),"")</f>
        <v>0.59488116341266339</v>
      </c>
      <c r="HQ5" s="3">
        <f>IF(AND(Include_study?="Yes",Sufficient_data="Yes"),GE:GE^2-1/SUM(Calculations!FT:FT),"")</f>
        <v>3.3482651529154105E-2</v>
      </c>
      <c r="HR5" s="6">
        <f t="shared" si="90"/>
        <v>2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2</v>
      </c>
      <c r="HW5" s="142"/>
      <c r="HX5" s="20">
        <v>4</v>
      </c>
      <c r="HY5" s="3">
        <f t="shared" si="123"/>
        <v>-0.30000000000000004</v>
      </c>
      <c r="HZ5" s="35">
        <f>HZ6-HY14</f>
        <v>-0.1</v>
      </c>
      <c r="IB5" s="142"/>
      <c r="IC5" s="76">
        <f t="shared" si="92"/>
        <v>0.1207142857142857</v>
      </c>
      <c r="ID5" s="3">
        <f t="shared" si="93"/>
        <v>0.10267857142857142</v>
      </c>
      <c r="IE5" s="3">
        <f t="shared" si="94"/>
        <v>34.949423589480098</v>
      </c>
      <c r="IF5" s="35">
        <f t="shared" si="95"/>
        <v>27.620400785571967</v>
      </c>
      <c r="IH5" s="128" t="s">
        <v>292</v>
      </c>
      <c r="II5" s="128"/>
      <c r="IK5" s="142"/>
      <c r="IL5" s="3">
        <f>IF(AND(Include_study?="Yes",Sufficient_data="Yes"),'Publication Bias Analysis'!AV:AV,NA())</f>
        <v>0.95717201315873168</v>
      </c>
      <c r="IM5" s="3">
        <f>IF(AND(Sufficient_data="Yes",Include_study?="Yes"),'Publication Bias Analysis'!AU:AU,NA())</f>
        <v>5.2555114675521324</v>
      </c>
      <c r="IN5" s="3">
        <f t="shared" si="96"/>
        <v>-0.26784208525888076</v>
      </c>
      <c r="IO5" s="35">
        <f>IF(AND(Include_study?="Yes",Sufficient_data="Yes"),Z_score-('Publication Bias Analysis'!AY$30+'Publication Bias Analysis'!AY$31*Inverse_standard_error),"")</f>
        <v>0.57207784225794778</v>
      </c>
      <c r="IQ5" s="24" t="s">
        <v>248</v>
      </c>
      <c r="IR5" s="2" t="s">
        <v>245</v>
      </c>
      <c r="IS5" s="2" t="s">
        <v>246</v>
      </c>
      <c r="IU5" s="142"/>
      <c r="IV5" s="6">
        <f>IF('Publication Bias Analysis'!BG:BG&lt;&gt;"",RANK('Publication Bias Analysis'!BG:BG,'Publication Bias Analysis'!BG:BG,1)+COUNTIF('Publication Bias Analysis'!BG$2:BG4,'Publication Bias Analysis'!BG5),"")</f>
        <v>10</v>
      </c>
      <c r="IW5" s="3">
        <f t="shared" si="97"/>
        <v>0.78378378378378366</v>
      </c>
      <c r="IX5" s="3">
        <f>IF('Publication Bias Analysis'!BF5&lt;&gt;"",'Publication Bias Analysis'!BF5,NA())</f>
        <v>0.78503604987689113</v>
      </c>
      <c r="IY5" s="3">
        <f>IF('Publication Bias Analysis'!BG5&lt;&gt;"",'Publication Bias Analysis'!BG5,NA())</f>
        <v>0.95717201315873168</v>
      </c>
      <c r="IZ5" s="3">
        <f>IF(AND(Include_study?="Yes",Sufficient_data="Yes"),'Publication Bias Analysis'!BF:BF-AVERAGE('Publication Bias Analysis'!BF:BF),"")</f>
        <v>0.78503604987689124</v>
      </c>
      <c r="JA5" s="35">
        <f>IF(AND(Include_study?="Yes",Sufficient_data="Yes"),'Publication Bias Analysis'!BG:BG-('Publication Bias Analysis'!BJ$30+'Publication Bias Analysis'!BJ$31*'Publication Bias Analysis'!BF:BF),"")</f>
        <v>0.18127755182592631</v>
      </c>
      <c r="JC5" s="24" t="s">
        <v>293</v>
      </c>
      <c r="JD5" s="2" t="s">
        <v>245</v>
      </c>
      <c r="JE5" s="2" t="s">
        <v>246</v>
      </c>
      <c r="JG5" s="142"/>
      <c r="JH5" s="3">
        <f t="shared" si="98"/>
        <v>0.95717201315873168</v>
      </c>
      <c r="JI5" s="10">
        <f t="shared" si="124"/>
        <v>0.16924022028988961</v>
      </c>
      <c r="JJ5" s="35">
        <f t="shared" si="125"/>
        <v>-1.776436151489132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79.7</v>
      </c>
      <c r="C6" s="6">
        <f>IF(AND(Include_study?="Yes",Sufficient_data="Yes"),IF(Input!b_&lt;&gt;"",Input!b_,Input!n1_-Input!a_),"")</f>
        <v>480.3</v>
      </c>
      <c r="D6" s="6">
        <f>IF(AND(Include_study?="Yes",Sufficient_data="Yes"),IF(Input!c_&lt;&gt;"",Input!c_,Input!n2_-Input!d_),"")</f>
        <v>81.099999999999994</v>
      </c>
      <c r="E6" s="6">
        <f>IF(AND(Include_study?="Yes",Sufficient_data="Yes"),IF(Input!d_&lt;&gt;"",Input!d_,Input!n2_-Input!c_),"")</f>
        <v>478.9</v>
      </c>
      <c r="F6" s="35" t="str">
        <f t="shared" si="1"/>
        <v>No</v>
      </c>
      <c r="H6" s="149"/>
      <c r="I6" s="144"/>
      <c r="J6" s="76">
        <f t="shared" si="2"/>
        <v>0.97987283430798622</v>
      </c>
      <c r="K6" s="3">
        <f t="shared" si="3"/>
        <v>-2.0332476647412875E-2</v>
      </c>
      <c r="L6" s="3">
        <f t="shared" si="4"/>
        <v>0.17043373591581526</v>
      </c>
      <c r="M6" s="3">
        <f t="shared" si="5"/>
        <v>0.70135683292295004</v>
      </c>
      <c r="N6" s="35">
        <f t="shared" si="6"/>
        <v>1.3689904002407387</v>
      </c>
      <c r="P6" s="142"/>
      <c r="Q6" s="76">
        <f t="shared" si="7"/>
        <v>0.97989105587608805</v>
      </c>
      <c r="R6" s="3">
        <f t="shared" si="8"/>
        <v>0.1703520764704694</v>
      </c>
      <c r="S6" s="3">
        <f t="shared" si="9"/>
        <v>0.7014822598579874</v>
      </c>
      <c r="T6" s="35">
        <f t="shared" si="10"/>
        <v>1.3687965274850158</v>
      </c>
      <c r="V6" s="142"/>
      <c r="W6" s="76">
        <f t="shared" si="11"/>
        <v>-2.5000000000000022E-3</v>
      </c>
      <c r="X6" s="3">
        <f t="shared" si="12"/>
        <v>2.0955489475943643E-2</v>
      </c>
      <c r="Y6" s="3">
        <f t="shared" si="13"/>
        <v>-4.3616517219974456E-2</v>
      </c>
      <c r="Z6" s="35">
        <f t="shared" si="14"/>
        <v>3.8616517219974451E-2</v>
      </c>
      <c r="AB6" s="142"/>
      <c r="AC6" s="76">
        <f t="shared" si="15"/>
        <v>0.98273736128236744</v>
      </c>
      <c r="AD6" s="3">
        <f t="shared" si="16"/>
        <v>-1.7413375325197891E-2</v>
      </c>
      <c r="AE6" s="3">
        <f t="shared" si="17"/>
        <v>0.14596602035529618</v>
      </c>
      <c r="AF6" s="3">
        <f t="shared" si="18"/>
        <v>0.73799991343991278</v>
      </c>
      <c r="AG6" s="35">
        <f t="shared" si="19"/>
        <v>1.3086352771487997</v>
      </c>
      <c r="AI6" s="149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Saffarayazdi et al.</v>
      </c>
      <c r="AN6" s="6">
        <f t="shared" si="21"/>
        <v>1120</v>
      </c>
      <c r="AO6" s="3">
        <f t="shared" si="22"/>
        <v>0.97987283430798622</v>
      </c>
      <c r="AP6" s="3">
        <f t="shared" si="23"/>
        <v>34.426182942401503</v>
      </c>
      <c r="AQ6" s="3">
        <f t="shared" si="24"/>
        <v>34.426182942401503</v>
      </c>
      <c r="AR6" s="3">
        <f t="shared" si="25"/>
        <v>0.17043373591581526</v>
      </c>
      <c r="AS6" s="3">
        <f t="shared" si="26"/>
        <v>0.70135683292295004</v>
      </c>
      <c r="AT6" s="3">
        <f t="shared" si="27"/>
        <v>1.3689904002407387</v>
      </c>
      <c r="AU6" s="80">
        <f t="shared" si="28"/>
        <v>9.372429125001866E-2</v>
      </c>
      <c r="AW6" s="44">
        <f t="shared" si="29"/>
        <v>0.97987283430798622</v>
      </c>
      <c r="AX6" s="3">
        <f t="shared" si="30"/>
        <v>0.27851600138503618</v>
      </c>
      <c r="AY6" s="35">
        <f t="shared" si="31"/>
        <v>0.38911756593275248</v>
      </c>
      <c r="BA6" s="2" t="s">
        <v>294</v>
      </c>
      <c r="BB6" s="3">
        <f>'Forest Plot'!$B$16-CES_PI_Lower_limit</f>
        <v>5.3879565409454599E-2</v>
      </c>
      <c r="BD6" s="149"/>
      <c r="BE6" s="144"/>
      <c r="BF6" s="3">
        <f t="shared" si="32"/>
        <v>-2.0332476647412875E-2</v>
      </c>
      <c r="BG6" s="3">
        <f t="shared" si="33"/>
        <v>0.17043373591581526</v>
      </c>
      <c r="BH6" s="3">
        <f t="shared" si="34"/>
        <v>34.426182942401503</v>
      </c>
      <c r="BI6" s="3">
        <f t="shared" si="99"/>
        <v>34.426182942401503</v>
      </c>
      <c r="BJ6" s="35">
        <f t="shared" si="35"/>
        <v>-9.3606823640732223E-2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2.1904471217479314E-2</v>
      </c>
      <c r="BO6" s="142"/>
      <c r="BP6" s="3">
        <f t="shared" si="36"/>
        <v>34.078866071428571</v>
      </c>
      <c r="BQ6" s="3">
        <f t="shared" si="37"/>
        <v>34.778866071428574</v>
      </c>
      <c r="BR6" s="3">
        <f t="shared" si="38"/>
        <v>16.996834453125</v>
      </c>
      <c r="BS6" s="3">
        <f>IF(AND(Sufficient_data="Yes",Include_study?="Yes"),IF(Add_0_5="Yes",(a_+d_+1)*(ab_+0.5)*(c_+0.5)/(Number_of_subjects+2)^2,(a_+d_)*b_*c_/Number_of_subjects^2),"")</f>
        <v>17.345959453124998</v>
      </c>
      <c r="BT6" s="3">
        <f t="shared" si="39"/>
        <v>17.082031618303571</v>
      </c>
      <c r="BU6" s="3">
        <f t="shared" si="40"/>
        <v>17.432906618303569</v>
      </c>
      <c r="BV6" s="3">
        <f t="shared" si="41"/>
        <v>34.778866071428574</v>
      </c>
      <c r="BW6" s="3">
        <f t="shared" si="42"/>
        <v>0.30221994896243426</v>
      </c>
      <c r="BX6" s="3">
        <f t="shared" si="43"/>
        <v>34.426182942401503</v>
      </c>
      <c r="BY6" s="35">
        <f t="shared" si="44"/>
        <v>-9.3606823640732306E-2</v>
      </c>
      <c r="CA6" s="3" t="s">
        <v>295</v>
      </c>
      <c r="CB6" s="3">
        <f>lnCES_OddsRatio_MH+ABS(TINV((1-Confidence_level),k_-1))*SElnCES_MH</f>
        <v>0.12464422276915946</v>
      </c>
      <c r="CD6" s="142"/>
      <c r="CE6" s="76">
        <f t="shared" si="45"/>
        <v>80.400000000000006</v>
      </c>
      <c r="CF6" s="3">
        <f t="shared" si="46"/>
        <v>34.459195710455766</v>
      </c>
      <c r="CG6" s="3">
        <f t="shared" si="47"/>
        <v>-2.0313880970460538E-2</v>
      </c>
      <c r="CH6" s="3">
        <f t="shared" si="48"/>
        <v>2.9019829957800652E-2</v>
      </c>
      <c r="CI6" s="3">
        <f t="shared" si="49"/>
        <v>34.459195710455766</v>
      </c>
      <c r="CJ6" s="3">
        <f t="shared" si="50"/>
        <v>34.459195710455766</v>
      </c>
      <c r="CK6" s="35">
        <f t="shared" si="51"/>
        <v>-9.3605957539148008E-2</v>
      </c>
      <c r="CM6" s="3" t="s">
        <v>295</v>
      </c>
      <c r="CN6" s="3">
        <f>lnCES_PetoOddsRatio+ABS(TINV((1-Confidence_level),k_-1))*SElnCES_Peto</f>
        <v>0.12456197059158404</v>
      </c>
      <c r="CP6" s="142"/>
      <c r="CQ6" s="52">
        <f t="shared" si="52"/>
        <v>0.14482142857142857</v>
      </c>
      <c r="CS6" s="2" t="s">
        <v>296</v>
      </c>
      <c r="CT6" s="3">
        <f>IF(Weighting_method="Inverse variance",IF(Model_effect_size_measure="Odds Ratio",PICES_LL,""),"")</f>
        <v>1.0221461354304897</v>
      </c>
      <c r="CU6" s="3">
        <f>IF(Model_effect_size_measure="Odds Ratio",PICES_LL_MH,"")</f>
        <v>1.0221461354304897</v>
      </c>
      <c r="CV6" s="3" t="str">
        <f>IF(Model_effect_size_measure="Peto Odds Ratio",PICES_LL_Peto,"")</f>
        <v/>
      </c>
      <c r="CX6" s="149"/>
      <c r="CY6" s="48">
        <f t="shared" si="53"/>
        <v>6</v>
      </c>
      <c r="CZ6" s="6" t="str">
        <f t="shared" si="54"/>
        <v>Saffarayazdi et al.</v>
      </c>
      <c r="DA6" s="17" t="str">
        <f t="shared" si="55"/>
        <v>Multimodal</v>
      </c>
      <c r="DB6" s="3">
        <f t="shared" si="56"/>
        <v>-2.0332476647412875E-2</v>
      </c>
      <c r="DC6" s="3">
        <f t="shared" si="57"/>
        <v>0.17043373591581526</v>
      </c>
      <c r="DD6" s="3">
        <f t="shared" si="58"/>
        <v>34.426182942401503</v>
      </c>
      <c r="DE6" s="3">
        <f t="shared" si="59"/>
        <v>34.426182942401503</v>
      </c>
      <c r="DF6" s="80">
        <f t="shared" si="60"/>
        <v>0.10930476470761517</v>
      </c>
      <c r="DG6" s="3">
        <f t="shared" si="61"/>
        <v>0.97987283430798622</v>
      </c>
      <c r="DH6" s="3">
        <f t="shared" si="62"/>
        <v>0.70135706007214982</v>
      </c>
      <c r="DI6" s="3">
        <f t="shared" si="63"/>
        <v>1.3689899568644732</v>
      </c>
      <c r="DJ6" s="35">
        <f t="shared" si="64"/>
        <v>-8.3664369627198878E-2</v>
      </c>
      <c r="DL6" s="44">
        <f t="shared" si="65"/>
        <v>0.97987283430798622</v>
      </c>
      <c r="DM6" s="3">
        <f t="shared" si="100"/>
        <v>0.2785157742358364</v>
      </c>
      <c r="DN6" s="35">
        <f t="shared" si="101"/>
        <v>0.38911712255648701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5.2546747919614417E-3</v>
      </c>
      <c r="FA6" s="149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297</v>
      </c>
      <c r="FP6" s="3" t="str">
        <f>IF(FP3&lt;&gt;"",SUM(FH:FH),"")</f>
        <v/>
      </c>
      <c r="FR6" s="149"/>
      <c r="FS6" s="144"/>
      <c r="FT6" s="76">
        <f>IF(AND(Include_study?="Yes",Sufficient_data="Yes"),IF(Additional_weighting_method="Inverse Variance",1/'Publication Bias Analysis'!F:F^2,IF(Additional_weighting_method="Mantel-Haenszel",Weightf_MH,Weightf_Peto)),"")</f>
        <v>34.426182942401503</v>
      </c>
      <c r="FU6" s="3">
        <f>IF(AND(Include_study?="Yes",Sufficient_data="Yes"),1/('Publication Bias Analysis'!F:F^2+IF(Additional_model="Fixed effect",0,Calculations!GH$12)),"")</f>
        <v>34.426182942401503</v>
      </c>
      <c r="FV6" s="3">
        <f>IF(AND(Include_study?="Yes",Sufficient_data="Yes"),1/('Publication Bias Analysis'!F:F^2+IF(Additional_model="Fixed effect",0,'Publication Bias Analysis'!L$32)),"")</f>
        <v>34.426182942401503</v>
      </c>
      <c r="FW6" s="3">
        <f>IF(AND(Include_study?="Yes",Sufficient_data="Yes"),'Publication Bias Analysis'!E:E-'Publication Bias Analysis'!I$37,"")</f>
        <v>-9.3606823640732223E-2</v>
      </c>
      <c r="FX6" s="3">
        <f>IF(AND(Include_study?="Yes",Sufficient_data="Yes"),IF(Additional_model="Fixed effect",1/'Publication Bias Analysis'!F:F,1/SQRT('Publication Bias Analysis'!F:F^2+GH$12)),"")</f>
        <v>5.8673829721948012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-0.11929842726357874</v>
      </c>
      <c r="FZ6" s="6">
        <f t="shared" si="80"/>
        <v>-8</v>
      </c>
      <c r="GA6" s="83">
        <f>IF(AND(Include_study?="Yes",Sufficient_data="Yes"),FZ:FZ+IF(GL:GL&lt;0,-1,1)*COUNTIF(FZ$2:FZ5,FZ:FZ),"")</f>
        <v>-8</v>
      </c>
      <c r="GB6" s="83">
        <f>IF(AND(Include_study?="Yes",Sufficient_data="Yes"),RANK(GP:GP,GP:GP,1)*IF(GO:GO&lt;0,-1,1)+IF(GO:GO&lt;0,-1,1)*COUNTIF(FZ$2:FZ5,FZ:FZ),"")</f>
        <v>-8</v>
      </c>
      <c r="GC6" s="83">
        <f>IF(AND(Include_study?="Yes",Sufficient_data="Yes"),RANK(GS:GS,GS:GS,1)*IF(GR:GR&lt;0,-1,1)+IF(GR:GR&lt;0,-1,1)*COUNTIF(FZ$2:FZ5,FZ:FZ),"")</f>
        <v>-8</v>
      </c>
      <c r="GD6" s="3">
        <f>IF(AND(Include_study?="Yes",Sufficient_data="Yes"),'Publication Bias Analysis'!E6,NA())</f>
        <v>-2.0332476647412875E-2</v>
      </c>
      <c r="GE6" s="35">
        <f>IF(AND(Include_study?="Yes",Sufficient_data="Yes"),'Publication Bias Analysis'!F6,NA())</f>
        <v>0.17043373591581526</v>
      </c>
      <c r="GG6" s="24" t="s">
        <v>298</v>
      </c>
      <c r="GH6" s="2" t="s">
        <v>245</v>
      </c>
      <c r="GI6" s="2" t="s">
        <v>246</v>
      </c>
      <c r="GK6" s="142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-9.3606823640732223E-2</v>
      </c>
      <c r="GM6" s="3">
        <f t="shared" si="81"/>
        <v>9.3606823640732223E-2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34.426182942401503</v>
      </c>
      <c r="GO6" s="3">
        <f>IF(AND(Include_study?="Yes",Sufficient_data="Yes"),IF('Publication Bias Analysis'!L$38="Left",'Publication Bias Analysis'!E:E-GW$3,GW$3-'Publication Bias Analysis'!E:E),"")</f>
        <v>-9.3606823640732223E-2</v>
      </c>
      <c r="GP6" s="3">
        <f t="shared" si="82"/>
        <v>9.3606823640732223E-2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34.426182942401503</v>
      </c>
      <c r="GR6" s="3">
        <f>IF(AND(Include_study?="Yes",Sufficient_data="Yes"),IF('Publication Bias Analysis'!L$38="Left",'Publication Bias Analysis'!E:E-GW$10,GW$10-'Publication Bias Analysis'!E:E),"")</f>
        <v>-9.3606823640732223E-2</v>
      </c>
      <c r="GS6" s="3">
        <f t="shared" si="83"/>
        <v>9.3606823640732223E-2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34.426182942401503</v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2"/>
      <c r="HL6" s="3">
        <f t="shared" si="89"/>
        <v>0.34402941938378806</v>
      </c>
      <c r="HM6" s="35">
        <f>IF(AND(Include_study?="Yes",Sufficient_data="Yes"),Z_score-('Publication Bias Analysis'!P$3+'Publication Bias Analysis'!P$4*Inverse_standard_error),"")</f>
        <v>-0.28070097487984913</v>
      </c>
      <c r="HO6" s="142"/>
      <c r="HP6" s="3">
        <f>IF(AND(Include_study?="Yes",Sufficient_data="Yes"),(GD:GD-SUMPRODUCT(Calculations!FT:FT,'Publication Bias Analysis'!E:E)/SUM(Calculations!FT:FT))/SQRT(Calculations!HQ:HQ),"")</f>
        <v>-0.57692820973465186</v>
      </c>
      <c r="HQ6" s="3">
        <f>IF(AND(Include_study?="Yes",Sufficient_data="Yes"),GE:GE^2-1/SUM(Calculations!FT:FT),"")</f>
        <v>2.6325187147999321E-2</v>
      </c>
      <c r="HR6" s="6">
        <f t="shared" si="90"/>
        <v>11</v>
      </c>
      <c r="HS6" s="6">
        <f t="shared" si="91"/>
        <v>12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10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1</v>
      </c>
      <c r="HW6" s="142"/>
      <c r="HX6" s="20">
        <v>5</v>
      </c>
      <c r="HY6" s="3">
        <f t="shared" si="123"/>
        <v>-0.1</v>
      </c>
      <c r="HZ6" s="35">
        <f>1/2*HY14</f>
        <v>0.1</v>
      </c>
      <c r="IB6" s="142"/>
      <c r="IC6" s="76">
        <f t="shared" si="92"/>
        <v>0.14232142857142857</v>
      </c>
      <c r="ID6" s="3">
        <f t="shared" si="93"/>
        <v>0.14482142857142857</v>
      </c>
      <c r="IE6" s="3">
        <f t="shared" si="94"/>
        <v>46.934961396855265</v>
      </c>
      <c r="IF6" s="35">
        <f t="shared" si="95"/>
        <v>34.426182942401503</v>
      </c>
      <c r="IH6" s="3">
        <v>0</v>
      </c>
      <c r="II6" s="3">
        <v>0</v>
      </c>
      <c r="IK6" s="142"/>
      <c r="IL6" s="3">
        <f>IF(AND(Include_study?="Yes",Sufficient_data="Yes"),'Publication Bias Analysis'!AV:AV,NA())</f>
        <v>-0.11929842726357874</v>
      </c>
      <c r="IM6" s="3">
        <f>IF(AND(Sufficient_data="Yes",Include_study?="Yes"),'Publication Bias Analysis'!AU:AU,NA())</f>
        <v>5.8673829721948012</v>
      </c>
      <c r="IN6" s="3">
        <f t="shared" si="96"/>
        <v>0.34402941938378806</v>
      </c>
      <c r="IO6" s="35">
        <f>IF(AND(Include_study?="Yes",Sufficient_data="Yes"),Z_score-('Publication Bias Analysis'!AY$30+'Publication Bias Analysis'!AY$31*Inverse_standard_error),"")</f>
        <v>-0.54922708311087398</v>
      </c>
      <c r="IQ6" s="2" t="s">
        <v>101</v>
      </c>
      <c r="IR6" s="3">
        <v>0</v>
      </c>
      <c r="IS6" s="3">
        <f>ABS(TINV((1-Additional_confidence_level),k_-1))*-1</f>
        <v>-2.2009851600916384</v>
      </c>
      <c r="IU6" s="142"/>
      <c r="IV6" s="6">
        <f>IF('Publication Bias Analysis'!BG:BG&lt;&gt;"",RANK('Publication Bias Analysis'!BG:BG,'Publication Bias Analysis'!BG:BG,1)+COUNTIF('Publication Bias Analysis'!BG$2:BG5,'Publication Bias Analysis'!BG6),"")</f>
        <v>2</v>
      </c>
      <c r="IW6" s="3">
        <f t="shared" si="97"/>
        <v>0.13513513513513514</v>
      </c>
      <c r="IX6" s="3">
        <f>IF('Publication Bias Analysis'!BF6&lt;&gt;"",'Publication Bias Analysis'!BF6,NA())</f>
        <v>-1.1024403670151643</v>
      </c>
      <c r="IY6" s="3">
        <f>IF('Publication Bias Analysis'!BG6&lt;&gt;"",'Publication Bias Analysis'!BG6,NA())</f>
        <v>-0.11929842726357874</v>
      </c>
      <c r="IZ6" s="3">
        <f>IF(AND(Include_study?="Yes",Sufficient_data="Yes"),'Publication Bias Analysis'!BF:BF-AVERAGE('Publication Bias Analysis'!BF:BF),"")</f>
        <v>-1.1024403670151641</v>
      </c>
      <c r="JA6" s="35">
        <f>IF(AND(Include_study?="Yes",Sufficient_data="Yes"),'Publication Bias Analysis'!BG:BG-('Publication Bias Analysis'!BJ$30+'Publication Bias Analysis'!BJ$31*'Publication Bias Analysis'!BF:BF),"")</f>
        <v>-3.9397814768132797E-2</v>
      </c>
      <c r="JC6" s="2" t="s">
        <v>285</v>
      </c>
      <c r="JD6" s="3">
        <f>MIN('Publication Bias Analysis'!BF:BF)</f>
        <v>-1.6067550689692427</v>
      </c>
      <c r="JE6" s="3">
        <f>'Publication Bias Analysis'!BJ30</f>
        <v>0.41995359857570813</v>
      </c>
      <c r="JG6" s="142"/>
      <c r="JH6" s="3">
        <f t="shared" si="98"/>
        <v>-0.11929842726357874</v>
      </c>
      <c r="JI6" s="10">
        <f t="shared" si="124"/>
        <v>0.4525194647321209</v>
      </c>
      <c r="JJ6" s="35">
        <f t="shared" si="125"/>
        <v>-0.79292450078472942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67.599999999999994</v>
      </c>
      <c r="C7" s="6">
        <f>IF(AND(Include_study?="Yes",Sufficient_data="Yes"),IF(Input!b_&lt;&gt;"",Input!b_,Input!n1_-Input!a_),"")</f>
        <v>492.4</v>
      </c>
      <c r="D7" s="6">
        <f>IF(AND(Include_study?="Yes",Sufficient_data="Yes"),IF(Input!c_&lt;&gt;"",Input!c_,Input!n2_-Input!d_),"")</f>
        <v>57.5</v>
      </c>
      <c r="E7" s="6">
        <f>IF(AND(Include_study?="Yes",Sufficient_data="Yes"),IF(Input!d_&lt;&gt;"",Input!d_,Input!n2_-Input!c_),"")</f>
        <v>502.5</v>
      </c>
      <c r="F7" s="35" t="str">
        <f t="shared" si="1"/>
        <v>No</v>
      </c>
      <c r="H7" s="149"/>
      <c r="I7" s="144"/>
      <c r="J7" s="76">
        <f t="shared" si="2"/>
        <v>1.1997668915339244</v>
      </c>
      <c r="K7" s="3">
        <f t="shared" si="3"/>
        <v>0.18212728086854602</v>
      </c>
      <c r="L7" s="3">
        <f t="shared" si="4"/>
        <v>0.19027643763581617</v>
      </c>
      <c r="M7" s="3">
        <f t="shared" si="5"/>
        <v>0.8259575827454062</v>
      </c>
      <c r="N7" s="35">
        <f t="shared" si="6"/>
        <v>1.7427536523563458</v>
      </c>
      <c r="P7" s="142"/>
      <c r="Q7" s="76">
        <f t="shared" si="7"/>
        <v>1.199148921265111</v>
      </c>
      <c r="R7" s="3">
        <f t="shared" si="8"/>
        <v>0.18963856862734227</v>
      </c>
      <c r="S7" s="3">
        <f t="shared" si="9"/>
        <v>0.82656599830194089</v>
      </c>
      <c r="T7" s="35">
        <f t="shared" si="10"/>
        <v>1.7396773377145374</v>
      </c>
      <c r="V7" s="142"/>
      <c r="W7" s="76">
        <f t="shared" si="11"/>
        <v>1.803571428571428E-2</v>
      </c>
      <c r="X7" s="3">
        <f t="shared" si="12"/>
        <v>1.8816692311080695E-2</v>
      </c>
      <c r="Y7" s="3">
        <f t="shared" si="13"/>
        <v>-1.8884294398390726E-2</v>
      </c>
      <c r="Z7" s="35">
        <f t="shared" si="14"/>
        <v>5.4955722969819286E-2</v>
      </c>
      <c r="AB7" s="142"/>
      <c r="AC7" s="76">
        <f t="shared" si="15"/>
        <v>1.1756521739130434</v>
      </c>
      <c r="AD7" s="3">
        <f t="shared" si="16"/>
        <v>0.16182303524561362</v>
      </c>
      <c r="AE7" s="3">
        <f t="shared" si="17"/>
        <v>0.16915311166124478</v>
      </c>
      <c r="AF7" s="3">
        <f t="shared" si="18"/>
        <v>0.84360552778182751</v>
      </c>
      <c r="AG7" s="35">
        <f t="shared" si="19"/>
        <v>1.6383937616680926</v>
      </c>
      <c r="AI7" s="149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Saffarayazdi et al.</v>
      </c>
      <c r="AN7" s="6">
        <f t="shared" si="21"/>
        <v>1120</v>
      </c>
      <c r="AO7" s="3">
        <f t="shared" si="22"/>
        <v>1.1997668915339244</v>
      </c>
      <c r="AP7" s="3">
        <f t="shared" si="23"/>
        <v>27.620400785571967</v>
      </c>
      <c r="AQ7" s="3">
        <f t="shared" si="24"/>
        <v>27.620400785571967</v>
      </c>
      <c r="AR7" s="3">
        <f t="shared" si="25"/>
        <v>0.19027643763581617</v>
      </c>
      <c r="AS7" s="3">
        <f t="shared" si="26"/>
        <v>0.8259575827454062</v>
      </c>
      <c r="AT7" s="3">
        <f t="shared" si="27"/>
        <v>1.7427536523563458</v>
      </c>
      <c r="AU7" s="80">
        <f t="shared" si="28"/>
        <v>7.5195745401119632E-2</v>
      </c>
      <c r="AW7" s="44">
        <f t="shared" si="29"/>
        <v>1.1997668915339244</v>
      </c>
      <c r="AX7" s="3">
        <f t="shared" si="30"/>
        <v>0.37380930878851815</v>
      </c>
      <c r="AY7" s="35">
        <f t="shared" si="31"/>
        <v>0.54298676082242148</v>
      </c>
      <c r="BA7" s="2" t="s">
        <v>299</v>
      </c>
      <c r="BB7" s="3">
        <f>CES_PI_Upper_limit-'Forest Plot'!$B$16</f>
        <v>5.6719675515128465E-2</v>
      </c>
      <c r="BD7" s="149"/>
      <c r="BE7" s="144"/>
      <c r="BF7" s="3">
        <f t="shared" si="32"/>
        <v>0.18212728086854602</v>
      </c>
      <c r="BG7" s="3">
        <f t="shared" si="33"/>
        <v>0.19027643763581617</v>
      </c>
      <c r="BH7" s="3">
        <f t="shared" si="34"/>
        <v>27.620400785571967</v>
      </c>
      <c r="BI7" s="3">
        <f t="shared" si="99"/>
        <v>27.620400785571967</v>
      </c>
      <c r="BJ7" s="35">
        <f t="shared" si="35"/>
        <v>0.10885293387522667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0.12464422276915937</v>
      </c>
      <c r="BO7" s="142"/>
      <c r="BP7" s="3">
        <f t="shared" si="36"/>
        <v>30.329464285714284</v>
      </c>
      <c r="BQ7" s="3">
        <f t="shared" si="37"/>
        <v>25.279464285714287</v>
      </c>
      <c r="BR7" s="3">
        <f t="shared" si="38"/>
        <v>15.438238919005101</v>
      </c>
      <c r="BS7" s="3">
        <f>IF(AND(Sufficient_data="Yes",Include_study?="Yes"),IF(Add_0_5="Yes",(a_+d_+1)*(ab_+0.5)*(c_+0.5)/(Number_of_subjects+2)^2,(a_+d_)*b_*c_/Number_of_subjects^2),"")</f>
        <v>12.867698740433672</v>
      </c>
      <c r="BT7" s="3">
        <f t="shared" si="39"/>
        <v>14.891225366709183</v>
      </c>
      <c r="BU7" s="3">
        <f t="shared" si="40"/>
        <v>12.411765545280611</v>
      </c>
      <c r="BV7" s="3">
        <f t="shared" si="41"/>
        <v>25.279464285714287</v>
      </c>
      <c r="BW7" s="3">
        <f t="shared" si="42"/>
        <v>0.32674213376864025</v>
      </c>
      <c r="BX7" s="3">
        <f t="shared" si="43"/>
        <v>27.620400785571967</v>
      </c>
      <c r="BY7" s="35">
        <f t="shared" si="44"/>
        <v>0.10885293387522658</v>
      </c>
      <c r="CA7" s="3" t="s">
        <v>300</v>
      </c>
      <c r="CB7" s="3">
        <f>lnCES_OddsRatio_MH-ABS(TINV((1-Confidence_level),k_-1))*SQRT(T2_MH+SElnCES_MH^2)</f>
        <v>2.1904471217479397E-2</v>
      </c>
      <c r="CD7" s="142"/>
      <c r="CE7" s="76">
        <f t="shared" si="45"/>
        <v>62.55</v>
      </c>
      <c r="CF7" s="3">
        <f t="shared" si="46"/>
        <v>27.806521447721181</v>
      </c>
      <c r="CG7" s="3">
        <f t="shared" si="47"/>
        <v>0.18161207289068723</v>
      </c>
      <c r="CH7" s="3">
        <f t="shared" si="48"/>
        <v>3.5962786711027199E-2</v>
      </c>
      <c r="CI7" s="3">
        <f t="shared" si="49"/>
        <v>27.806521447721181</v>
      </c>
      <c r="CJ7" s="3">
        <f t="shared" si="50"/>
        <v>27.806521447721178</v>
      </c>
      <c r="CK7" s="35">
        <f t="shared" si="51"/>
        <v>0.10831999632199976</v>
      </c>
      <c r="CM7" s="3" t="s">
        <v>300</v>
      </c>
      <c r="CN7" s="3">
        <f>lnCES_PetoOddsRatio-ABS(TINV((1-Confidence_level),k_-1))*SQRT(T2_Peto+SElnCES_Peto^2)</f>
        <v>2.20221825457909E-2</v>
      </c>
      <c r="CP7" s="142"/>
      <c r="CQ7" s="52">
        <f t="shared" si="52"/>
        <v>0.10267857142857142</v>
      </c>
      <c r="CS7" s="2" t="s">
        <v>301</v>
      </c>
      <c r="CT7" s="3">
        <f>IF(Weighting_method="Inverse variance",IF(Model_effect_size_measure="Odds Ratio",PICES_UL,""),"")</f>
        <v>1.1327453763550728</v>
      </c>
      <c r="CU7" s="3">
        <f>IF(Model_effect_size_measure="Odds Ratio",PICES_UL_MH,"")</f>
        <v>1.1327453763550728</v>
      </c>
      <c r="CV7" s="3" t="str">
        <f>IF(Model_effect_size_measure="Peto Odds Ratio",PICES_UL_Peto,"")</f>
        <v/>
      </c>
      <c r="CX7" s="149"/>
      <c r="CY7" s="48">
        <f t="shared" si="53"/>
        <v>7</v>
      </c>
      <c r="CZ7" s="6" t="str">
        <f t="shared" si="54"/>
        <v>Saffarayazdi et al.</v>
      </c>
      <c r="DA7" s="17" t="str">
        <f t="shared" si="55"/>
        <v>Multimodal</v>
      </c>
      <c r="DB7" s="3">
        <f t="shared" si="56"/>
        <v>0.18212728086854602</v>
      </c>
      <c r="DC7" s="3">
        <f t="shared" si="57"/>
        <v>0.19027643763581617</v>
      </c>
      <c r="DD7" s="3">
        <f t="shared" si="58"/>
        <v>27.620400785571967</v>
      </c>
      <c r="DE7" s="3">
        <f t="shared" si="59"/>
        <v>27.620400785571967</v>
      </c>
      <c r="DF7" s="80">
        <f t="shared" si="60"/>
        <v>8.7696083357487978E-2</v>
      </c>
      <c r="DG7" s="3">
        <f t="shared" si="61"/>
        <v>1.1997668915339244</v>
      </c>
      <c r="DH7" s="3">
        <f t="shared" si="62"/>
        <v>0.82595788139324744</v>
      </c>
      <c r="DI7" s="3">
        <f t="shared" si="63"/>
        <v>1.7427530222157201</v>
      </c>
      <c r="DJ7" s="35">
        <f t="shared" si="64"/>
        <v>0.11879538788876001</v>
      </c>
      <c r="DL7" s="44">
        <f t="shared" si="65"/>
        <v>1.1997668915339244</v>
      </c>
      <c r="DM7" s="3">
        <f t="shared" si="100"/>
        <v>0.37380901014067691</v>
      </c>
      <c r="DN7" s="35">
        <f t="shared" si="101"/>
        <v>0.5429861306817958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0.14814089030387195</v>
      </c>
      <c r="FA7" s="149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9"/>
      <c r="FS7" s="144"/>
      <c r="FT7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7" s="3">
        <f>IF(AND(Include_study?="Yes",Sufficient_data="Yes"),1/('Publication Bias Analysis'!F:F^2+IF(Additional_model="Fixed effect",0,Calculations!GH$12)),"")</f>
        <v>27.620400785571967</v>
      </c>
      <c r="FV7" s="3">
        <f>IF(AND(Include_study?="Yes",Sufficient_data="Yes"),1/('Publication Bias Analysis'!F:F^2+IF(Additional_model="Fixed effect",0,'Publication Bias Analysis'!L$32)),"")</f>
        <v>27.620400785571967</v>
      </c>
      <c r="FW7" s="3">
        <f>IF(AND(Include_study?="Yes",Sufficient_data="Yes"),'Publication Bias Analysis'!E:E-'Publication Bias Analysis'!I$37,"")</f>
        <v>0.10885293387522667</v>
      </c>
      <c r="FX7" s="3">
        <f>IF(AND(Include_study?="Yes",Sufficient_data="Yes"),IF(Additional_model="Fixed effect",1/'Publication Bias Analysis'!F:F,1/SQRT('Publication Bias Analysis'!F:F^2+GH$12)),"")</f>
        <v>5.2555114675521324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7" s="6">
        <f t="shared" si="80"/>
        <v>9</v>
      </c>
      <c r="GA7" s="83">
        <f>IF(AND(Include_study?="Yes",Sufficient_data="Yes"),FZ:FZ+IF(GL:GL&lt;0,-1,1)*COUNTIF(FZ$2:FZ6,FZ:FZ),"")</f>
        <v>10</v>
      </c>
      <c r="GB7" s="83">
        <f>IF(AND(Include_study?="Yes",Sufficient_data="Yes"),RANK(GP:GP,GP:GP,1)*IF(GO:GO&lt;0,-1,1)+IF(GO:GO&lt;0,-1,1)*COUNTIF(FZ$2:FZ6,FZ:FZ),"")</f>
        <v>10</v>
      </c>
      <c r="GC7" s="83">
        <f>IF(AND(Include_study?="Yes",Sufficient_data="Yes"),RANK(GS:GS,GS:GS,1)*IF(GR:GR&lt;0,-1,1)+IF(GR:GR&lt;0,-1,1)*COUNTIF(FZ$2:FZ6,FZ:FZ),"")</f>
        <v>10</v>
      </c>
      <c r="GD7" s="3">
        <f>IF(AND(Include_study?="Yes",Sufficient_data="Yes"),'Publication Bias Analysis'!E7,NA())</f>
        <v>0.18212728086854602</v>
      </c>
      <c r="GE7" s="35">
        <f>IF(AND(Include_study?="Yes",Sufficient_data="Yes"),'Publication Bias Analysis'!F7,NA())</f>
        <v>0.19027643763581617</v>
      </c>
      <c r="GG7" s="2" t="s">
        <v>248</v>
      </c>
      <c r="GH7" s="3">
        <f>IF(Trim_and_fill="Off",'Publication Bias Analysis'!I29,'Publication Bias Analysis'!I37)</f>
        <v>7.3274346993319348E-2</v>
      </c>
      <c r="GI7" s="3">
        <v>0</v>
      </c>
      <c r="GK7" s="142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0.10885293387522667</v>
      </c>
      <c r="GM7" s="3">
        <f t="shared" si="81"/>
        <v>0.10885293387522667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7" s="3">
        <f>IF(AND(Include_study?="Yes",Sufficient_data="Yes"),IF('Publication Bias Analysis'!L$38="Left",'Publication Bias Analysis'!E:E-GW$3,GW$3-'Publication Bias Analysis'!E:E),"")</f>
        <v>0.10885293387522667</v>
      </c>
      <c r="GP7" s="3">
        <f t="shared" si="82"/>
        <v>0.10885293387522667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7" s="3">
        <f>IF(AND(Include_study?="Yes",Sufficient_data="Yes"),IF('Publication Bias Analysis'!L$38="Left",'Publication Bias Analysis'!E:E-GW$10,GW$10-'Publication Bias Analysis'!E:E),"")</f>
        <v>0.10885293387522667</v>
      </c>
      <c r="GS7" s="3">
        <f t="shared" si="83"/>
        <v>0.10885293387522667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7" s="36" t="s">
        <v>302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2"/>
      <c r="HL7" s="3">
        <f t="shared" si="89"/>
        <v>-0.26784208525888076</v>
      </c>
      <c r="HM7" s="35">
        <f>IF(AND(Include_study?="Yes",Sufficient_data="Yes"),Z_score-('Publication Bias Analysis'!P$3+'Publication Bias Analysis'!P$4*Inverse_standard_error),"")</f>
        <v>0.33592501136509501</v>
      </c>
      <c r="HO7" s="142"/>
      <c r="HP7" s="3">
        <f>IF(AND(Include_study?="Yes",Sufficient_data="Yes"),(GD:GD-SUMPRODUCT(Calculations!FT:FT,'Publication Bias Analysis'!E:E)/SUM(Calculations!FT:FT))/SQRT(Calculations!HQ:HQ),"")</f>
        <v>0.59488116341266339</v>
      </c>
      <c r="HQ7" s="3">
        <f>IF(AND(Include_study?="Yes",Sufficient_data="Yes"),GE:GE^2-1/SUM(Calculations!FT:FT),"")</f>
        <v>3.3482651529154105E-2</v>
      </c>
      <c r="HR7" s="6">
        <f t="shared" si="90"/>
        <v>2</v>
      </c>
      <c r="HS7" s="6">
        <f t="shared" si="91"/>
        <v>2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8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42"/>
      <c r="HX7" s="20">
        <v>6</v>
      </c>
      <c r="HY7" s="3">
        <f t="shared" si="123"/>
        <v>0.1</v>
      </c>
      <c r="HZ7" s="35">
        <f>HZ6+HY14</f>
        <v>0.30000000000000004</v>
      </c>
      <c r="IB7" s="142"/>
      <c r="IC7" s="76">
        <f t="shared" si="92"/>
        <v>0.1207142857142857</v>
      </c>
      <c r="ID7" s="3">
        <f t="shared" si="93"/>
        <v>0.10267857142857142</v>
      </c>
      <c r="IE7" s="3">
        <f t="shared" si="94"/>
        <v>34.949423589480098</v>
      </c>
      <c r="IF7" s="35">
        <f t="shared" si="95"/>
        <v>27.620400785571967</v>
      </c>
      <c r="IH7" s="3">
        <f>MAX('Publication Bias Analysis'!AH:AH)</f>
        <v>0.14482142857142857</v>
      </c>
      <c r="II7" s="3">
        <f>EXP(SUMPRODUCT(LogRiskRatio,IE:IE)/SUM(IE:IE))*MAX('Publication Bias Analysis'!AH:AH)</f>
        <v>0.15439425044725805</v>
      </c>
      <c r="IK7" s="142"/>
      <c r="IL7" s="3">
        <f>IF(AND(Include_study?="Yes",Sufficient_data="Yes"),'Publication Bias Analysis'!AV:AV,NA())</f>
        <v>0.95717201315873168</v>
      </c>
      <c r="IM7" s="3">
        <f>IF(AND(Sufficient_data="Yes",Include_study?="Yes"),'Publication Bias Analysis'!AU:AU,NA())</f>
        <v>5.2555114675521324</v>
      </c>
      <c r="IN7" s="3">
        <f t="shared" si="96"/>
        <v>-0.26784208525888076</v>
      </c>
      <c r="IO7" s="35">
        <f>IF(AND(Include_study?="Yes",Sufficient_data="Yes"),Z_score-('Publication Bias Analysis'!AY$30+'Publication Bias Analysis'!AY$31*Inverse_standard_error),"")</f>
        <v>0.57207784225794778</v>
      </c>
      <c r="IQ7" s="2" t="s">
        <v>288</v>
      </c>
      <c r="IR7" s="3">
        <f>MAX(Inverse_standard_error)</f>
        <v>5.8673829721948012</v>
      </c>
      <c r="IS7" s="3">
        <f>IR7*'Publication Bias Analysis'!AY31+IS6</f>
        <v>-1.7710565042443431</v>
      </c>
      <c r="IU7" s="142"/>
      <c r="IV7" s="6">
        <f>IF('Publication Bias Analysis'!BG:BG&lt;&gt;"",RANK('Publication Bias Analysis'!BG:BG,'Publication Bias Analysis'!BG:BG,1)+COUNTIF('Publication Bias Analysis'!BG$2:BG6,'Publication Bias Analysis'!BG7),"")</f>
        <v>11</v>
      </c>
      <c r="IW7" s="3">
        <f t="shared" si="97"/>
        <v>0.8648648648648648</v>
      </c>
      <c r="IX7" s="3">
        <f>IF('Publication Bias Analysis'!BF7&lt;&gt;"",'Publication Bias Analysis'!BF7,NA())</f>
        <v>1.1024403670151643</v>
      </c>
      <c r="IY7" s="3">
        <f>IF('Publication Bias Analysis'!BG7&lt;&gt;"",'Publication Bias Analysis'!BG7,NA())</f>
        <v>0.95717201315873168</v>
      </c>
      <c r="IZ7" s="3">
        <f>IF(AND(Include_study?="Yes",Sufficient_data="Yes"),'Publication Bias Analysis'!BF:BF-AVERAGE('Publication Bias Analysis'!BF:BF),"")</f>
        <v>1.1024403670151646</v>
      </c>
      <c r="JA7" s="35">
        <f>IF(AND(Include_study?="Yes",Sufficient_data="Yes"),'Publication Bias Analysis'!BG:BG-('Publication Bias Analysis'!BJ$30+'Publication Bias Analysis'!BJ$31*'Publication Bias Analysis'!BF:BF),"")</f>
        <v>3.736420351186942E-2</v>
      </c>
      <c r="JC7" s="2" t="s">
        <v>291</v>
      </c>
      <c r="JD7" s="3">
        <f>MAX('Publication Bias Analysis'!BF:BF)</f>
        <v>1.6067550689692418</v>
      </c>
      <c r="JE7" s="3">
        <f>'Publication Bias Analysis'!BJ30</f>
        <v>0.41995359857570813</v>
      </c>
      <c r="JG7" s="142"/>
      <c r="JH7" s="3">
        <f t="shared" si="98"/>
        <v>0.95717201315873168</v>
      </c>
      <c r="JI7" s="10">
        <f t="shared" si="124"/>
        <v>0.16924022028988961</v>
      </c>
      <c r="JJ7" s="35">
        <f t="shared" si="125"/>
        <v>-1.776436151489132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78.599999999999994</v>
      </c>
      <c r="C8" s="6">
        <f>IF(AND(Include_study?="Yes",Sufficient_data="Yes"),IF(Input!b_&lt;&gt;"",Input!b_,Input!n1_-Input!a_),"")</f>
        <v>481.4</v>
      </c>
      <c r="D8" s="6">
        <f>IF(AND(Include_study?="Yes",Sufficient_data="Yes"),IF(Input!c_&lt;&gt;"",Input!c_,Input!n2_-Input!d_),"")</f>
        <v>72.5</v>
      </c>
      <c r="E8" s="6">
        <f>IF(AND(Include_study?="Yes",Sufficient_data="Yes"),IF(Input!d_&lt;&gt;"",Input!d_,Input!n2_-Input!c_),"")</f>
        <v>487.5</v>
      </c>
      <c r="F8" s="35" t="str">
        <f t="shared" si="1"/>
        <v>No</v>
      </c>
      <c r="H8" s="149"/>
      <c r="I8" s="144"/>
      <c r="J8" s="76">
        <f t="shared" si="2"/>
        <v>1.0978754494792486</v>
      </c>
      <c r="K8" s="3">
        <f t="shared" si="3"/>
        <v>9.3376902663461964E-2</v>
      </c>
      <c r="L8" s="3">
        <f t="shared" si="4"/>
        <v>0.17505515252541035</v>
      </c>
      <c r="M8" s="3">
        <f t="shared" si="5"/>
        <v>0.7787254496467747</v>
      </c>
      <c r="N8" s="35">
        <f t="shared" si="6"/>
        <v>1.5478247219427501</v>
      </c>
      <c r="P8" s="142"/>
      <c r="Q8" s="76">
        <f t="shared" si="7"/>
        <v>1.097735582630081</v>
      </c>
      <c r="R8" s="3">
        <f t="shared" si="8"/>
        <v>0.17485309694506909</v>
      </c>
      <c r="S8" s="3">
        <f t="shared" si="9"/>
        <v>0.77893499002381494</v>
      </c>
      <c r="T8" s="35">
        <f t="shared" si="10"/>
        <v>1.5470140959200733</v>
      </c>
      <c r="V8" s="142"/>
      <c r="W8" s="76">
        <f t="shared" si="11"/>
        <v>1.0892857142857121E-2</v>
      </c>
      <c r="X8" s="3">
        <f t="shared" si="12"/>
        <v>2.041359402391044E-2</v>
      </c>
      <c r="Y8" s="3">
        <f t="shared" si="13"/>
        <v>-2.9160413441407546E-2</v>
      </c>
      <c r="Z8" s="35">
        <f t="shared" si="14"/>
        <v>5.0946127727121787E-2</v>
      </c>
      <c r="AB8" s="142"/>
      <c r="AC8" s="76">
        <f t="shared" si="15"/>
        <v>1.0841379310344825</v>
      </c>
      <c r="AD8" s="3">
        <f t="shared" si="16"/>
        <v>8.0785137574531554E-2</v>
      </c>
      <c r="AE8" s="3">
        <f t="shared" si="17"/>
        <v>0.15147383004096734</v>
      </c>
      <c r="AF8" s="3">
        <f t="shared" si="18"/>
        <v>0.80539707138583794</v>
      </c>
      <c r="AG8" s="35">
        <f t="shared" si="19"/>
        <v>1.4593485564645867</v>
      </c>
      <c r="AI8" s="149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Saffarayazdi et al.</v>
      </c>
      <c r="AN8" s="6">
        <f t="shared" si="21"/>
        <v>1120</v>
      </c>
      <c r="AO8" s="3">
        <f t="shared" si="22"/>
        <v>1.0978754494792486</v>
      </c>
      <c r="AP8" s="3">
        <f t="shared" si="23"/>
        <v>32.63248924966755</v>
      </c>
      <c r="AQ8" s="3">
        <f t="shared" si="24"/>
        <v>32.63248924966755</v>
      </c>
      <c r="AR8" s="3">
        <f t="shared" si="25"/>
        <v>0.17505515252541035</v>
      </c>
      <c r="AS8" s="3">
        <f t="shared" si="26"/>
        <v>0.7787254496467747</v>
      </c>
      <c r="AT8" s="3">
        <f t="shared" si="27"/>
        <v>1.5478247219427501</v>
      </c>
      <c r="AU8" s="80">
        <f t="shared" si="28"/>
        <v>8.8841011847466594E-2</v>
      </c>
      <c r="AW8" s="44">
        <f t="shared" si="29"/>
        <v>1.0978754494792486</v>
      </c>
      <c r="AX8" s="3">
        <f t="shared" si="30"/>
        <v>0.31914999983247394</v>
      </c>
      <c r="AY8" s="35">
        <f t="shared" si="31"/>
        <v>0.44994927246350147</v>
      </c>
      <c r="BA8" s="2" t="s">
        <v>303</v>
      </c>
      <c r="BB8" s="9">
        <f>IF(BB2&lt;&gt;"",MAX(Weight_lookup),"")</f>
        <v>9.372429125001866E-2</v>
      </c>
      <c r="BD8" s="149"/>
      <c r="BE8" s="144"/>
      <c r="BF8" s="3">
        <f t="shared" si="32"/>
        <v>9.3376902663461964E-2</v>
      </c>
      <c r="BG8" s="3">
        <f t="shared" si="33"/>
        <v>0.17505515252541035</v>
      </c>
      <c r="BH8" s="3">
        <f t="shared" si="34"/>
        <v>32.63248924966755</v>
      </c>
      <c r="BI8" s="3">
        <f t="shared" si="99"/>
        <v>32.63248924966755</v>
      </c>
      <c r="BJ8" s="35">
        <f t="shared" si="35"/>
        <v>2.0102555670142616E-2</v>
      </c>
      <c r="BO8" s="142"/>
      <c r="BP8" s="3">
        <f t="shared" si="36"/>
        <v>34.212053571428569</v>
      </c>
      <c r="BQ8" s="3">
        <f t="shared" si="37"/>
        <v>31.162053571428572</v>
      </c>
      <c r="BR8" s="3">
        <f t="shared" si="38"/>
        <v>17.292360291772958</v>
      </c>
      <c r="BS8" s="3">
        <f>IF(AND(Sufficient_data="Yes",Include_study?="Yes"),IF(Add_0_5="Yes",(a_+d_+1)*(ab_+0.5)*(c_+0.5)/(Number_of_subjects+2)^2,(a_+d_)*b_*c_/Number_of_subjects^2),"")</f>
        <v>15.750748684630102</v>
      </c>
      <c r="BT8" s="3">
        <f t="shared" si="39"/>
        <v>16.919693279655608</v>
      </c>
      <c r="BU8" s="3">
        <f t="shared" si="40"/>
        <v>15.411304886798467</v>
      </c>
      <c r="BV8" s="3">
        <f t="shared" si="41"/>
        <v>31.162053571428572</v>
      </c>
      <c r="BW8" s="3">
        <f t="shared" si="42"/>
        <v>1.3071571032085089E-2</v>
      </c>
      <c r="BX8" s="3">
        <f t="shared" si="43"/>
        <v>32.63248924966755</v>
      </c>
      <c r="BY8" s="35">
        <f t="shared" si="44"/>
        <v>2.0102555670142533E-2</v>
      </c>
      <c r="CA8" s="3" t="s">
        <v>304</v>
      </c>
      <c r="CB8" s="3">
        <f>lnCES_OddsRatio_MH+ABS(TINV((1-Confidence_level),k_-1))*SQRT(T2_MH+SElnCES_MH^2)</f>
        <v>0.12464422276915946</v>
      </c>
      <c r="CD8" s="142"/>
      <c r="CE8" s="76">
        <f t="shared" si="45"/>
        <v>75.55</v>
      </c>
      <c r="CF8" s="3">
        <f t="shared" si="46"/>
        <v>32.707951295799823</v>
      </c>
      <c r="CG8" s="3">
        <f t="shared" si="47"/>
        <v>9.3249496809409207E-2</v>
      </c>
      <c r="CH8" s="3">
        <f t="shared" si="48"/>
        <v>3.0573605511281732E-2</v>
      </c>
      <c r="CI8" s="3">
        <f t="shared" si="49"/>
        <v>32.707951295799823</v>
      </c>
      <c r="CJ8" s="3">
        <f t="shared" si="50"/>
        <v>32.707951295799823</v>
      </c>
      <c r="CK8" s="35">
        <f t="shared" si="51"/>
        <v>1.9957420240721738E-2</v>
      </c>
      <c r="CM8" s="3" t="s">
        <v>304</v>
      </c>
      <c r="CN8" s="3">
        <f>lnCES_PetoOddsRatio+ABS(TINV((1-Confidence_level),k_-1))*SQRT(T2_Peto+SElnCES_Peto^2)</f>
        <v>0.12456197059158404</v>
      </c>
      <c r="CP8" s="142"/>
      <c r="CQ8" s="52">
        <f t="shared" si="52"/>
        <v>0.12946428571428573</v>
      </c>
      <c r="CX8" s="149"/>
      <c r="CY8" s="48">
        <f t="shared" si="53"/>
        <v>8</v>
      </c>
      <c r="CZ8" s="6" t="str">
        <f t="shared" si="54"/>
        <v>Saffarayazdi et al.</v>
      </c>
      <c r="DA8" s="17" t="str">
        <f t="shared" si="55"/>
        <v>Multimodal</v>
      </c>
      <c r="DB8" s="3">
        <f t="shared" si="56"/>
        <v>9.3376902663461964E-2</v>
      </c>
      <c r="DC8" s="3">
        <f t="shared" si="57"/>
        <v>0.17505515252541035</v>
      </c>
      <c r="DD8" s="3">
        <f t="shared" si="58"/>
        <v>32.63248924966755</v>
      </c>
      <c r="DE8" s="3">
        <f t="shared" si="59"/>
        <v>32.63248924966755</v>
      </c>
      <c r="DF8" s="80">
        <f t="shared" si="60"/>
        <v>0.10360970210454223</v>
      </c>
      <c r="DG8" s="3">
        <f t="shared" si="61"/>
        <v>1.0978754494792486</v>
      </c>
      <c r="DH8" s="3">
        <f t="shared" si="62"/>
        <v>0.77872570869217395</v>
      </c>
      <c r="DI8" s="3">
        <f t="shared" si="63"/>
        <v>1.5478242070543002</v>
      </c>
      <c r="DJ8" s="35">
        <f t="shared" si="64"/>
        <v>3.0045009683675961E-2</v>
      </c>
      <c r="DL8" s="44">
        <f t="shared" si="65"/>
        <v>1.0978754494792486</v>
      </c>
      <c r="DM8" s="3">
        <f t="shared" si="100"/>
        <v>0.3191497407870747</v>
      </c>
      <c r="DN8" s="35">
        <f t="shared" si="101"/>
        <v>0.44994875757505159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9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305</v>
      </c>
      <c r="FP8" s="6">
        <f>COUNTIFS(Include_study?,"Yes",Sufficient_data,"Yes",Moderator,"&lt;&gt;")</f>
        <v>0</v>
      </c>
      <c r="FR8" s="149"/>
      <c r="FS8" s="144"/>
      <c r="FT8" s="76">
        <f>IF(AND(Include_study?="Yes",Sufficient_data="Yes"),IF(Additional_weighting_method="Inverse Variance",1/'Publication Bias Analysis'!F:F^2,IF(Additional_weighting_method="Mantel-Haenszel",Weightf_MH,Weightf_Peto)),"")</f>
        <v>32.63248924966755</v>
      </c>
      <c r="FU8" s="3">
        <f>IF(AND(Include_study?="Yes",Sufficient_data="Yes"),1/('Publication Bias Analysis'!F:F^2+IF(Additional_model="Fixed effect",0,Calculations!GH$12)),"")</f>
        <v>32.63248924966755</v>
      </c>
      <c r="FV8" s="3">
        <f>IF(AND(Include_study?="Yes",Sufficient_data="Yes"),1/('Publication Bias Analysis'!F:F^2+IF(Additional_model="Fixed effect",0,'Publication Bias Analysis'!L$32)),"")</f>
        <v>32.63248924966755</v>
      </c>
      <c r="FW8" s="3">
        <f>IF(AND(Include_study?="Yes",Sufficient_data="Yes"),'Publication Bias Analysis'!E:E-'Publication Bias Analysis'!I$37,"")</f>
        <v>2.0102555670142616E-2</v>
      </c>
      <c r="FX8" s="3">
        <f>IF(AND(Include_study?="Yes",Sufficient_data="Yes"),IF(Additional_model="Fixed effect",1/'Publication Bias Analysis'!F:F,1/SQRT('Publication Bias Analysis'!F:F^2+GH$12)),"")</f>
        <v>5.7124853828843669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0.53341419156404279</v>
      </c>
      <c r="FZ8" s="6">
        <f t="shared" si="80"/>
        <v>4</v>
      </c>
      <c r="GA8" s="83">
        <f>IF(AND(Include_study?="Yes",Sufficient_data="Yes"),FZ:FZ+IF(GL:GL&lt;0,-1,1)*COUNTIF(FZ$2:FZ7,FZ:FZ),"")</f>
        <v>4</v>
      </c>
      <c r="GB8" s="83">
        <f>IF(AND(Include_study?="Yes",Sufficient_data="Yes"),RANK(GP:GP,GP:GP,1)*IF(GO:GO&lt;0,-1,1)+IF(GO:GO&lt;0,-1,1)*COUNTIF(FZ$2:FZ7,FZ:FZ),"")</f>
        <v>4</v>
      </c>
      <c r="GC8" s="83">
        <f>IF(AND(Include_study?="Yes",Sufficient_data="Yes"),RANK(GS:GS,GS:GS,1)*IF(GR:GR&lt;0,-1,1)+IF(GR:GR&lt;0,-1,1)*COUNTIF(FZ$2:FZ7,FZ:FZ),"")</f>
        <v>4</v>
      </c>
      <c r="GD8" s="3">
        <f>IF(AND(Include_study?="Yes",Sufficient_data="Yes"),'Publication Bias Analysis'!E8,NA())</f>
        <v>9.3376902663461964E-2</v>
      </c>
      <c r="GE8" s="35">
        <f>IF(AND(Include_study?="Yes",Sufficient_data="Yes"),'Publication Bias Analysis'!F8,NA())</f>
        <v>0.17505515252541035</v>
      </c>
      <c r="GG8" s="2" t="s">
        <v>249</v>
      </c>
      <c r="GH8" s="3">
        <f>IF(Trim_and_fill="Off",'Publication Bias Analysis'!I29,'Publication Bias Analysis'!I37)</f>
        <v>7.3274346993319348E-2</v>
      </c>
      <c r="GI8" s="3">
        <f>IF(Trim_and_fill="Off",GH17,GH22)</f>
        <v>0.25002717064528379</v>
      </c>
      <c r="GK8" s="142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2.0102555670142616E-2</v>
      </c>
      <c r="GM8" s="3">
        <f t="shared" si="81"/>
        <v>2.0102555670142616E-2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32.63248924966755</v>
      </c>
      <c r="GO8" s="3">
        <f>IF(AND(Include_study?="Yes",Sufficient_data="Yes"),IF('Publication Bias Analysis'!L$38="Left",'Publication Bias Analysis'!E:E-GW$3,GW$3-'Publication Bias Analysis'!E:E),"")</f>
        <v>2.0102555670142616E-2</v>
      </c>
      <c r="GP8" s="3">
        <f t="shared" si="82"/>
        <v>2.0102555670142616E-2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32.63248924966755</v>
      </c>
      <c r="GR8" s="3">
        <f>IF(AND(Include_study?="Yes",Sufficient_data="Yes"),IF('Publication Bias Analysis'!L$38="Left",'Publication Bias Analysis'!E:E-GW$10,GW$10-'Publication Bias Analysis'!E:E),"")</f>
        <v>2.0102555670142616E-2</v>
      </c>
      <c r="GS8" s="3">
        <f t="shared" si="83"/>
        <v>2.0102555670142616E-2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32.63248924966755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2"/>
      <c r="HL8" s="3">
        <f t="shared" si="89"/>
        <v>0.18913183007335377</v>
      </c>
      <c r="HM8" s="35">
        <f>IF(AND(Include_study?="Yes",Sufficient_data="Yes"),Z_score-('Publication Bias Analysis'!P$3+'Publication Bias Analysis'!P$4*Inverse_standard_error),"")</f>
        <v>0.25560027837610055</v>
      </c>
      <c r="HO8" s="142"/>
      <c r="HP8" s="3">
        <f>IF(AND(Include_study?="Yes",Sufficient_data="Yes"),(GD:GD-SUMPRODUCT(Calculations!FT:FT,'Publication Bias Analysis'!E:E)/SUM(Calculations!FT:FT))/SQRT(Calculations!HQ:HQ),"")</f>
        <v>0.12030378559132296</v>
      </c>
      <c r="HQ8" s="3">
        <f>IF(AND(Include_study?="Yes",Sufficient_data="Yes"),GE:GE^2-1/SUM(Calculations!FT:FT),"")</f>
        <v>2.7921835235472141E-2</v>
      </c>
      <c r="HR8" s="6">
        <f t="shared" si="90"/>
        <v>5</v>
      </c>
      <c r="HS8" s="6">
        <f t="shared" si="91"/>
        <v>7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9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2</v>
      </c>
      <c r="HW8" s="142"/>
      <c r="HX8" s="20">
        <v>7</v>
      </c>
      <c r="HY8" s="3">
        <f t="shared" si="123"/>
        <v>0.30000000000000004</v>
      </c>
      <c r="HZ8" s="35">
        <f>HZ7+HY14</f>
        <v>0.5</v>
      </c>
      <c r="IB8" s="142"/>
      <c r="IC8" s="76">
        <f t="shared" si="92"/>
        <v>0.14035714285714285</v>
      </c>
      <c r="ID8" s="3">
        <f t="shared" si="93"/>
        <v>0.12946428571428573</v>
      </c>
      <c r="IE8" s="3">
        <f t="shared" si="94"/>
        <v>43.583769240224527</v>
      </c>
      <c r="IF8" s="35">
        <f t="shared" si="95"/>
        <v>32.63248924966755</v>
      </c>
      <c r="IK8" s="142"/>
      <c r="IL8" s="3">
        <f>IF(AND(Include_study?="Yes",Sufficient_data="Yes"),'Publication Bias Analysis'!AV:AV,NA())</f>
        <v>0.53341419156404279</v>
      </c>
      <c r="IM8" s="3">
        <f>IF(AND(Sufficient_data="Yes",Include_study?="Yes"),'Publication Bias Analysis'!AU:AU,NA())</f>
        <v>5.7124853828843669</v>
      </c>
      <c r="IN8" s="3">
        <f t="shared" si="96"/>
        <v>0.18913183007335377</v>
      </c>
      <c r="IO8" s="35">
        <f>IF(AND(Include_study?="Yes",Sufficient_data="Yes"),Z_score-('Publication Bias Analysis'!AY$30+'Publication Bias Analysis'!AY$31*Inverse_standard_error),"")</f>
        <v>0.11483555542430895</v>
      </c>
      <c r="IQ8" s="24" t="s">
        <v>249</v>
      </c>
      <c r="IR8" s="2" t="s">
        <v>245</v>
      </c>
      <c r="IS8" s="2" t="s">
        <v>246</v>
      </c>
      <c r="IU8" s="142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0.6216216216216216</v>
      </c>
      <c r="IX8" s="3">
        <f>IF('Publication Bias Analysis'!BF8&lt;&gt;"",'Publication Bias Analysis'!BF8,NA())</f>
        <v>0.30974253153853021</v>
      </c>
      <c r="IY8" s="3">
        <f>IF('Publication Bias Analysis'!BG8&lt;&gt;"",'Publication Bias Analysis'!BG8,NA())</f>
        <v>0.53341419156404279</v>
      </c>
      <c r="IZ8" s="3">
        <f>IF(AND(Include_study?="Yes",Sufficient_data="Yes"),'Publication Bias Analysis'!BF:BF-AVERAGE('Publication Bias Analysis'!BF:BF),"")</f>
        <v>0.30974253153853037</v>
      </c>
      <c r="JA8" s="35">
        <f>IF(AND(Include_study?="Yes",Sufficient_data="Yes"),'Publication Bias Analysis'!BG:BG-('Publication Bias Analysis'!BJ$30+'Publication Bias Analysis'!BJ$31*'Publication Bias Analysis'!BF:BF),"")</f>
        <v>-2.6978847882796253E-2</v>
      </c>
      <c r="JG8" s="142"/>
      <c r="JH8" s="3">
        <f t="shared" si="98"/>
        <v>0.53341419156404279</v>
      </c>
      <c r="JI8" s="10">
        <f t="shared" si="124"/>
        <v>0.29687344790167891</v>
      </c>
      <c r="JJ8" s="35">
        <f t="shared" si="125"/>
        <v>-1.2144493323275585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68</v>
      </c>
      <c r="C9" s="6">
        <f>IF(AND(Include_study?="Yes",Sufficient_data="Yes"),IF(Input!b_&lt;&gt;"",Input!b_,Input!n1_-Input!a_),"")</f>
        <v>492</v>
      </c>
      <c r="D9" s="6">
        <f>IF(AND(Include_study?="Yes",Sufficient_data="Yes"),IF(Input!c_&lt;&gt;"",Input!c_,Input!n2_-Input!d_),"")</f>
        <v>60</v>
      </c>
      <c r="E9" s="6">
        <f>IF(AND(Include_study?="Yes",Sufficient_data="Yes"),IF(Input!d_&lt;&gt;"",Input!d_,Input!n2_-Input!c_),"")</f>
        <v>500</v>
      </c>
      <c r="F9" s="35" t="str">
        <f t="shared" si="1"/>
        <v>No</v>
      </c>
      <c r="H9" s="149"/>
      <c r="I9" s="144"/>
      <c r="J9" s="76">
        <f t="shared" si="2"/>
        <v>1.1517615176151761</v>
      </c>
      <c r="K9" s="3">
        <f t="shared" si="3"/>
        <v>0.14129252488388958</v>
      </c>
      <c r="L9" s="3">
        <f t="shared" si="4"/>
        <v>0.18816234837185439</v>
      </c>
      <c r="M9" s="3">
        <f t="shared" si="5"/>
        <v>0.79620500214202961</v>
      </c>
      <c r="N9" s="35">
        <f t="shared" si="6"/>
        <v>1.6660967839819956</v>
      </c>
      <c r="P9" s="142"/>
      <c r="Q9" s="76">
        <f t="shared" si="7"/>
        <v>1.1514281301210014</v>
      </c>
      <c r="R9" s="3">
        <f t="shared" si="8"/>
        <v>0.18775184699061442</v>
      </c>
      <c r="S9" s="3">
        <f t="shared" si="9"/>
        <v>0.79661590150297046</v>
      </c>
      <c r="T9" s="35">
        <f t="shared" si="10"/>
        <v>1.6642735053776754</v>
      </c>
      <c r="V9" s="142"/>
      <c r="W9" s="76">
        <f t="shared" si="11"/>
        <v>1.428571428571429E-2</v>
      </c>
      <c r="X9" s="3">
        <f t="shared" si="12"/>
        <v>1.9008782687010298E-2</v>
      </c>
      <c r="Y9" s="3">
        <f t="shared" si="13"/>
        <v>-2.3011192645447535E-2</v>
      </c>
      <c r="Z9" s="35">
        <f t="shared" si="14"/>
        <v>5.1582621216876116E-2</v>
      </c>
      <c r="AB9" s="142"/>
      <c r="AC9" s="76">
        <f t="shared" si="15"/>
        <v>1.1333333333333333</v>
      </c>
      <c r="AD9" s="3">
        <f t="shared" si="16"/>
        <v>0.12516314295400599</v>
      </c>
      <c r="AE9" s="3">
        <f t="shared" si="17"/>
        <v>0.16673667997228225</v>
      </c>
      <c r="AF9" s="3">
        <f t="shared" si="18"/>
        <v>0.81710398292428077</v>
      </c>
      <c r="AG9" s="35">
        <f t="shared" si="19"/>
        <v>1.5719473546654723</v>
      </c>
      <c r="AI9" s="149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Saffarayazdi et al.</v>
      </c>
      <c r="AN9" s="6">
        <f t="shared" si="21"/>
        <v>1120</v>
      </c>
      <c r="AO9" s="3">
        <f t="shared" si="22"/>
        <v>1.1517615176151761</v>
      </c>
      <c r="AP9" s="3">
        <f t="shared" si="23"/>
        <v>28.24454290036741</v>
      </c>
      <c r="AQ9" s="3">
        <f t="shared" si="24"/>
        <v>28.24454290036741</v>
      </c>
      <c r="AR9" s="3">
        <f t="shared" si="25"/>
        <v>0.18816234837185439</v>
      </c>
      <c r="AS9" s="3">
        <f t="shared" si="26"/>
        <v>0.79620500214202961</v>
      </c>
      <c r="AT9" s="3">
        <f t="shared" si="27"/>
        <v>1.6660967839819956</v>
      </c>
      <c r="AU9" s="80">
        <f t="shared" si="28"/>
        <v>7.6894954327254808E-2</v>
      </c>
      <c r="AW9" s="44">
        <f t="shared" si="29"/>
        <v>1.1517615176151761</v>
      </c>
      <c r="AX9" s="3">
        <f t="shared" si="30"/>
        <v>0.35555651547314648</v>
      </c>
      <c r="AY9" s="35">
        <f t="shared" si="31"/>
        <v>0.51433526636681948</v>
      </c>
      <c r="BD9" s="149"/>
      <c r="BE9" s="144"/>
      <c r="BF9" s="3">
        <f t="shared" si="32"/>
        <v>0.14129252488388958</v>
      </c>
      <c r="BG9" s="3">
        <f t="shared" si="33"/>
        <v>0.18816234837185439</v>
      </c>
      <c r="BH9" s="3">
        <f t="shared" si="34"/>
        <v>28.24454290036741</v>
      </c>
      <c r="BI9" s="3">
        <f t="shared" si="99"/>
        <v>28.24454290036741</v>
      </c>
      <c r="BJ9" s="35">
        <f t="shared" si="35"/>
        <v>6.8018177890570228E-2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1.0760257008399443</v>
      </c>
      <c r="BO9" s="142"/>
      <c r="BP9" s="3">
        <f t="shared" si="36"/>
        <v>30.357142857142858</v>
      </c>
      <c r="BQ9" s="3">
        <f t="shared" si="37"/>
        <v>26.357142857142858</v>
      </c>
      <c r="BR9" s="3">
        <f t="shared" si="38"/>
        <v>15.395408163265307</v>
      </c>
      <c r="BS9" s="3">
        <f>IF(AND(Sufficient_data="Yes",Include_study?="Yes"),IF(Add_0_5="Yes",(a_+d_+1)*(ab_+0.5)*(c_+0.5)/(Number_of_subjects+2)^2,(a_+d_)*b_*c_/Number_of_subjects^2),"")</f>
        <v>13.366836734693878</v>
      </c>
      <c r="BT9" s="3">
        <f t="shared" si="39"/>
        <v>14.961734693877551</v>
      </c>
      <c r="BU9" s="3">
        <f t="shared" si="40"/>
        <v>12.990306122448979</v>
      </c>
      <c r="BV9" s="3">
        <f t="shared" si="41"/>
        <v>26.357142857142858</v>
      </c>
      <c r="BW9" s="3">
        <f t="shared" si="42"/>
        <v>0.1303334329355923</v>
      </c>
      <c r="BX9" s="3">
        <f t="shared" si="43"/>
        <v>28.24454290036741</v>
      </c>
      <c r="BY9" s="35">
        <f t="shared" si="44"/>
        <v>6.8018177890570145E-2</v>
      </c>
      <c r="CD9" s="142"/>
      <c r="CE9" s="76">
        <f t="shared" si="45"/>
        <v>64</v>
      </c>
      <c r="CF9" s="3">
        <f t="shared" si="46"/>
        <v>28.368185880250223</v>
      </c>
      <c r="CG9" s="3">
        <f t="shared" si="47"/>
        <v>0.14100302419354838</v>
      </c>
      <c r="CH9" s="3">
        <f t="shared" si="48"/>
        <v>3.5250756048387094E-2</v>
      </c>
      <c r="CI9" s="3">
        <f t="shared" si="49"/>
        <v>28.368185880250223</v>
      </c>
      <c r="CJ9" s="3">
        <f t="shared" si="50"/>
        <v>28.368185880250227</v>
      </c>
      <c r="CK9" s="35">
        <f t="shared" si="51"/>
        <v>6.7710947624860907E-2</v>
      </c>
      <c r="CP9" s="142"/>
      <c r="CQ9" s="52">
        <f t="shared" si="52"/>
        <v>0.10714285714285714</v>
      </c>
      <c r="CS9" s="128" t="s">
        <v>152</v>
      </c>
      <c r="CT9" s="128"/>
      <c r="CU9" s="128"/>
      <c r="CV9" s="128"/>
      <c r="CX9" s="149"/>
      <c r="CY9" s="48">
        <f t="shared" si="53"/>
        <v>9</v>
      </c>
      <c r="CZ9" s="6" t="str">
        <f t="shared" si="54"/>
        <v>Saffarayazdi et al.</v>
      </c>
      <c r="DA9" s="17" t="str">
        <f t="shared" si="55"/>
        <v>Multimodal</v>
      </c>
      <c r="DB9" s="3">
        <f t="shared" si="56"/>
        <v>0.14129252488388958</v>
      </c>
      <c r="DC9" s="3">
        <f t="shared" si="57"/>
        <v>0.18816234837185439</v>
      </c>
      <c r="DD9" s="3">
        <f t="shared" si="58"/>
        <v>28.24454290036741</v>
      </c>
      <c r="DE9" s="3">
        <f t="shared" si="59"/>
        <v>28.24454290036741</v>
      </c>
      <c r="DF9" s="80">
        <f t="shared" si="60"/>
        <v>8.9677764193727388E-2</v>
      </c>
      <c r="DG9" s="3">
        <f t="shared" si="61"/>
        <v>1.1517615176151761</v>
      </c>
      <c r="DH9" s="3">
        <f t="shared" si="62"/>
        <v>0.79620528683336445</v>
      </c>
      <c r="DI9" s="3">
        <f t="shared" si="63"/>
        <v>1.6660961882520688</v>
      </c>
      <c r="DJ9" s="35">
        <f t="shared" si="64"/>
        <v>7.7960631904103572E-2</v>
      </c>
      <c r="DL9" s="44">
        <f t="shared" si="65"/>
        <v>1.1517615176151761</v>
      </c>
      <c r="DM9" s="3">
        <f t="shared" si="100"/>
        <v>0.35555623078181164</v>
      </c>
      <c r="DN9" s="35">
        <f t="shared" si="101"/>
        <v>0.51433467063689275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1.0797157181461929</v>
      </c>
      <c r="FA9" s="149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9"/>
      <c r="FS9" s="144"/>
      <c r="FT9" s="76">
        <f>IF(AND(Include_study?="Yes",Sufficient_data="Yes"),IF(Additional_weighting_method="Inverse Variance",1/'Publication Bias Analysis'!F:F^2,IF(Additional_weighting_method="Mantel-Haenszel",Weightf_MH,Weightf_Peto)),"")</f>
        <v>28.24454290036741</v>
      </c>
      <c r="FU9" s="3">
        <f>IF(AND(Include_study?="Yes",Sufficient_data="Yes"),1/('Publication Bias Analysis'!F:F^2+IF(Additional_model="Fixed effect",0,Calculations!GH$12)),"")</f>
        <v>28.24454290036741</v>
      </c>
      <c r="FV9" s="3">
        <f>IF(AND(Include_study?="Yes",Sufficient_data="Yes"),1/('Publication Bias Analysis'!F:F^2+IF(Additional_model="Fixed effect",0,'Publication Bias Analysis'!L$32)),"")</f>
        <v>28.24454290036741</v>
      </c>
      <c r="FW9" s="3">
        <f>IF(AND(Include_study?="Yes",Sufficient_data="Yes"),'Publication Bias Analysis'!E:E-'Publication Bias Analysis'!I$37,"")</f>
        <v>6.8018177890570228E-2</v>
      </c>
      <c r="FX9" s="3">
        <f>IF(AND(Include_study?="Yes",Sufficient_data="Yes"),IF(Additional_model="Fixed effect",1/'Publication Bias Analysis'!F:F,1/SQRT('Publication Bias Analysis'!F:F^2+GH$12)),"")</f>
        <v>5.3145595208227192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0.75090753334275628</v>
      </c>
      <c r="FZ9" s="6">
        <f t="shared" si="80"/>
        <v>6</v>
      </c>
      <c r="GA9" s="83">
        <f>IF(AND(Include_study?="Yes",Sufficient_data="Yes"),FZ:FZ+IF(GL:GL&lt;0,-1,1)*COUNTIF(FZ$2:FZ8,FZ:FZ),"")</f>
        <v>6</v>
      </c>
      <c r="GB9" s="83">
        <f>IF(AND(Include_study?="Yes",Sufficient_data="Yes"),RANK(GP:GP,GP:GP,1)*IF(GO:GO&lt;0,-1,1)+IF(GO:GO&lt;0,-1,1)*COUNTIF(FZ$2:FZ8,FZ:FZ),"")</f>
        <v>6</v>
      </c>
      <c r="GC9" s="83">
        <f>IF(AND(Include_study?="Yes",Sufficient_data="Yes"),RANK(GS:GS,GS:GS,1)*IF(GR:GR&lt;0,-1,1)+IF(GR:GR&lt;0,-1,1)*COUNTIF(FZ$2:FZ8,FZ:FZ),"")</f>
        <v>6</v>
      </c>
      <c r="GD9" s="3">
        <f>IF(AND(Include_study?="Yes",Sufficient_data="Yes"),'Publication Bias Analysis'!E9,NA())</f>
        <v>0.14129252488388958</v>
      </c>
      <c r="GE9" s="35">
        <f>IF(AND(Include_study?="Yes",Sufficient_data="Yes"),'Publication Bias Analysis'!F9,NA())</f>
        <v>0.18816234837185439</v>
      </c>
      <c r="GK9" s="142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6.8018177890570228E-2</v>
      </c>
      <c r="GM9" s="3">
        <f t="shared" si="81"/>
        <v>6.8018177890570228E-2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28.24454290036741</v>
      </c>
      <c r="GO9" s="3">
        <f>IF(AND(Include_study?="Yes",Sufficient_data="Yes"),IF('Publication Bias Analysis'!L$38="Left",'Publication Bias Analysis'!E:E-GW$3,GW$3-'Publication Bias Analysis'!E:E),"")</f>
        <v>6.8018177890570228E-2</v>
      </c>
      <c r="GP9" s="3">
        <f t="shared" si="82"/>
        <v>6.8018177890570228E-2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28.24454290036741</v>
      </c>
      <c r="GR9" s="3">
        <f>IF(AND(Include_study?="Yes",Sufficient_data="Yes"),IF('Publication Bias Analysis'!L$38="Left",'Publication Bias Analysis'!E:E-GW$10,GW$10-'Publication Bias Analysis'!E:E),"")</f>
        <v>6.8018177890570228E-2</v>
      </c>
      <c r="GS9" s="3">
        <f t="shared" si="83"/>
        <v>6.8018177890570228E-2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28.24454290036741</v>
      </c>
      <c r="GV9" s="128" t="s">
        <v>105</v>
      </c>
      <c r="GW9" s="12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2"/>
      <c r="HL9" s="3">
        <f t="shared" si="89"/>
        <v>-0.20879403198829394</v>
      </c>
      <c r="HM9" s="35">
        <f>IF(AND(Include_study?="Yes",Sufficient_data="Yes"),Z_score-('Publication Bias Analysis'!P$3+'Publication Bias Analysis'!P$4*Inverse_standard_error),"")</f>
        <v>0.17403736495355548</v>
      </c>
      <c r="HO9" s="142"/>
      <c r="HP9" s="3">
        <f>IF(AND(Include_study?="Yes",Sufficient_data="Yes"),(GD:GD-SUMPRODUCT(Calculations!FT:FT,'Publication Bias Analysis'!E:E)/SUM(Calculations!FT:FT))/SQRT(Calculations!HQ:HQ),"")</f>
        <v>0.37624150810966606</v>
      </c>
      <c r="HQ9" s="3">
        <f>IF(AND(Include_study?="Yes",Sufficient_data="Yes"),GE:GE^2-1/SUM(Calculations!FT:FT),"")</f>
        <v>3.2682598154588557E-2</v>
      </c>
      <c r="HR9" s="6">
        <f t="shared" si="90"/>
        <v>4</v>
      </c>
      <c r="HS9" s="6">
        <f t="shared" si="91"/>
        <v>4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9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42"/>
      <c r="HX9" s="20">
        <v>8</v>
      </c>
      <c r="HY9" s="3">
        <f t="shared" si="123"/>
        <v>0.5</v>
      </c>
      <c r="HZ9" s="35">
        <f>HZ8+HY14</f>
        <v>0.7</v>
      </c>
      <c r="IB9" s="142"/>
      <c r="IC9" s="76">
        <f t="shared" si="92"/>
        <v>0.12142857142857143</v>
      </c>
      <c r="ID9" s="3">
        <f t="shared" si="93"/>
        <v>0.10714285714285714</v>
      </c>
      <c r="IE9" s="3">
        <f t="shared" si="94"/>
        <v>35.969773299748113</v>
      </c>
      <c r="IF9" s="35">
        <f t="shared" si="95"/>
        <v>28.24454290036741</v>
      </c>
      <c r="IK9" s="142"/>
      <c r="IL9" s="3">
        <f>IF(AND(Include_study?="Yes",Sufficient_data="Yes"),'Publication Bias Analysis'!AV:AV,NA())</f>
        <v>0.75090753334275628</v>
      </c>
      <c r="IM9" s="3">
        <f>IF(AND(Sufficient_data="Yes",Include_study?="Yes"),'Publication Bias Analysis'!AU:AU,NA())</f>
        <v>5.3145595208227192</v>
      </c>
      <c r="IN9" s="3">
        <f t="shared" si="96"/>
        <v>-0.20879403198829394</v>
      </c>
      <c r="IO9" s="35">
        <f>IF(AND(Include_study?="Yes",Sufficient_data="Yes"),Z_score-('Publication Bias Analysis'!AY$30+'Publication Bias Analysis'!AY$31*Inverse_standard_error),"")</f>
        <v>0.36148665489734333</v>
      </c>
      <c r="IQ9" s="2" t="s">
        <v>101</v>
      </c>
      <c r="IR9" s="3">
        <v>0</v>
      </c>
      <c r="IS9" s="3">
        <f>ABS(TINV((1-Additional_confidence_level),k_-1))</f>
        <v>2.2009851600916384</v>
      </c>
      <c r="IU9" s="142"/>
      <c r="IV9" s="6">
        <f>IF('Publication Bias Analysis'!BG:BG&lt;&gt;"",RANK('Publication Bias Analysis'!BG:BG,'Publication Bias Analysis'!BG:BG,1)+COUNTIF('Publication Bias Analysis'!BG$2:BG8,'Publication Bias Analysis'!BG9),"")</f>
        <v>9</v>
      </c>
      <c r="IW9" s="3">
        <f t="shared" si="97"/>
        <v>0.70270270270270263</v>
      </c>
      <c r="IX9" s="3">
        <f>IF('Publication Bias Analysis'!BF9&lt;&gt;"",'Publication Bias Analysis'!BF9,NA())</f>
        <v>0.53218973091930399</v>
      </c>
      <c r="IY9" s="3">
        <f>IF('Publication Bias Analysis'!BG9&lt;&gt;"",'Publication Bias Analysis'!BG9,NA())</f>
        <v>0.75090753334275628</v>
      </c>
      <c r="IZ9" s="3">
        <f>IF(AND(Include_study?="Yes",Sufficient_data="Yes"),'Publication Bias Analysis'!BF:BF-AVERAGE('Publication Bias Analysis'!BF:BF),"")</f>
        <v>0.5321897309193041</v>
      </c>
      <c r="JA9" s="35">
        <f>IF(AND(Include_study?="Yes",Sufficient_data="Yes"),'Publication Bias Analysis'!BG:BG-('Publication Bias Analysis'!BJ$30+'Publication Bias Analysis'!BJ$31*'Publication Bias Analysis'!BF:BF),"")</f>
        <v>8.9655370193369666E-2</v>
      </c>
      <c r="JG9" s="142"/>
      <c r="JH9" s="3">
        <f t="shared" si="98"/>
        <v>0.75090753334275628</v>
      </c>
      <c r="JI9" s="10">
        <f t="shared" si="124"/>
        <v>0.22635415314102225</v>
      </c>
      <c r="JJ9" s="35">
        <f t="shared" si="125"/>
        <v>-1.4856544569538424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77.599999999999994</v>
      </c>
      <c r="C10" s="6">
        <f>IF(AND(Include_study?="Yes",Sufficient_data="Yes"),IF(Input!b_&lt;&gt;"",Input!b_,Input!n1_-Input!a_),"")</f>
        <v>482.4</v>
      </c>
      <c r="D10" s="6">
        <f>IF(AND(Include_study?="Yes",Sufficient_data="Yes"),IF(Input!c_&lt;&gt;"",Input!c_,Input!n2_-Input!d_),"")</f>
        <v>80.5</v>
      </c>
      <c r="E10" s="6">
        <f>IF(AND(Include_study?="Yes",Sufficient_data="Yes"),IF(Input!d_&lt;&gt;"",Input!d_,Input!n2_-Input!c_),"")</f>
        <v>479.5</v>
      </c>
      <c r="F10" s="35" t="str">
        <f t="shared" si="1"/>
        <v>No</v>
      </c>
      <c r="H10" s="149"/>
      <c r="I10" s="144"/>
      <c r="J10" s="76">
        <f t="shared" si="2"/>
        <v>0.95818011392313795</v>
      </c>
      <c r="K10" s="3">
        <f t="shared" si="3"/>
        <v>-4.2719508324827377E-2</v>
      </c>
      <c r="L10" s="3">
        <f t="shared" si="4"/>
        <v>0.1716608062797424</v>
      </c>
      <c r="M10" s="3">
        <f t="shared" si="5"/>
        <v>0.68418075182769833</v>
      </c>
      <c r="N10" s="35">
        <f t="shared" si="6"/>
        <v>1.3419102017488076</v>
      </c>
      <c r="P10" s="142"/>
      <c r="Q10" s="76">
        <f t="shared" si="7"/>
        <v>0.9582206191924314</v>
      </c>
      <c r="R10" s="3">
        <f t="shared" si="8"/>
        <v>0.17155925103284259</v>
      </c>
      <c r="S10" s="3">
        <f t="shared" si="9"/>
        <v>0.68434602372692532</v>
      </c>
      <c r="T10" s="35">
        <f t="shared" si="10"/>
        <v>1.3416995543352652</v>
      </c>
      <c r="V10" s="142"/>
      <c r="W10" s="76">
        <f t="shared" si="11"/>
        <v>-5.1785714285714213E-3</v>
      </c>
      <c r="X10" s="3">
        <f t="shared" si="12"/>
        <v>2.0807593276386854E-2</v>
      </c>
      <c r="Y10" s="3">
        <f t="shared" si="13"/>
        <v>-4.6004903270493683E-2</v>
      </c>
      <c r="Z10" s="35">
        <f t="shared" si="14"/>
        <v>3.564776041335084E-2</v>
      </c>
      <c r="AB10" s="142"/>
      <c r="AC10" s="76">
        <f t="shared" si="15"/>
        <v>0.96397515527950317</v>
      </c>
      <c r="AD10" s="3">
        <f t="shared" si="16"/>
        <v>-3.6689757235344553E-2</v>
      </c>
      <c r="AE10" s="3">
        <f t="shared" si="17"/>
        <v>0.14743652741150329</v>
      </c>
      <c r="AF10" s="3">
        <f t="shared" si="18"/>
        <v>0.7218245190581688</v>
      </c>
      <c r="AG10" s="35">
        <f t="shared" si="19"/>
        <v>1.2873601207238266</v>
      </c>
      <c r="AI10" s="149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Saffarayazdi et al.</v>
      </c>
      <c r="AN10" s="6">
        <f t="shared" si="21"/>
        <v>1120</v>
      </c>
      <c r="AO10" s="3">
        <f t="shared" si="22"/>
        <v>0.95818011392313795</v>
      </c>
      <c r="AP10" s="3">
        <f t="shared" si="23"/>
        <v>33.935769699840819</v>
      </c>
      <c r="AQ10" s="3">
        <f t="shared" si="24"/>
        <v>33.935769699840819</v>
      </c>
      <c r="AR10" s="3">
        <f t="shared" si="25"/>
        <v>0.1716608062797424</v>
      </c>
      <c r="AS10" s="3">
        <f t="shared" si="26"/>
        <v>0.68418075182769833</v>
      </c>
      <c r="AT10" s="3">
        <f t="shared" si="27"/>
        <v>1.3419102017488076</v>
      </c>
      <c r="AU10" s="80">
        <f t="shared" si="28"/>
        <v>9.2389155325843575E-2</v>
      </c>
      <c r="AW10" s="44">
        <f t="shared" si="29"/>
        <v>0.95818011392313795</v>
      </c>
      <c r="AX10" s="3">
        <f t="shared" si="30"/>
        <v>0.27399936209543962</v>
      </c>
      <c r="AY10" s="35">
        <f t="shared" si="31"/>
        <v>0.38373008782566964</v>
      </c>
      <c r="BD10" s="149"/>
      <c r="BE10" s="144"/>
      <c r="BF10" s="3">
        <f t="shared" si="32"/>
        <v>-4.2719508324827377E-2</v>
      </c>
      <c r="BG10" s="3">
        <f t="shared" si="33"/>
        <v>0.1716608062797424</v>
      </c>
      <c r="BH10" s="3">
        <f t="shared" si="34"/>
        <v>33.935769699840819</v>
      </c>
      <c r="BI10" s="3">
        <f t="shared" si="99"/>
        <v>33.935769699840819</v>
      </c>
      <c r="BJ10" s="35">
        <f t="shared" si="35"/>
        <v>-0.11599385531814672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2"/>
      <c r="BP10" s="3">
        <f t="shared" si="36"/>
        <v>33.222499999999997</v>
      </c>
      <c r="BQ10" s="3">
        <f t="shared" si="37"/>
        <v>34.672499999999999</v>
      </c>
      <c r="BR10" s="3">
        <f t="shared" si="38"/>
        <v>16.525227455357143</v>
      </c>
      <c r="BS10" s="3">
        <f>IF(AND(Sufficient_data="Yes",Include_study?="Yes"),IF(Add_0_5="Yes",(a_+d_+1)*(ab_+0.5)*(c_+0.5)/(Number_of_subjects+2)^2,(a_+d_)*b_*c_/Number_of_subjects^2),"")</f>
        <v>17.246472991071428</v>
      </c>
      <c r="BT10" s="3">
        <f t="shared" si="39"/>
        <v>16.697272544642853</v>
      </c>
      <c r="BU10" s="3">
        <f t="shared" si="40"/>
        <v>17.426027008928571</v>
      </c>
      <c r="BV10" s="3">
        <f t="shared" si="41"/>
        <v>34.672499999999999</v>
      </c>
      <c r="BW10" s="3">
        <f t="shared" si="42"/>
        <v>0.45728699960593344</v>
      </c>
      <c r="BX10" s="3">
        <f t="shared" si="43"/>
        <v>33.935769699840819</v>
      </c>
      <c r="BY10" s="35">
        <f t="shared" si="44"/>
        <v>-0.11599385531814681</v>
      </c>
      <c r="CA10" s="3" t="s">
        <v>306</v>
      </c>
      <c r="CB10" s="3">
        <f>IF(Meta_analysis_model="Fixed effect model",SUMPRODUCT(Weightf_MH,OddsRatio)/SUM(Weightf_MH),EXP(SUMPRODUCT(Weight_MH,LogOddsRatio)/SUM(Weight_MH)))</f>
        <v>1.0760257008399443</v>
      </c>
      <c r="CD10" s="142"/>
      <c r="CE10" s="76">
        <f t="shared" si="45"/>
        <v>79.05</v>
      </c>
      <c r="CF10" s="3">
        <f t="shared" si="46"/>
        <v>33.975958445040213</v>
      </c>
      <c r="CG10" s="3">
        <f t="shared" si="47"/>
        <v>-4.267723609167743E-2</v>
      </c>
      <c r="CH10" s="3">
        <f t="shared" si="48"/>
        <v>2.9432576614949895E-2</v>
      </c>
      <c r="CI10" s="3">
        <f t="shared" si="49"/>
        <v>33.975958445040213</v>
      </c>
      <c r="CJ10" s="3">
        <f t="shared" si="50"/>
        <v>33.975958445040213</v>
      </c>
      <c r="CK10" s="35">
        <f t="shared" si="51"/>
        <v>-0.11596931266036489</v>
      </c>
      <c r="CM10" s="3" t="s">
        <v>307</v>
      </c>
      <c r="CN10" s="3">
        <f>EXP(lnCES_PetoOddsRatio)</f>
        <v>1.0760447784878242</v>
      </c>
      <c r="CP10" s="142"/>
      <c r="CQ10" s="52">
        <f t="shared" si="52"/>
        <v>0.14374999999999999</v>
      </c>
      <c r="CS10" s="2"/>
      <c r="CT10" s="2" t="s">
        <v>40</v>
      </c>
      <c r="CU10" s="2" t="s">
        <v>64</v>
      </c>
      <c r="CV10" s="2" t="s">
        <v>65</v>
      </c>
      <c r="CX10" s="149"/>
      <c r="CY10" s="48">
        <f t="shared" si="53"/>
        <v>10</v>
      </c>
      <c r="CZ10" s="6" t="str">
        <f t="shared" si="54"/>
        <v>Saffarayazdi et al.</v>
      </c>
      <c r="DA10" s="17" t="str">
        <f t="shared" si="55"/>
        <v>Multimodal</v>
      </c>
      <c r="DB10" s="3">
        <f t="shared" si="56"/>
        <v>-4.2719508324827377E-2</v>
      </c>
      <c r="DC10" s="3">
        <f t="shared" si="57"/>
        <v>0.1716608062797424</v>
      </c>
      <c r="DD10" s="3">
        <f t="shared" si="58"/>
        <v>33.935769699840819</v>
      </c>
      <c r="DE10" s="3">
        <f t="shared" si="59"/>
        <v>33.935769699840819</v>
      </c>
      <c r="DF10" s="80">
        <f t="shared" si="60"/>
        <v>0.10774767938748891</v>
      </c>
      <c r="DG10" s="3">
        <f t="shared" si="61"/>
        <v>0.95818011392313795</v>
      </c>
      <c r="DH10" s="3">
        <f t="shared" si="62"/>
        <v>0.68418097500941588</v>
      </c>
      <c r="DI10" s="3">
        <f t="shared" si="63"/>
        <v>1.3419097640140056</v>
      </c>
      <c r="DJ10" s="35">
        <f t="shared" si="64"/>
        <v>-0.10605140130461338</v>
      </c>
      <c r="DL10" s="44">
        <f t="shared" si="65"/>
        <v>0.95818011392313795</v>
      </c>
      <c r="DM10" s="3">
        <f t="shared" si="100"/>
        <v>0.27399913891372207</v>
      </c>
      <c r="DN10" s="35">
        <f t="shared" si="101"/>
        <v>0.38372965009086768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9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308</v>
      </c>
      <c r="FP10" s="1"/>
      <c r="FR10" s="149"/>
      <c r="FS10" s="144"/>
      <c r="FT10" s="76">
        <f>IF(AND(Include_study?="Yes",Sufficient_data="Yes"),IF(Additional_weighting_method="Inverse Variance",1/'Publication Bias Analysis'!F:F^2,IF(Additional_weighting_method="Mantel-Haenszel",Weightf_MH,Weightf_Peto)),"")</f>
        <v>33.935769699840819</v>
      </c>
      <c r="FU10" s="3">
        <f>IF(AND(Include_study?="Yes",Sufficient_data="Yes"),1/('Publication Bias Analysis'!F:F^2+IF(Additional_model="Fixed effect",0,Calculations!GH$12)),"")</f>
        <v>33.935769699840819</v>
      </c>
      <c r="FV10" s="3">
        <f>IF(AND(Include_study?="Yes",Sufficient_data="Yes"),1/('Publication Bias Analysis'!F:F^2+IF(Additional_model="Fixed effect",0,'Publication Bias Analysis'!L$32)),"")</f>
        <v>33.935769699840819</v>
      </c>
      <c r="FW10" s="3">
        <f>IF(AND(Include_study?="Yes",Sufficient_data="Yes"),'Publication Bias Analysis'!E:E-'Publication Bias Analysis'!I$37,"")</f>
        <v>-0.11599385531814672</v>
      </c>
      <c r="FX10" s="3">
        <f>IF(AND(Include_study?="Yes",Sufficient_data="Yes"),IF(Additional_model="Fixed effect",1/'Publication Bias Analysis'!F:F,1/SQRT('Publication Bias Analysis'!F:F^2+GH$12)),"")</f>
        <v>5.825441588398327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-0.24886000043137793</v>
      </c>
      <c r="FZ10" s="6">
        <f t="shared" si="80"/>
        <v>-12</v>
      </c>
      <c r="GA10" s="83">
        <f>IF(AND(Include_study?="Yes",Sufficient_data="Yes"),FZ:FZ+IF(GL:GL&lt;0,-1,1)*COUNTIF(FZ$2:FZ9,FZ:FZ),"")</f>
        <v>-12</v>
      </c>
      <c r="GB10" s="83">
        <f>IF(AND(Include_study?="Yes",Sufficient_data="Yes"),RANK(GP:GP,GP:GP,1)*IF(GO:GO&lt;0,-1,1)+IF(GO:GO&lt;0,-1,1)*COUNTIF(FZ$2:FZ9,FZ:FZ),"")</f>
        <v>-12</v>
      </c>
      <c r="GC10" s="83">
        <f>IF(AND(Include_study?="Yes",Sufficient_data="Yes"),RANK(GS:GS,GS:GS,1)*IF(GR:GR&lt;0,-1,1)+IF(GR:GR&lt;0,-1,1)*COUNTIF(FZ$2:FZ9,FZ:FZ),"")</f>
        <v>-12</v>
      </c>
      <c r="GD10" s="3">
        <f>IF(AND(Include_study?="Yes",Sufficient_data="Yes"),'Publication Bias Analysis'!E10,NA())</f>
        <v>-4.2719508324827377E-2</v>
      </c>
      <c r="GE10" s="35">
        <f>IF(AND(Include_study?="Yes",Sufficient_data="Yes"),'Publication Bias Analysis'!F10,NA())</f>
        <v>0.1716608062797424</v>
      </c>
      <c r="GG10" s="128" t="s">
        <v>59</v>
      </c>
      <c r="GH10" s="128"/>
      <c r="GK10" s="142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-0.11599385531814672</v>
      </c>
      <c r="GM10" s="3">
        <f t="shared" si="81"/>
        <v>0.11599385531814672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33.935769699840819</v>
      </c>
      <c r="GO10" s="3">
        <f>IF(AND(Include_study?="Yes",Sufficient_data="Yes"),IF('Publication Bias Analysis'!L$38="Left",'Publication Bias Analysis'!E:E-GW$3,GW$3-'Publication Bias Analysis'!E:E),"")</f>
        <v>-0.11599385531814672</v>
      </c>
      <c r="GP10" s="3">
        <f t="shared" si="82"/>
        <v>0.11599385531814672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33.935769699840819</v>
      </c>
      <c r="GR10" s="3">
        <f>IF(AND(Include_study?="Yes",Sufficient_data="Yes"),IF('Publication Bias Analysis'!L$38="Left",'Publication Bias Analysis'!E:E-GW$10,GW$10-'Publication Bias Analysis'!E:E),"")</f>
        <v>-0.11599385531814672</v>
      </c>
      <c r="GS10" s="3">
        <f t="shared" si="83"/>
        <v>0.11599385531814672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33.935769699840819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7.3274346993319348E-2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2"/>
      <c r="HL10" s="3">
        <f t="shared" si="89"/>
        <v>0.3020880355873139</v>
      </c>
      <c r="HM10" s="35">
        <f>IF(AND(Include_study?="Yes",Sufficient_data="Yes"),Z_score-('Publication Bias Analysis'!P$3+'Publication Bias Analysis'!P$4*Inverse_standard_error),"")</f>
        <v>-0.44178307579406861</v>
      </c>
      <c r="HO10" s="142"/>
      <c r="HP10" s="3">
        <f>IF(AND(Include_study?="Yes",Sufficient_data="Yes"),(GD:GD-SUMPRODUCT(Calculations!FT:FT,'Publication Bias Analysis'!E:E)/SUM(Calculations!FT:FT))/SQRT(Calculations!HQ:HQ),"")</f>
        <v>-0.70927392983889581</v>
      </c>
      <c r="HQ10" s="3">
        <f>IF(AND(Include_study?="Yes",Sufficient_data="Yes"),GE:GE^2-1/SUM(Calculations!FT:FT),"")</f>
        <v>2.6744961222388709E-2</v>
      </c>
      <c r="HR10" s="6">
        <f t="shared" si="90"/>
        <v>12</v>
      </c>
      <c r="HS10" s="6">
        <f t="shared" si="91"/>
        <v>11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10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42"/>
      <c r="HX10" s="54">
        <v>9</v>
      </c>
      <c r="HY10" s="32">
        <f t="shared" si="123"/>
        <v>0.7</v>
      </c>
      <c r="HZ10" s="39"/>
      <c r="IB10" s="142"/>
      <c r="IC10" s="76">
        <f t="shared" si="92"/>
        <v>0.13857142857142857</v>
      </c>
      <c r="ID10" s="3">
        <f t="shared" si="93"/>
        <v>0.14374999999999999</v>
      </c>
      <c r="IE10" s="3">
        <f t="shared" si="94"/>
        <v>46.003387583769062</v>
      </c>
      <c r="IF10" s="35">
        <f t="shared" si="95"/>
        <v>33.935769699840819</v>
      </c>
      <c r="IK10" s="142"/>
      <c r="IL10" s="3">
        <f>IF(AND(Include_study?="Yes",Sufficient_data="Yes"),'Publication Bias Analysis'!AV:AV,NA())</f>
        <v>-0.24886000043137793</v>
      </c>
      <c r="IM10" s="3">
        <f>IF(AND(Sufficient_data="Yes",Include_study?="Yes"),'Publication Bias Analysis'!AU:AU,NA())</f>
        <v>5.825441588398327</v>
      </c>
      <c r="IN10" s="3">
        <f t="shared" si="96"/>
        <v>0.3020880355873139</v>
      </c>
      <c r="IO10" s="35">
        <f>IF(AND(Include_study?="Yes",Sufficient_data="Yes"),Z_score-('Publication Bias Analysis'!AY$30+'Publication Bias Analysis'!AY$31*Inverse_standard_error),"")</f>
        <v>-0.67571542876899038</v>
      </c>
      <c r="IQ10" s="2" t="s">
        <v>288</v>
      </c>
      <c r="IR10" s="3">
        <f>MAX(Inverse_standard_error)</f>
        <v>5.8673829721948012</v>
      </c>
      <c r="IS10" s="3">
        <f>IR10*'Publication Bias Analysis'!AY31+IS9</f>
        <v>2.6309138159389338</v>
      </c>
      <c r="IU10" s="142"/>
      <c r="IV10" s="6">
        <f>IF('Publication Bias Analysis'!BG:BG&lt;&gt;"",RANK('Publication Bias Analysis'!BG:BG,'Publication Bias Analysis'!BG:BG,1)+COUNTIF('Publication Bias Analysis'!BG$2:BG9,'Publication Bias Analysis'!BG10),"")</f>
        <v>1</v>
      </c>
      <c r="IW10" s="3">
        <f t="shared" si="97"/>
        <v>5.4054054054054057E-2</v>
      </c>
      <c r="IX10" s="3">
        <f>IF('Publication Bias Analysis'!BF10&lt;&gt;"",'Publication Bias Analysis'!BF10,NA())</f>
        <v>-1.6067550689692427</v>
      </c>
      <c r="IY10" s="3">
        <f>IF('Publication Bias Analysis'!BG10&lt;&gt;"",'Publication Bias Analysis'!BG10,NA())</f>
        <v>-0.24886000043137793</v>
      </c>
      <c r="IZ10" s="3">
        <f>IF(AND(Include_study?="Yes",Sufficient_data="Yes"),'Publication Bias Analysis'!BF:BF-AVERAGE('Publication Bias Analysis'!BF:BF),"")</f>
        <v>-1.6067550689692425</v>
      </c>
      <c r="JA10" s="35">
        <f>IF(AND(Include_study?="Yes",Sufficient_data="Yes"),'Publication Bias Analysis'!BG:BG-('Publication Bias Analysis'!BJ$30+'Publication Bias Analysis'!BJ$31*'Publication Bias Analysis'!BF:BF),"")</f>
        <v>5.9700442581116259E-2</v>
      </c>
      <c r="JG10" s="142"/>
      <c r="JH10" s="3">
        <f t="shared" si="98"/>
        <v>-0.24886000043137793</v>
      </c>
      <c r="JI10" s="10">
        <f t="shared" si="124"/>
        <v>0.40173453852808927</v>
      </c>
      <c r="JJ10" s="35">
        <f t="shared" si="125"/>
        <v>-0.91196376041165417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68.599999999999994</v>
      </c>
      <c r="C11" s="6">
        <f>IF(AND(Include_study?="Yes",Sufficient_data="Yes"),IF(Input!b_&lt;&gt;"",Input!b_,Input!n1_-Input!a_),"")</f>
        <v>491.4</v>
      </c>
      <c r="D11" s="6">
        <f>IF(AND(Include_study?="Yes",Sufficient_data="Yes"),IF(Input!c_&lt;&gt;"",Input!c_,Input!n2_-Input!d_),"")</f>
        <v>64.400000000000006</v>
      </c>
      <c r="E11" s="6">
        <f>IF(AND(Include_study?="Yes",Sufficient_data="Yes"),IF(Input!d_&lt;&gt;"",Input!d_,Input!n2_-Input!c_),"")</f>
        <v>495.6</v>
      </c>
      <c r="F11" s="35" t="str">
        <f t="shared" si="1"/>
        <v>No</v>
      </c>
      <c r="H11" s="149"/>
      <c r="I11" s="144"/>
      <c r="J11" s="76">
        <f t="shared" si="2"/>
        <v>1.0743218134522481</v>
      </c>
      <c r="K11" s="3">
        <f t="shared" si="3"/>
        <v>7.1689591289440108E-2</v>
      </c>
      <c r="L11" s="3">
        <f t="shared" si="4"/>
        <v>0.18481874384332367</v>
      </c>
      <c r="M11" s="3">
        <f t="shared" si="5"/>
        <v>0.74755972836365325</v>
      </c>
      <c r="N11" s="35">
        <f t="shared" si="6"/>
        <v>1.543913235382147</v>
      </c>
      <c r="P11" s="142"/>
      <c r="Q11" s="76">
        <f t="shared" si="7"/>
        <v>1.0742304483983407</v>
      </c>
      <c r="R11" s="3">
        <f t="shared" si="8"/>
        <v>0.18465481731763123</v>
      </c>
      <c r="S11" s="3">
        <f t="shared" si="9"/>
        <v>0.74773661464885377</v>
      </c>
      <c r="T11" s="35">
        <f t="shared" si="10"/>
        <v>1.543285474669472</v>
      </c>
      <c r="V11" s="142"/>
      <c r="W11" s="76">
        <f t="shared" si="11"/>
        <v>7.4999999999999789E-3</v>
      </c>
      <c r="X11" s="3">
        <f t="shared" si="12"/>
        <v>1.9331171625863015E-2</v>
      </c>
      <c r="Y11" s="3">
        <f t="shared" si="13"/>
        <v>-3.0429462442264757E-2</v>
      </c>
      <c r="Z11" s="35">
        <f t="shared" si="14"/>
        <v>4.5429462442264715E-2</v>
      </c>
      <c r="AB11" s="142"/>
      <c r="AC11" s="76">
        <f t="shared" si="15"/>
        <v>1.0652173913043477</v>
      </c>
      <c r="AD11" s="3">
        <f t="shared" si="16"/>
        <v>6.3178901621531461E-2</v>
      </c>
      <c r="AE11" s="3">
        <f t="shared" si="17"/>
        <v>0.16289193109036768</v>
      </c>
      <c r="AF11" s="3">
        <f t="shared" si="18"/>
        <v>0.77380960554760247</v>
      </c>
      <c r="AG11" s="35">
        <f t="shared" si="19"/>
        <v>1.4663659931363273</v>
      </c>
      <c r="AI11" s="149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Saffarayazdi et al.</v>
      </c>
      <c r="AN11" s="6">
        <f t="shared" si="21"/>
        <v>1120</v>
      </c>
      <c r="AO11" s="3">
        <f t="shared" si="22"/>
        <v>1.0743218134522481</v>
      </c>
      <c r="AP11" s="3">
        <f t="shared" si="23"/>
        <v>29.275746080100351</v>
      </c>
      <c r="AQ11" s="3">
        <f t="shared" si="24"/>
        <v>29.275746080100351</v>
      </c>
      <c r="AR11" s="3">
        <f t="shared" si="25"/>
        <v>0.18481874384332367</v>
      </c>
      <c r="AS11" s="3">
        <f t="shared" si="26"/>
        <v>0.74755972836365325</v>
      </c>
      <c r="AT11" s="3">
        <f t="shared" si="27"/>
        <v>1.543913235382147</v>
      </c>
      <c r="AU11" s="80">
        <f t="shared" si="28"/>
        <v>7.9702375275343601E-2</v>
      </c>
      <c r="AW11" s="44">
        <f t="shared" si="29"/>
        <v>1.0743218134522481</v>
      </c>
      <c r="AX11" s="3">
        <f t="shared" si="30"/>
        <v>0.32676208508859483</v>
      </c>
      <c r="AY11" s="35">
        <f t="shared" si="31"/>
        <v>0.46959142192989889</v>
      </c>
      <c r="BD11" s="149"/>
      <c r="BE11" s="144"/>
      <c r="BF11" s="3">
        <f t="shared" si="32"/>
        <v>7.1689591289440108E-2</v>
      </c>
      <c r="BG11" s="3">
        <f t="shared" si="33"/>
        <v>0.18481874384332367</v>
      </c>
      <c r="BH11" s="3">
        <f t="shared" si="34"/>
        <v>29.275746080100351</v>
      </c>
      <c r="BI11" s="3">
        <f t="shared" si="99"/>
        <v>29.275746080100351</v>
      </c>
      <c r="BJ11" s="35">
        <f t="shared" si="35"/>
        <v>-1.5847557038792398E-3</v>
      </c>
      <c r="BL11" s="3" t="s">
        <v>309</v>
      </c>
      <c r="BM11" s="3">
        <f>IF(Model_effect_size_measure="Risk Difference",CES_IV-ABS(TINV((1-Confidence_level),k_-1))*SECES_Risk_Difference,EXP(CIlnCES_LL))</f>
        <v>1.0221461354304897</v>
      </c>
      <c r="BO11" s="142"/>
      <c r="BP11" s="3">
        <f t="shared" si="36"/>
        <v>30.355499999999996</v>
      </c>
      <c r="BQ11" s="3">
        <f t="shared" si="37"/>
        <v>28.255500000000001</v>
      </c>
      <c r="BR11" s="3">
        <f t="shared" si="38"/>
        <v>15.291583125000001</v>
      </c>
      <c r="BS11" s="3">
        <f>IF(AND(Sufficient_data="Yes",Include_study?="Yes"),IF(Add_0_5="Yes",(a_+d_+1)*(ab_+0.5)*(c_+0.5)/(Number_of_subjects+2)^2,(a_+d_)*b_*c_/Number_of_subjects^2),"")</f>
        <v>14.233708125000001</v>
      </c>
      <c r="BT11" s="3">
        <f t="shared" si="39"/>
        <v>15.063916874999995</v>
      </c>
      <c r="BU11" s="3">
        <f t="shared" si="40"/>
        <v>14.021791874999996</v>
      </c>
      <c r="BV11" s="3">
        <f t="shared" si="41"/>
        <v>28.255500000000001</v>
      </c>
      <c r="BW11" s="3">
        <f t="shared" si="42"/>
        <v>8.194913263436734E-5</v>
      </c>
      <c r="BX11" s="3">
        <f t="shared" si="43"/>
        <v>29.275746080100351</v>
      </c>
      <c r="BY11" s="35">
        <f t="shared" si="44"/>
        <v>-1.5847557038793231E-3</v>
      </c>
      <c r="CA11" s="3" t="s">
        <v>309</v>
      </c>
      <c r="CB11" s="3">
        <f>EXP(CIlnCES_LL_MH)</f>
        <v>1.0221461354304897</v>
      </c>
      <c r="CD11" s="142"/>
      <c r="CE11" s="76">
        <f t="shared" si="45"/>
        <v>66.5</v>
      </c>
      <c r="CF11" s="3">
        <f t="shared" si="46"/>
        <v>29.327747989276141</v>
      </c>
      <c r="CG11" s="3">
        <f t="shared" si="47"/>
        <v>7.160454327307611E-2</v>
      </c>
      <c r="CH11" s="3">
        <f t="shared" si="48"/>
        <v>3.4097401558607764E-2</v>
      </c>
      <c r="CI11" s="3">
        <f t="shared" si="49"/>
        <v>29.327747989276141</v>
      </c>
      <c r="CJ11" s="3">
        <f t="shared" si="50"/>
        <v>29.327747989276141</v>
      </c>
      <c r="CK11" s="35">
        <f t="shared" si="51"/>
        <v>-1.6875332956113598E-3</v>
      </c>
      <c r="CM11" s="3" t="s">
        <v>309</v>
      </c>
      <c r="CN11" s="3">
        <f>EXP(CIlnCES_LL_Peto)</f>
        <v>1.022266460691504</v>
      </c>
      <c r="CP11" s="142"/>
      <c r="CQ11" s="52">
        <f t="shared" si="52"/>
        <v>0.115</v>
      </c>
      <c r="CS11" s="2" t="s">
        <v>283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1.0675113259617999</v>
      </c>
      <c r="CU11" s="3">
        <f>IF(Model_effect_size_measure="Odds Ratio",CES_OddsRatio_MH/(1-MEDIAN(Control_group_risk)+(MEDIAN(Control_group_risk)*CES_OddsRatio_MH)),NA())</f>
        <v>1.0675113259617999</v>
      </c>
      <c r="CV11" s="3" t="e">
        <f>IF(Model_effect_size_measure="Peto Odds Ratio",CES_PetoOddsRatio/(1-MEDIAN(Control_group_risk)+(MEDIAN(Control_group_risk)*CES_PetoOddsRatio)),NA())</f>
        <v>#N/A</v>
      </c>
      <c r="CX11" s="149"/>
      <c r="CY11" s="48">
        <f t="shared" si="53"/>
        <v>11</v>
      </c>
      <c r="CZ11" s="6" t="str">
        <f t="shared" si="54"/>
        <v>Saffarayazdi et al.</v>
      </c>
      <c r="DA11" s="17" t="str">
        <f t="shared" si="55"/>
        <v>Multimodal</v>
      </c>
      <c r="DB11" s="3">
        <f t="shared" si="56"/>
        <v>7.1689591289440108E-2</v>
      </c>
      <c r="DC11" s="3">
        <f t="shared" si="57"/>
        <v>0.18481874384332367</v>
      </c>
      <c r="DD11" s="3">
        <f t="shared" si="58"/>
        <v>29.275746080100351</v>
      </c>
      <c r="DE11" s="3">
        <f t="shared" si="59"/>
        <v>29.275746080100351</v>
      </c>
      <c r="DF11" s="80">
        <f t="shared" si="60"/>
        <v>9.2951883230247889E-2</v>
      </c>
      <c r="DG11" s="3">
        <f t="shared" si="61"/>
        <v>1.0743218134522481</v>
      </c>
      <c r="DH11" s="3">
        <f t="shared" si="62"/>
        <v>0.74755999091154346</v>
      </c>
      <c r="DI11" s="3">
        <f t="shared" si="63"/>
        <v>1.5439126931498615</v>
      </c>
      <c r="DJ11" s="35">
        <f t="shared" si="64"/>
        <v>8.3576983096541047E-3</v>
      </c>
      <c r="DL11" s="44">
        <f t="shared" si="65"/>
        <v>1.0743218134522481</v>
      </c>
      <c r="DM11" s="3">
        <f t="shared" si="100"/>
        <v>0.32676182254070463</v>
      </c>
      <c r="DN11" s="35">
        <f t="shared" si="101"/>
        <v>0.46959087969761337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198</v>
      </c>
      <c r="EY11" s="3">
        <f>IF(Subgroup_valid_options="Yes",IF(Subgroup_effect_size_measure="Risk Difference",EY9-ABS(TINV((1-Subgroup_confidence_level),Subgroup_k-1))*EY10,EXP(EY4)),"")</f>
        <v>1.0164083668194845</v>
      </c>
      <c r="FA11" s="149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245</v>
      </c>
      <c r="FP11" s="2" t="s">
        <v>246</v>
      </c>
      <c r="FR11" s="149"/>
      <c r="FS11" s="144"/>
      <c r="FT11" s="76">
        <f>IF(AND(Include_study?="Yes",Sufficient_data="Yes"),IF(Additional_weighting_method="Inverse Variance",1/'Publication Bias Analysis'!F:F^2,IF(Additional_weighting_method="Mantel-Haenszel",Weightf_MH,Weightf_Peto)),"")</f>
        <v>29.275746080100351</v>
      </c>
      <c r="FU11" s="3">
        <f>IF(AND(Include_study?="Yes",Sufficient_data="Yes"),1/('Publication Bias Analysis'!F:F^2+IF(Additional_model="Fixed effect",0,Calculations!GH$12)),"")</f>
        <v>29.275746080100351</v>
      </c>
      <c r="FV11" s="3">
        <f>IF(AND(Include_study?="Yes",Sufficient_data="Yes"),1/('Publication Bias Analysis'!F:F^2+IF(Additional_model="Fixed effect",0,'Publication Bias Analysis'!L$32)),"")</f>
        <v>29.275746080100351</v>
      </c>
      <c r="FW11" s="3">
        <f>IF(AND(Include_study?="Yes",Sufficient_data="Yes"),'Publication Bias Analysis'!E:E-'Publication Bias Analysis'!I$37,"")</f>
        <v>-1.5847557038792398E-3</v>
      </c>
      <c r="FX11" s="3">
        <f>IF(AND(Include_study?="Yes",Sufficient_data="Yes"),IF(Additional_model="Fixed effect",1/'Publication Bias Analysis'!F:F,1/SQRT('Publication Bias Analysis'!F:F^2+GH$12)),"")</f>
        <v>5.4107066156002537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0.3878913458594519</v>
      </c>
      <c r="FZ11" s="6">
        <f t="shared" si="80"/>
        <v>-1</v>
      </c>
      <c r="GA11" s="83">
        <f>IF(AND(Include_study?="Yes",Sufficient_data="Yes"),FZ:FZ+IF(GL:GL&lt;0,-1,1)*COUNTIF(FZ$2:FZ10,FZ:FZ),"")</f>
        <v>-1</v>
      </c>
      <c r="GB11" s="83">
        <f>IF(AND(Include_study?="Yes",Sufficient_data="Yes"),RANK(GP:GP,GP:GP,1)*IF(GO:GO&lt;0,-1,1)+IF(GO:GO&lt;0,-1,1)*COUNTIF(FZ$2:FZ10,FZ:FZ),"")</f>
        <v>-1</v>
      </c>
      <c r="GC11" s="83">
        <f>IF(AND(Include_study?="Yes",Sufficient_data="Yes"),RANK(GS:GS,GS:GS,1)*IF(GR:GR&lt;0,-1,1)+IF(GR:GR&lt;0,-1,1)*COUNTIF(FZ$2:FZ10,FZ:FZ),"")</f>
        <v>-1</v>
      </c>
      <c r="GD11" s="3">
        <f>IF(AND(Include_study?="Yes",Sufficient_data="Yes"),'Publication Bias Analysis'!E11,NA())</f>
        <v>7.1689591289440108E-2</v>
      </c>
      <c r="GE11" s="35">
        <f>IF(AND(Include_study?="Yes",Sufficient_data="Yes"),'Publication Bias Analysis'!F11,NA())</f>
        <v>0.18481874384332367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2.2009602277713052</v>
      </c>
      <c r="GK11" s="142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-1.5847557038792398E-3</v>
      </c>
      <c r="GM11" s="3">
        <f t="shared" si="81"/>
        <v>1.5847557038792398E-3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29.275746080100351</v>
      </c>
      <c r="GO11" s="3">
        <f>IF(AND(Include_study?="Yes",Sufficient_data="Yes"),IF('Publication Bias Analysis'!L$38="Left",'Publication Bias Analysis'!E:E-GW$3,GW$3-'Publication Bias Analysis'!E:E),"")</f>
        <v>-1.5847557038792398E-3</v>
      </c>
      <c r="GP11" s="3">
        <f t="shared" si="82"/>
        <v>1.5847557038792398E-3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29.275746080100351</v>
      </c>
      <c r="GR11" s="3">
        <f>IF(AND(Include_study?="Yes",Sufficient_data="Yes"),IF('Publication Bias Analysis'!L$38="Left",'Publication Bias Analysis'!E:E-GW$10,GW$10-'Publication Bias Analysis'!E:E),"")</f>
        <v>-1.5847557038792398E-3</v>
      </c>
      <c r="GS11" s="3">
        <f t="shared" si="83"/>
        <v>1.5847557038792398E-3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29.275746080100351</v>
      </c>
      <c r="GV11" s="128" t="s">
        <v>59</v>
      </c>
      <c r="GW11" s="12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2"/>
      <c r="HL11" s="3">
        <f t="shared" si="89"/>
        <v>-0.11264693721075947</v>
      </c>
      <c r="HM11" s="35">
        <f>IF(AND(Include_study?="Yes",Sufficient_data="Yes"),Z_score-('Publication Bias Analysis'!P$3+'Publication Bias Analysis'!P$4*Inverse_standard_error),"")</f>
        <v>-0.11672066377706264</v>
      </c>
      <c r="HO11" s="142"/>
      <c r="HP11" s="3">
        <f>IF(AND(Include_study?="Yes",Sufficient_data="Yes"),(GD:GD-SUMPRODUCT(Calculations!FT:FT,'Publication Bias Analysis'!E:E)/SUM(Calculations!FT:FT))/SQRT(Calculations!HQ:HQ),"")</f>
        <v>-8.9382430288512549E-3</v>
      </c>
      <c r="HQ11" s="3">
        <f>IF(AND(Include_study?="Yes",Sufficient_data="Yes"),GE:GE^2-1/SUM(Calculations!FT:FT),"")</f>
        <v>3.1435496885601551E-2</v>
      </c>
      <c r="HR11" s="6">
        <f t="shared" si="90"/>
        <v>6</v>
      </c>
      <c r="HS11" s="6">
        <f t="shared" si="91"/>
        <v>5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8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3</v>
      </c>
      <c r="HW11" s="142"/>
      <c r="IB11" s="142"/>
      <c r="IC11" s="76">
        <f t="shared" si="92"/>
        <v>0.12249999999999998</v>
      </c>
      <c r="ID11" s="3">
        <f t="shared" si="93"/>
        <v>0.115</v>
      </c>
      <c r="IE11" s="3">
        <f t="shared" si="94"/>
        <v>37.687806043234211</v>
      </c>
      <c r="IF11" s="35">
        <f t="shared" si="95"/>
        <v>29.275746080100351</v>
      </c>
      <c r="IK11" s="142"/>
      <c r="IL11" s="3">
        <f>IF(AND(Include_study?="Yes",Sufficient_data="Yes"),'Publication Bias Analysis'!AV:AV,NA())</f>
        <v>0.3878913458594519</v>
      </c>
      <c r="IM11" s="3">
        <f>IF(AND(Sufficient_data="Yes",Include_study?="Yes"),'Publication Bias Analysis'!AU:AU,NA())</f>
        <v>5.4107066156002537</v>
      </c>
      <c r="IN11" s="3">
        <f t="shared" si="96"/>
        <v>-0.11264693721075947</v>
      </c>
      <c r="IO11" s="35">
        <f>IF(AND(Include_study?="Yes",Sufficient_data="Yes"),Z_score-('Publication Bias Analysis'!AY$30+'Publication Bias Analysis'!AY$31*Inverse_standard_error),"")</f>
        <v>-8.5746481710896605E-3</v>
      </c>
      <c r="IU11" s="142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0.54054054054054057</v>
      </c>
      <c r="IX11" s="3">
        <f>IF('Publication Bias Analysis'!BF11&lt;&gt;"",'Publication Bias Analysis'!BF11,NA())</f>
        <v>0.10179559909470504</v>
      </c>
      <c r="IY11" s="3">
        <f>IF('Publication Bias Analysis'!BG11&lt;&gt;"",'Publication Bias Analysis'!BG11,NA())</f>
        <v>0.3878913458594519</v>
      </c>
      <c r="IZ11" s="3">
        <f>IF(AND(Include_study?="Yes",Sufficient_data="Yes"),'Publication Bias Analysis'!BF:BF-AVERAGE('Publication Bias Analysis'!BF:BF),"")</f>
        <v>0.10179559909470517</v>
      </c>
      <c r="JA11" s="35">
        <f>IF(AND(Include_study?="Yes",Sufficient_data="Yes"),'Publication Bias Analysis'!BG:BG-('Publication Bias Analysis'!BJ$30+'Publication Bias Analysis'!BJ$31*'Publication Bias Analysis'!BF:BF),"")</f>
        <v>-7.8217092831340096E-2</v>
      </c>
      <c r="JG11" s="142"/>
      <c r="JH11" s="3">
        <f t="shared" si="98"/>
        <v>0.3878913458594519</v>
      </c>
      <c r="JI11" s="10">
        <f t="shared" si="124"/>
        <v>0.34904822135903024</v>
      </c>
      <c r="JJ11" s="35">
        <f t="shared" si="125"/>
        <v>-1.0525451962411354</v>
      </c>
    </row>
    <row r="12" spans="1:270" ht="14.1">
      <c r="A12" s="2">
        <f t="shared" si="0"/>
        <v>11</v>
      </c>
      <c r="B12" s="6">
        <f>IF(AND(Include_study?="Yes",Sufficient_data="Yes"),IF(Input!a_&lt;&gt;"",Input!a_,Input!n1_-Input!b_),"")</f>
        <v>74</v>
      </c>
      <c r="C12" s="6">
        <f>IF(AND(Include_study?="Yes",Sufficient_data="Yes"),IF(Input!b_&lt;&gt;"",Input!b_,Input!n1_-Input!a_),"")</f>
        <v>911</v>
      </c>
      <c r="D12" s="6">
        <f>IF(AND(Include_study?="Yes",Sufficient_data="Yes"),IF(Input!c_&lt;&gt;"",Input!c_,Input!n2_-Input!d_),"")</f>
        <v>72</v>
      </c>
      <c r="E12" s="6">
        <f>IF(AND(Include_study?="Yes",Sufficient_data="Yes"),IF(Input!d_&lt;&gt;"",Input!d_,Input!n2_-Input!c_),"")</f>
        <v>913</v>
      </c>
      <c r="F12" s="35" t="str">
        <f t="shared" si="1"/>
        <v>No</v>
      </c>
      <c r="H12" s="149"/>
      <c r="I12" s="144"/>
      <c r="J12" s="76">
        <f t="shared" si="2"/>
        <v>1.0300341505061592</v>
      </c>
      <c r="K12" s="3">
        <f t="shared" si="3"/>
        <v>2.9591957523124511E-2</v>
      </c>
      <c r="L12" s="3">
        <f t="shared" si="4"/>
        <v>0.17203309999867294</v>
      </c>
      <c r="M12" s="3">
        <f t="shared" si="5"/>
        <v>0.73506656400413839</v>
      </c>
      <c r="N12" s="35">
        <f t="shared" si="6"/>
        <v>1.4433663604959888</v>
      </c>
      <c r="P12" s="142"/>
      <c r="Q12" s="76">
        <f t="shared" si="7"/>
        <v>1.0300169128014647</v>
      </c>
      <c r="R12" s="3">
        <f t="shared" si="8"/>
        <v>0.17197448154401038</v>
      </c>
      <c r="S12" s="3">
        <f t="shared" si="9"/>
        <v>0.73513876986189919</v>
      </c>
      <c r="T12" s="35">
        <f t="shared" si="10"/>
        <v>1.4431762874598</v>
      </c>
      <c r="V12" s="142"/>
      <c r="W12" s="76">
        <f t="shared" si="11"/>
        <v>2.0304568527918787E-3</v>
      </c>
      <c r="X12" s="3">
        <f t="shared" si="12"/>
        <v>1.1803647723899116E-2</v>
      </c>
      <c r="Y12" s="3">
        <f t="shared" si="13"/>
        <v>-2.1118504559265415E-2</v>
      </c>
      <c r="Z12" s="35">
        <f t="shared" si="14"/>
        <v>2.5179418264849172E-2</v>
      </c>
      <c r="AB12" s="142"/>
      <c r="AC12" s="76">
        <f t="shared" si="15"/>
        <v>1.0277777777777777</v>
      </c>
      <c r="AD12" s="3">
        <f t="shared" si="16"/>
        <v>2.7398974188114347E-2</v>
      </c>
      <c r="AE12" s="3">
        <f t="shared" si="17"/>
        <v>0.1592857355497049</v>
      </c>
      <c r="AF12" s="3">
        <f t="shared" si="18"/>
        <v>0.7520236895525868</v>
      </c>
      <c r="AG12" s="35">
        <f t="shared" si="19"/>
        <v>1.4046461237441656</v>
      </c>
      <c r="AI12" s="149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1.0300341505061592</v>
      </c>
      <c r="AP12" s="3">
        <f t="shared" si="23"/>
        <v>33.789049059207684</v>
      </c>
      <c r="AQ12" s="3">
        <f t="shared" si="24"/>
        <v>33.789049059207684</v>
      </c>
      <c r="AR12" s="3">
        <f t="shared" si="25"/>
        <v>0.17203309999867294</v>
      </c>
      <c r="AS12" s="3">
        <f t="shared" si="26"/>
        <v>0.73506656400413839</v>
      </c>
      <c r="AT12" s="3">
        <f t="shared" si="27"/>
        <v>1.4433663604959888</v>
      </c>
      <c r="AU12" s="80">
        <f t="shared" si="28"/>
        <v>9.1989712608708876E-2</v>
      </c>
      <c r="AW12" s="44">
        <f t="shared" si="29"/>
        <v>1.0300341505061592</v>
      </c>
      <c r="AX12" s="3">
        <f t="shared" si="30"/>
        <v>0.29496758650202082</v>
      </c>
      <c r="AY12" s="35">
        <f t="shared" si="31"/>
        <v>0.41333220998982956</v>
      </c>
      <c r="BD12" s="149"/>
      <c r="BE12" s="144"/>
      <c r="BF12" s="3">
        <f t="shared" si="32"/>
        <v>2.9591957523124511E-2</v>
      </c>
      <c r="BG12" s="3">
        <f t="shared" si="33"/>
        <v>0.17203309999867294</v>
      </c>
      <c r="BH12" s="3">
        <f t="shared" si="34"/>
        <v>33.789049059207684</v>
      </c>
      <c r="BI12" s="3">
        <f t="shared" si="99"/>
        <v>33.789049059207684</v>
      </c>
      <c r="BJ12" s="35">
        <f t="shared" si="35"/>
        <v>-4.3682389470194836E-2</v>
      </c>
      <c r="BL12" s="3" t="s">
        <v>310</v>
      </c>
      <c r="BM12" s="3">
        <f>IF(Model_effect_size_measure="Risk Difference",CES_IV+ABS(TINV((1-Confidence_level),k_-1))*SECES_Risk_Difference,EXP(CIlnCES_UL))</f>
        <v>1.1327453763550728</v>
      </c>
      <c r="BO12" s="142"/>
      <c r="BP12" s="3">
        <f t="shared" si="36"/>
        <v>34.295431472081219</v>
      </c>
      <c r="BQ12" s="3">
        <f t="shared" si="37"/>
        <v>33.295431472081219</v>
      </c>
      <c r="BR12" s="3">
        <f t="shared" si="38"/>
        <v>17.182533432966579</v>
      </c>
      <c r="BS12" s="3">
        <f>IF(AND(Sufficient_data="Yes",Include_study?="Yes"),IF(Add_0_5="Yes",(a_+d_+1)*(ab_+0.5)*(c_+0.5)/(Number_of_subjects+2)^2,(a_+d_)*b_*c_/Number_of_subjects^2),"")</f>
        <v>16.681518204540183</v>
      </c>
      <c r="BT12" s="3">
        <f t="shared" si="39"/>
        <v>17.11289803911464</v>
      </c>
      <c r="BU12" s="3">
        <f t="shared" si="40"/>
        <v>16.613913267541033</v>
      </c>
      <c r="BV12" s="3">
        <f t="shared" si="41"/>
        <v>33.295431472081219</v>
      </c>
      <c r="BW12" s="3">
        <f t="shared" si="42"/>
        <v>6.4735624274075282E-2</v>
      </c>
      <c r="BX12" s="3">
        <f t="shared" si="43"/>
        <v>33.789049059207684</v>
      </c>
      <c r="BY12" s="35">
        <f t="shared" si="44"/>
        <v>-4.368238947019492E-2</v>
      </c>
      <c r="CA12" s="3" t="s">
        <v>310</v>
      </c>
      <c r="CB12" s="3">
        <f>EXP(CIlnCES_UL_MH)</f>
        <v>1.1327453763550728</v>
      </c>
      <c r="CD12" s="142"/>
      <c r="CE12" s="76">
        <f t="shared" si="45"/>
        <v>73</v>
      </c>
      <c r="CF12" s="3">
        <f t="shared" si="46"/>
        <v>33.812087353986797</v>
      </c>
      <c r="CG12" s="3">
        <f t="shared" si="47"/>
        <v>2.9575222302331169E-2</v>
      </c>
      <c r="CH12" s="3">
        <f t="shared" si="48"/>
        <v>2.9575222302331169E-2</v>
      </c>
      <c r="CI12" s="3">
        <f t="shared" si="49"/>
        <v>33.812087353986797</v>
      </c>
      <c r="CJ12" s="3">
        <f t="shared" si="50"/>
        <v>33.812087353986797</v>
      </c>
      <c r="CK12" s="35">
        <f t="shared" si="51"/>
        <v>-4.3716854266356298E-2</v>
      </c>
      <c r="CM12" s="3" t="s">
        <v>310</v>
      </c>
      <c r="CN12" s="3">
        <f>EXP(CIlnCES_UL_Peto)</f>
        <v>1.1326522094128737</v>
      </c>
      <c r="CP12" s="142"/>
      <c r="CQ12" s="52">
        <f t="shared" si="52"/>
        <v>7.309644670050762E-2</v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1.0197768197357111</v>
      </c>
      <c r="CU12" s="3">
        <f>IF(Model_effect_size_measure="Odds Ratio",CICES_LL_MH/(1-MEDIAN(Control_group_risk)+(MEDIAN(Control_group_risk)*CICES_LL_MH)),"")</f>
        <v>1.0197768197357111</v>
      </c>
      <c r="CV12" s="3" t="str">
        <f>IF(Model_effect_size_measure="Peto Odds Ratio",CICES_LL_Peto/(1-MEDIAN(Control_group_risk)+(MEDIAN(Control_group_risk)*CICES_LL_Peto)),"")</f>
        <v/>
      </c>
      <c r="CX12" s="149"/>
      <c r="CY12" s="48">
        <f t="shared" si="53"/>
        <v>12</v>
      </c>
      <c r="CZ12" s="6" t="str">
        <f t="shared" si="54"/>
        <v>Quan et al.</v>
      </c>
      <c r="DA12" s="17" t="str">
        <f t="shared" si="55"/>
        <v>Multimodal</v>
      </c>
      <c r="DB12" s="3">
        <f t="shared" si="56"/>
        <v>2.9591957523124511E-2</v>
      </c>
      <c r="DC12" s="3">
        <f t="shared" si="57"/>
        <v>0.17203309999867294</v>
      </c>
      <c r="DD12" s="3">
        <f t="shared" si="58"/>
        <v>33.789049059207684</v>
      </c>
      <c r="DE12" s="3">
        <f t="shared" si="59"/>
        <v>33.789049059207684</v>
      </c>
      <c r="DF12" s="80">
        <f t="shared" si="60"/>
        <v>0.10728183439012202</v>
      </c>
      <c r="DG12" s="3">
        <f t="shared" si="61"/>
        <v>1.0300341505061592</v>
      </c>
      <c r="DH12" s="3">
        <f t="shared" si="62"/>
        <v>0.73506664151404866</v>
      </c>
      <c r="DI12" s="3">
        <f t="shared" si="63"/>
        <v>1.4433662082986358</v>
      </c>
      <c r="DJ12" s="35">
        <f t="shared" si="64"/>
        <v>-3.3739935456661492E-2</v>
      </c>
      <c r="DL12" s="44">
        <f t="shared" si="65"/>
        <v>1.0300341505061592</v>
      </c>
      <c r="DM12" s="3">
        <f t="shared" si="100"/>
        <v>0.29496750899211055</v>
      </c>
      <c r="DN12" s="35">
        <f t="shared" si="101"/>
        <v>0.41333205779247661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199</v>
      </c>
      <c r="EY12" s="3">
        <f>IF(Subgroup_valid_options="Yes",IF(Subgroup_effect_size_measure="Risk Difference",EY9+ABS(TINV((1-Subgroup_confidence_level),Subgroup_k-1))*EY10,EXP(EY5)),"")</f>
        <v>1.1469661900362875</v>
      </c>
      <c r="FA12" s="149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9"/>
      <c r="FS12" s="144"/>
      <c r="FT12" s="76">
        <f>IF(AND(Include_study?="Yes",Sufficient_data="Yes"),IF(Additional_weighting_method="Inverse Variance",1/'Publication Bias Analysis'!F:F^2,IF(Additional_weighting_method="Mantel-Haenszel",Weightf_MH,Weightf_Peto)),"")</f>
        <v>33.789049059207684</v>
      </c>
      <c r="FU12" s="3">
        <f>IF(AND(Include_study?="Yes",Sufficient_data="Yes"),1/('Publication Bias Analysis'!F:F^2+IF(Additional_model="Fixed effect",0,Calculations!GH$12)),"")</f>
        <v>33.789049059207684</v>
      </c>
      <c r="FV12" s="3">
        <f>IF(AND(Include_study?="Yes",Sufficient_data="Yes"),1/('Publication Bias Analysis'!F:F^2+IF(Additional_model="Fixed effect",0,'Publication Bias Analysis'!L$32)),"")</f>
        <v>33.789049059207684</v>
      </c>
      <c r="FW12" s="3">
        <f>IF(AND(Include_study?="Yes",Sufficient_data="Yes"),'Publication Bias Analysis'!E:E-'Publication Bias Analysis'!I$37,"")</f>
        <v>-4.3682389470194836E-2</v>
      </c>
      <c r="FX12" s="3">
        <f>IF(AND(Include_study?="Yes",Sufficient_data="Yes"),IF(Additional_model="Fixed effect",1/'Publication Bias Analysis'!F:F,1/SQRT('Publication Bias Analysis'!F:F^2+GH$12)),"")</f>
        <v>5.8128348556627412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0.17201316213770945</v>
      </c>
      <c r="FZ12" s="6">
        <f t="shared" si="80"/>
        <v>-5</v>
      </c>
      <c r="GA12" s="83">
        <f>IF(AND(Include_study?="Yes",Sufficient_data="Yes"),FZ:FZ+IF(GL:GL&lt;0,-1,1)*COUNTIF(FZ$2:FZ11,FZ:FZ),"")</f>
        <v>-5</v>
      </c>
      <c r="GB12" s="83">
        <f>IF(AND(Include_study?="Yes",Sufficient_data="Yes"),RANK(GP:GP,GP:GP,1)*IF(GO:GO&lt;0,-1,1)+IF(GO:GO&lt;0,-1,1)*COUNTIF(FZ$2:FZ11,FZ:FZ),"")</f>
        <v>-5</v>
      </c>
      <c r="GC12" s="83">
        <f>IF(AND(Include_study?="Yes",Sufficient_data="Yes"),RANK(GS:GS,GS:GS,1)*IF(GR:GR&lt;0,-1,1)+IF(GR:GR&lt;0,-1,1)*COUNTIF(FZ$2:FZ11,FZ:FZ),"")</f>
        <v>-5</v>
      </c>
      <c r="GD12" s="3">
        <f>IF(AND(Include_study?="Yes",Sufficient_data="Yes"),'Publication Bias Analysis'!E12,NA())</f>
        <v>2.9591957523124511E-2</v>
      </c>
      <c r="GE12" s="35">
        <f>IF(AND(Include_study?="Yes",Sufficient_data="Yes"),'Publication Bias Analysis'!F12,NA())</f>
        <v>0.17203309999867294</v>
      </c>
      <c r="GG12" s="2" t="s">
        <v>148</v>
      </c>
      <c r="GH12" s="3">
        <f>MAX(0,(GH11-(k_-1))/((SUM(Calculations!FT:FT))-SUMPRODUCT(Calculations!FT:FT,Calculations!FT:FT)/SUM(Calculations!FT:FT)))</f>
        <v>0</v>
      </c>
      <c r="GK12" s="142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-4.3682389470194836E-2</v>
      </c>
      <c r="GM12" s="3">
        <f t="shared" si="81"/>
        <v>4.3682389470194836E-2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33.789049059207684</v>
      </c>
      <c r="GO12" s="3">
        <f>IF(AND(Include_study?="Yes",Sufficient_data="Yes"),IF('Publication Bias Analysis'!L$38="Left",'Publication Bias Analysis'!E:E-GW$3,GW$3-'Publication Bias Analysis'!E:E),"")</f>
        <v>-4.3682389470194836E-2</v>
      </c>
      <c r="GP12" s="3">
        <f t="shared" si="82"/>
        <v>4.3682389470194836E-2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33.789049059207684</v>
      </c>
      <c r="GR12" s="3">
        <f>IF(AND(Include_study?="Yes",Sufficient_data="Yes"),IF('Publication Bias Analysis'!L$38="Left",'Publication Bias Analysis'!E:E-GW$10,GW$10-'Publication Bias Analysis'!E:E),"")</f>
        <v>-4.3682389470194836E-2</v>
      </c>
      <c r="GS12" s="3">
        <f t="shared" si="83"/>
        <v>4.3682389470194836E-2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33.789049059207684</v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2.2009602277713052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2"/>
      <c r="HL12" s="3">
        <f t="shared" si="89"/>
        <v>0.28948130285172802</v>
      </c>
      <c r="HM12" s="35">
        <f>IF(AND(Include_study?="Yes",Sufficient_data="Yes"),Z_score-('Publication Bias Analysis'!P$3+'Publication Bias Analysis'!P$4*Inverse_standard_error),"")</f>
        <v>-3.0384347137606182E-2</v>
      </c>
      <c r="HO12" s="142"/>
      <c r="HP12" s="3">
        <f>IF(AND(Include_study?="Yes",Sufficient_data="Yes"),(GD:GD-SUMPRODUCT(Calculations!FT:FT,'Publication Bias Analysis'!E:E)/SUM(Calculations!FT:FT))/SQRT(Calculations!HQ:HQ),"")</f>
        <v>-0.2664704080206336</v>
      </c>
      <c r="HQ12" s="3">
        <f>IF(AND(Include_study?="Yes",Sufficient_data="Yes"),GE:GE^2-1/SUM(Calculations!FT:FT),"")</f>
        <v>2.6872916304930869E-2</v>
      </c>
      <c r="HR12" s="6">
        <f t="shared" si="90"/>
        <v>9</v>
      </c>
      <c r="HS12" s="6">
        <f t="shared" si="91"/>
        <v>10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10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1</v>
      </c>
      <c r="HW12" s="142"/>
      <c r="HX12" s="139" t="s">
        <v>311</v>
      </c>
      <c r="HY12" s="128"/>
      <c r="IB12" s="142"/>
      <c r="IC12" s="76">
        <f t="shared" si="92"/>
        <v>7.5126903553299498E-2</v>
      </c>
      <c r="ID12" s="3">
        <f t="shared" si="93"/>
        <v>7.309644670050762E-2</v>
      </c>
      <c r="IE12" s="3">
        <f t="shared" si="94"/>
        <v>39.413611307208193</v>
      </c>
      <c r="IF12" s="35">
        <f t="shared" si="95"/>
        <v>33.789049059207684</v>
      </c>
      <c r="IK12" s="142"/>
      <c r="IL12" s="3">
        <f>IF(AND(Include_study?="Yes",Sufficient_data="Yes"),'Publication Bias Analysis'!AV:AV,NA())</f>
        <v>0.17201316213770945</v>
      </c>
      <c r="IM12" s="3">
        <f>IF(AND(Sufficient_data="Yes",Include_study?="Yes"),'Publication Bias Analysis'!AU:AU,NA())</f>
        <v>5.8128348556627412</v>
      </c>
      <c r="IN12" s="3">
        <f t="shared" si="96"/>
        <v>0.28948130285172802</v>
      </c>
      <c r="IO12" s="35">
        <f>IF(AND(Include_study?="Yes",Sufficient_data="Yes"),Z_score-('Publication Bias Analysis'!AY$30+'Publication Bias Analysis'!AY$31*Inverse_standard_error),"")</f>
        <v>-0.25391851609098365</v>
      </c>
      <c r="IU12" s="142"/>
      <c r="IV12" s="6">
        <f>IF('Publication Bias Analysis'!BG:BG&lt;&gt;"",RANK('Publication Bias Analysis'!BG:BG,'Publication Bias Analysis'!BG:BG,1)+COUNTIF('Publication Bias Analysis'!BG$2:BG11,'Publication Bias Analysis'!BG12),"")</f>
        <v>4</v>
      </c>
      <c r="IW12" s="3">
        <f t="shared" si="97"/>
        <v>0.29729729729729726</v>
      </c>
      <c r="IX12" s="3">
        <f>IF('Publication Bias Analysis'!BF12&lt;&gt;"",'Publication Bias Analysis'!BF12,NA())</f>
        <v>-0.53218973091930433</v>
      </c>
      <c r="IY12" s="3">
        <f>IF('Publication Bias Analysis'!BG12&lt;&gt;"",'Publication Bias Analysis'!BG12,NA())</f>
        <v>0.17201316213770945</v>
      </c>
      <c r="IZ12" s="3">
        <f>IF(AND(Include_study?="Yes",Sufficient_data="Yes"),'Publication Bias Analysis'!BF:BF-AVERAGE('Publication Bias Analysis'!BF:BF),"")</f>
        <v>-0.53218973091930422</v>
      </c>
      <c r="JA12" s="35">
        <f>IF(AND(Include_study?="Yes",Sufficient_data="Yes"),'Publication Bias Analysis'!BG:BG-('Publication Bias Analysis'!BJ$30+'Publication Bias Analysis'!BJ$31*'Publication Bias Analysis'!BF:BF),"")</f>
        <v>-6.6418718643200259E-3</v>
      </c>
      <c r="JG12" s="142"/>
      <c r="JH12" s="3">
        <f t="shared" si="98"/>
        <v>0.17201316213770945</v>
      </c>
      <c r="JI12" s="10">
        <f t="shared" si="124"/>
        <v>0.43171359067196247</v>
      </c>
      <c r="JJ12" s="35">
        <f t="shared" si="125"/>
        <v>-0.83999289516511599</v>
      </c>
    </row>
    <row r="13" spans="1:270" ht="14.1">
      <c r="A13" s="2">
        <f t="shared" si="0"/>
        <v>12</v>
      </c>
      <c r="B13" s="6">
        <f>IF(AND(Include_study?="Yes",Sufficient_data="Yes"),IF(Input!a_&lt;&gt;"",Input!a_,Input!n1_-Input!b_),"")</f>
        <v>75</v>
      </c>
      <c r="C13" s="6">
        <f>IF(AND(Include_study?="Yes",Sufficient_data="Yes"),IF(Input!b_&lt;&gt;"",Input!b_,Input!n1_-Input!a_),"")</f>
        <v>910</v>
      </c>
      <c r="D13" s="6">
        <f>IF(AND(Include_study?="Yes",Sufficient_data="Yes"),IF(Input!c_&lt;&gt;"",Input!c_,Input!n2_-Input!d_),"")</f>
        <v>71</v>
      </c>
      <c r="E13" s="6">
        <f>IF(AND(Include_study?="Yes",Sufficient_data="Yes"),IF(Input!d_&lt;&gt;"",Input!d_,Input!n2_-Input!c_),"")</f>
        <v>914</v>
      </c>
      <c r="F13" s="35" t="str">
        <f t="shared" si="1"/>
        <v>No</v>
      </c>
      <c r="H13" s="149"/>
      <c r="I13" s="144"/>
      <c r="J13" s="76">
        <f t="shared" si="2"/>
        <v>1.0609812722488778</v>
      </c>
      <c r="K13" s="3">
        <f t="shared" si="3"/>
        <v>5.9194208438249261E-2</v>
      </c>
      <c r="L13" s="3">
        <f t="shared" si="4"/>
        <v>0.1720779863265719</v>
      </c>
      <c r="M13" s="3">
        <f t="shared" si="5"/>
        <v>0.75708480853453286</v>
      </c>
      <c r="N13" s="35">
        <f t="shared" si="6"/>
        <v>1.486862828804868</v>
      </c>
      <c r="P13" s="142"/>
      <c r="Q13" s="76">
        <f t="shared" si="7"/>
        <v>1.06093484065706</v>
      </c>
      <c r="R13" s="3">
        <f t="shared" si="8"/>
        <v>0.17197448154401038</v>
      </c>
      <c r="S13" s="3">
        <f t="shared" si="9"/>
        <v>0.75720536621381973</v>
      </c>
      <c r="T13" s="35">
        <f t="shared" si="10"/>
        <v>1.4864959842376222</v>
      </c>
      <c r="V13" s="142"/>
      <c r="W13" s="76">
        <f t="shared" si="11"/>
        <v>4.0609137055837574E-3</v>
      </c>
      <c r="X13" s="3">
        <f t="shared" si="12"/>
        <v>1.1803381773151071E-2</v>
      </c>
      <c r="Y13" s="3">
        <f t="shared" si="13"/>
        <v>-1.9087526131808821E-2</v>
      </c>
      <c r="Z13" s="35">
        <f t="shared" si="14"/>
        <v>2.7209353542976336E-2</v>
      </c>
      <c r="AB13" s="142"/>
      <c r="AC13" s="76">
        <f t="shared" si="15"/>
        <v>1.056338028169014</v>
      </c>
      <c r="AD13" s="3">
        <f t="shared" si="16"/>
        <v>5.4808236494994951E-2</v>
      </c>
      <c r="AE13" s="3">
        <f t="shared" si="17"/>
        <v>0.15933418817942047</v>
      </c>
      <c r="AF13" s="3">
        <f t="shared" si="18"/>
        <v>0.772847745890749</v>
      </c>
      <c r="AG13" s="35">
        <f t="shared" si="19"/>
        <v>1.4438161147379978</v>
      </c>
      <c r="AI13" s="149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3" s="6">
        <f>IF(AJ13&lt;&gt;"",IF(AJ13=0,COUNTIF(AJ$2:AJ12,0)+1,COUNTIF(AJ$2:AJ12,AJ13)+AJ13+COUNTIF(AJ:AJ,0)),"")</f>
        <v>12</v>
      </c>
      <c r="AL13" s="6">
        <f t="shared" si="20"/>
        <v>12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1.0609812722488778</v>
      </c>
      <c r="AP13" s="3">
        <f t="shared" si="23"/>
        <v>33.771423695759658</v>
      </c>
      <c r="AQ13" s="3">
        <f t="shared" si="24"/>
        <v>33.771423695759658</v>
      </c>
      <c r="AR13" s="3">
        <f t="shared" si="25"/>
        <v>0.1720779863265719</v>
      </c>
      <c r="AS13" s="3">
        <f t="shared" si="26"/>
        <v>0.75708480853453286</v>
      </c>
      <c r="AT13" s="3">
        <f t="shared" si="27"/>
        <v>1.486862828804868</v>
      </c>
      <c r="AU13" s="80">
        <f t="shared" si="28"/>
        <v>9.194172806450443E-2</v>
      </c>
      <c r="AW13" s="44">
        <f t="shared" si="29"/>
        <v>1.0609812722488778</v>
      </c>
      <c r="AX13" s="3">
        <f t="shared" si="30"/>
        <v>0.30389646371434498</v>
      </c>
      <c r="AY13" s="35">
        <f t="shared" si="31"/>
        <v>0.42588155655599014</v>
      </c>
      <c r="BD13" s="149"/>
      <c r="BE13" s="144"/>
      <c r="BF13" s="3">
        <f t="shared" si="32"/>
        <v>5.9194208438249261E-2</v>
      </c>
      <c r="BG13" s="3">
        <f t="shared" si="33"/>
        <v>0.1720779863265719</v>
      </c>
      <c r="BH13" s="3">
        <f t="shared" si="34"/>
        <v>33.771423695759658</v>
      </c>
      <c r="BI13" s="3">
        <f t="shared" si="99"/>
        <v>33.771423695759658</v>
      </c>
      <c r="BJ13" s="35">
        <f t="shared" si="35"/>
        <v>-1.4080138555070086E-2</v>
      </c>
      <c r="BL13" s="3" t="s">
        <v>312</v>
      </c>
      <c r="BM13" s="3">
        <f>IF(Model_effect_size_measure="Risk Difference",CES_IV-ABS(TINV((1-Confidence_level),k_-1))*SQRT(T2_+SECES_Risk_Difference^2),EXP(PIlnCES_LL))</f>
        <v>1.0221461354304897</v>
      </c>
      <c r="BO13" s="142"/>
      <c r="BP13" s="3">
        <f t="shared" si="36"/>
        <v>34.796954314720814</v>
      </c>
      <c r="BQ13" s="3">
        <f t="shared" si="37"/>
        <v>32.796954314720814</v>
      </c>
      <c r="BR13" s="3">
        <f t="shared" si="38"/>
        <v>17.469130871705016</v>
      </c>
      <c r="BS13" s="3">
        <f>IF(AND(Sufficient_data="Yes",Include_study?="Yes"),IF(Add_0_5="Yes",(a_+d_+1)*(ab_+0.5)*(c_+0.5)/(Number_of_subjects+2)^2,(a_+d_)*b_*c_/Number_of_subjects^2),"")</f>
        <v>16.465069957999432</v>
      </c>
      <c r="BT13" s="3">
        <f t="shared" si="39"/>
        <v>17.327823443015795</v>
      </c>
      <c r="BU13" s="3">
        <f t="shared" si="40"/>
        <v>16.331884356721378</v>
      </c>
      <c r="BV13" s="3">
        <f t="shared" si="41"/>
        <v>32.796954314720814</v>
      </c>
      <c r="BW13" s="3">
        <f t="shared" si="42"/>
        <v>6.7794613998859703E-3</v>
      </c>
      <c r="BX13" s="3">
        <f t="shared" si="43"/>
        <v>33.771423695759658</v>
      </c>
      <c r="BY13" s="35">
        <f t="shared" si="44"/>
        <v>-1.4080138555070169E-2</v>
      </c>
      <c r="CA13" s="3" t="s">
        <v>312</v>
      </c>
      <c r="CB13" s="3">
        <f>EXP(PIlnCES_LL_MH)</f>
        <v>1.0221461354304897</v>
      </c>
      <c r="CD13" s="142"/>
      <c r="CE13" s="76">
        <f t="shared" si="45"/>
        <v>73</v>
      </c>
      <c r="CF13" s="3">
        <f t="shared" si="46"/>
        <v>33.812087353986797</v>
      </c>
      <c r="CG13" s="3">
        <f t="shared" si="47"/>
        <v>5.9150444604662337E-2</v>
      </c>
      <c r="CH13" s="3">
        <f t="shared" si="48"/>
        <v>2.9575222302331169E-2</v>
      </c>
      <c r="CI13" s="3">
        <f t="shared" si="49"/>
        <v>33.812087353986797</v>
      </c>
      <c r="CJ13" s="3">
        <f t="shared" si="50"/>
        <v>33.812087353986797</v>
      </c>
      <c r="CK13" s="35">
        <f t="shared" si="51"/>
        <v>-1.4141631964025132E-2</v>
      </c>
      <c r="CM13" s="3" t="s">
        <v>312</v>
      </c>
      <c r="CN13" s="3">
        <f>EXP(PIlnCES_LL_Peto)</f>
        <v>1.022266460691504</v>
      </c>
      <c r="CP13" s="142"/>
      <c r="CQ13" s="52">
        <f t="shared" si="52"/>
        <v>7.208121827411168E-2</v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1.1171869700481374</v>
      </c>
      <c r="CU13" s="3">
        <f>IF(Model_effect_size_measure="Odds Ratio",CICES_UL_MH/(1-MEDIAN(Control_group_risk)+(MEDIAN(Control_group_risk)*CICES_UL_MH)),"")</f>
        <v>1.1171869700481374</v>
      </c>
      <c r="CV13" s="3" t="str">
        <f>IF(Model_effect_size_measure="Peto Odds Ratio",CICES_UL_Peto/(1-MEDIAN(Control_group_risk)+(MEDIAN(Control_group_risk)*CICES_UL_Peto)),"")</f>
        <v/>
      </c>
      <c r="CX13" s="149"/>
      <c r="CY13" s="48">
        <f t="shared" si="53"/>
        <v>13</v>
      </c>
      <c r="CZ13" s="6" t="str">
        <f t="shared" si="54"/>
        <v>Quan et al.</v>
      </c>
      <c r="DA13" s="17" t="str">
        <f t="shared" si="55"/>
        <v>Multimodal</v>
      </c>
      <c r="DB13" s="3">
        <f t="shared" si="56"/>
        <v>5.9194208438249261E-2</v>
      </c>
      <c r="DC13" s="3">
        <f t="shared" si="57"/>
        <v>0.1720779863265719</v>
      </c>
      <c r="DD13" s="3">
        <f t="shared" si="58"/>
        <v>33.771423695759658</v>
      </c>
      <c r="DE13" s="3">
        <f t="shared" si="59"/>
        <v>33.771423695759658</v>
      </c>
      <c r="DF13" s="80">
        <f t="shared" si="60"/>
        <v>0.10722587302467539</v>
      </c>
      <c r="DG13" s="3">
        <f t="shared" si="61"/>
        <v>1.0609812722488778</v>
      </c>
      <c r="DH13" s="3">
        <f t="shared" si="62"/>
        <v>0.75708488838701071</v>
      </c>
      <c r="DI13" s="3">
        <f t="shared" si="63"/>
        <v>1.4868626719800746</v>
      </c>
      <c r="DJ13" s="35">
        <f t="shared" si="64"/>
        <v>-4.1376845415367416E-3</v>
      </c>
      <c r="DL13" s="44">
        <f t="shared" si="65"/>
        <v>1.0609812722488778</v>
      </c>
      <c r="DM13" s="3">
        <f t="shared" si="100"/>
        <v>0.30389638386186713</v>
      </c>
      <c r="DN13" s="35">
        <f t="shared" si="101"/>
        <v>0.42588139973119676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313</v>
      </c>
      <c r="EY13" s="3">
        <f>IF(Subgroup_valid_options="Yes",IF(Subgroup_effect_size_measure="Risk Difference",EY9-ABS(TINV((1-Subgroup_confidence_level),Subgroup_k-1))*SQRT(EY10^2+EY35),EXP(EY6)),"")</f>
        <v>1.0052685048090155</v>
      </c>
      <c r="FA13" s="149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9"/>
      <c r="FS13" s="144"/>
      <c r="FT13" s="76">
        <f>IF(AND(Include_study?="Yes",Sufficient_data="Yes"),IF(Additional_weighting_method="Inverse Variance",1/'Publication Bias Analysis'!F:F^2,IF(Additional_weighting_method="Mantel-Haenszel",Weightf_MH,Weightf_Peto)),"")</f>
        <v>33.771423695759658</v>
      </c>
      <c r="FU13" s="3">
        <f>IF(AND(Include_study?="Yes",Sufficient_data="Yes"),1/('Publication Bias Analysis'!F:F^2+IF(Additional_model="Fixed effect",0,Calculations!GH$12)),"")</f>
        <v>33.771423695759658</v>
      </c>
      <c r="FV13" s="3">
        <f>IF(AND(Include_study?="Yes",Sufficient_data="Yes"),1/('Publication Bias Analysis'!F:F^2+IF(Additional_model="Fixed effect",0,'Publication Bias Analysis'!L$32)),"")</f>
        <v>33.771423695759658</v>
      </c>
      <c r="FW13" s="3">
        <f>IF(AND(Include_study?="Yes",Sufficient_data="Yes"),'Publication Bias Analysis'!E:E-'Publication Bias Analysis'!I$37,"")</f>
        <v>-1.4080138555070086E-2</v>
      </c>
      <c r="FX13" s="3">
        <f>IF(AND(Include_study?="Yes",Sufficient_data="Yes"),IF(Additional_model="Fixed effect",1/'Publication Bias Analysis'!F:F,1/SQRT('Publication Bias Analysis'!F:F^2+GH$12)),"")</f>
        <v>5.811318584947796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0.34399640361847161</v>
      </c>
      <c r="FZ13" s="6">
        <f t="shared" si="80"/>
        <v>-3</v>
      </c>
      <c r="GA13" s="83">
        <f>IF(AND(Include_study?="Yes",Sufficient_data="Yes"),FZ:FZ+IF(GL:GL&lt;0,-1,1)*COUNTIF(FZ$2:FZ12,FZ:FZ),"")</f>
        <v>-3</v>
      </c>
      <c r="GB13" s="83">
        <f>IF(AND(Include_study?="Yes",Sufficient_data="Yes"),RANK(GP:GP,GP:GP,1)*IF(GO:GO&lt;0,-1,1)+IF(GO:GO&lt;0,-1,1)*COUNTIF(FZ$2:FZ12,FZ:FZ),"")</f>
        <v>-3</v>
      </c>
      <c r="GC13" s="83">
        <f>IF(AND(Include_study?="Yes",Sufficient_data="Yes"),RANK(GS:GS,GS:GS,1)*IF(GR:GR&lt;0,-1,1)+IF(GR:GR&lt;0,-1,1)*COUNTIF(FZ$2:FZ12,FZ:FZ),"")</f>
        <v>-3</v>
      </c>
      <c r="GD13" s="3">
        <f>IF(AND(Include_study?="Yes",Sufficient_data="Yes"),'Publication Bias Analysis'!E13,NA())</f>
        <v>5.9194208438249261E-2</v>
      </c>
      <c r="GE13" s="35">
        <f>IF(AND(Include_study?="Yes",Sufficient_data="Yes"),'Publication Bias Analysis'!F13,NA())</f>
        <v>0.1720779863265719</v>
      </c>
      <c r="GK13" s="142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-1.4080138555070086E-2</v>
      </c>
      <c r="GM13" s="3">
        <f t="shared" si="81"/>
        <v>1.4080138555070086E-2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33.771423695759658</v>
      </c>
      <c r="GO13" s="3">
        <f>IF(AND(Include_study?="Yes",Sufficient_data="Yes"),IF('Publication Bias Analysis'!L$38="Left",'Publication Bias Analysis'!E:E-GW$3,GW$3-'Publication Bias Analysis'!E:E),"")</f>
        <v>-1.4080138555070086E-2</v>
      </c>
      <c r="GP13" s="3">
        <f t="shared" si="82"/>
        <v>1.4080138555070086E-2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33.771423695759658</v>
      </c>
      <c r="GR13" s="3">
        <f>IF(AND(Include_study?="Yes",Sufficient_data="Yes"),IF('Publication Bias Analysis'!L$38="Left",'Publication Bias Analysis'!E:E-GW$10,GW$10-'Publication Bias Analysis'!E:E),"")</f>
        <v>-1.4080138555070086E-2</v>
      </c>
      <c r="GS13" s="3">
        <f t="shared" si="83"/>
        <v>1.4080138555070086E-2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33.771423695759658</v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2"/>
      <c r="HL13" s="3">
        <f t="shared" si="89"/>
        <v>0.28796503213678282</v>
      </c>
      <c r="HM13" s="35">
        <f>IF(AND(Include_study?="Yes",Sufficient_data="Yes"),Z_score-('Publication Bias Analysis'!P$3+'Publication Bias Analysis'!P$4*Inverse_standard_error),"")</f>
        <v>0.14045935985918578</v>
      </c>
      <c r="HO13" s="142"/>
      <c r="HP13" s="3">
        <f>IF(AND(Include_study?="Yes",Sufficient_data="Yes"),(GD:GD-SUMPRODUCT(Calculations!FT:FT,'Publication Bias Analysis'!E:E)/SUM(Calculations!FT:FT))/SQRT(Calculations!HQ:HQ),"")</f>
        <v>-8.5866696280382362E-2</v>
      </c>
      <c r="HQ13" s="3">
        <f>IF(AND(Include_study?="Yes",Sufficient_data="Yes"),GE:GE^2-1/SUM(Calculations!FT:FT),"")</f>
        <v>2.6888362187985328E-2</v>
      </c>
      <c r="HR13" s="6">
        <f t="shared" si="90"/>
        <v>8</v>
      </c>
      <c r="HS13" s="6">
        <f t="shared" si="91"/>
        <v>9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10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1</v>
      </c>
      <c r="HW13" s="142"/>
      <c r="HX13" s="2" t="s">
        <v>314</v>
      </c>
      <c r="HY13" s="3">
        <f>MAX(MAX(Standardized_residual),ABS(MIN(Standardized_residual)))</f>
        <v>0.70927392983889581</v>
      </c>
      <c r="IB13" s="142"/>
      <c r="IC13" s="76">
        <f t="shared" si="92"/>
        <v>7.6142131979695438E-2</v>
      </c>
      <c r="ID13" s="3">
        <f t="shared" si="93"/>
        <v>7.208121827411168E-2</v>
      </c>
      <c r="IE13" s="3">
        <f t="shared" si="94"/>
        <v>39.389644037248431</v>
      </c>
      <c r="IF13" s="35">
        <f t="shared" si="95"/>
        <v>33.771423695759658</v>
      </c>
      <c r="IK13" s="142"/>
      <c r="IL13" s="3">
        <f>IF(AND(Include_study?="Yes",Sufficient_data="Yes"),'Publication Bias Analysis'!AV:AV,NA())</f>
        <v>0.34399640361847161</v>
      </c>
      <c r="IM13" s="3">
        <f>IF(AND(Sufficient_data="Yes",Include_study?="Yes"),'Publication Bias Analysis'!AU:AU,NA())</f>
        <v>5.811318584947796</v>
      </c>
      <c r="IN13" s="3">
        <f t="shared" si="96"/>
        <v>0.28796503213678282</v>
      </c>
      <c r="IO13" s="35">
        <f>IF(AND(Include_study?="Yes",Sufficient_data="Yes"),Z_score-('Publication Bias Analysis'!AY$30+'Publication Bias Analysis'!AY$31*Inverse_standard_error),"")</f>
        <v>-8.1824170863718793E-2</v>
      </c>
      <c r="IU13" s="142"/>
      <c r="IV13" s="6">
        <f>IF('Publication Bias Analysis'!BG:BG&lt;&gt;"",RANK('Publication Bias Analysis'!BG:BG,'Publication Bias Analysis'!BG:BG,1)+COUNTIF('Publication Bias Analysis'!BG$2:BG12,'Publication Bias Analysis'!BG13),"")</f>
        <v>6</v>
      </c>
      <c r="IW13" s="3">
        <f t="shared" si="97"/>
        <v>0.45945945945945948</v>
      </c>
      <c r="IX13" s="3">
        <f>IF('Publication Bias Analysis'!BF13&lt;&gt;"",'Publication Bias Analysis'!BF13,NA())</f>
        <v>-0.10179559909470488</v>
      </c>
      <c r="IY13" s="3">
        <f>IF('Publication Bias Analysis'!BG13&lt;&gt;"",'Publication Bias Analysis'!BG13,NA())</f>
        <v>0.34399640361847161</v>
      </c>
      <c r="IZ13" s="3">
        <f>IF(AND(Include_study?="Yes",Sufficient_data="Yes"),'Publication Bias Analysis'!BF:BF-AVERAGE('Publication Bias Analysis'!BF:BF),"")</f>
        <v>-0.10179559909470474</v>
      </c>
      <c r="JA13" s="35">
        <f>IF(AND(Include_study?="Yes",Sufficient_data="Yes"),'Publication Bias Analysis'!BG:BG-('Publication Bias Analysis'!BJ$30+'Publication Bias Analysis'!BJ$31*'Publication Bias Analysis'!BF:BF),"")</f>
        <v>-2.9802354842152767E-2</v>
      </c>
      <c r="JG13" s="142"/>
      <c r="JH13" s="3">
        <f t="shared" si="98"/>
        <v>0.34399640361847161</v>
      </c>
      <c r="JI13" s="10">
        <f t="shared" si="124"/>
        <v>0.36542449536676402</v>
      </c>
      <c r="JJ13" s="35">
        <f t="shared" si="125"/>
        <v>-1.006695600156591</v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9"/>
      <c r="I14" s="14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4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4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4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9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9"/>
      <c r="BE14" s="14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315</v>
      </c>
      <c r="BM14" s="3">
        <f>IF(Model_effect_size_measure="Risk Difference",CES_IV+ABS(TINV((1-Confidence_level),k_-1))*SQRT(T2_+SECES_Risk_Difference^2),EXP(PIlnCES_UL))</f>
        <v>1.1327453763550728</v>
      </c>
      <c r="BO14" s="14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315</v>
      </c>
      <c r="CB14" s="3">
        <f>EXP(PIlnCES_UL_MH)</f>
        <v>1.1327453763550728</v>
      </c>
      <c r="CD14" s="14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315</v>
      </c>
      <c r="CN14" s="3">
        <f>EXP(PIlnCES_UL_Peto)</f>
        <v>1.1326522094128737</v>
      </c>
      <c r="CP14" s="142"/>
      <c r="CQ14" s="52" t="str">
        <f t="shared" si="52"/>
        <v/>
      </c>
      <c r="CS14" s="2" t="s">
        <v>296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1.0197768197357111</v>
      </c>
      <c r="CU14" s="3">
        <f>IF(Model_effect_size_measure="Odds Ratio",PICES_LL_MH/(1-MEDIAN(Control_group_risk)+(MEDIAN(Control_group_risk)*PICES_LL_MH)),"")</f>
        <v>1.0197768197357111</v>
      </c>
      <c r="CV14" s="3" t="str">
        <f>IF(Model_effect_size_measure="Peto Odds Ratio",PICES_LL_Peto/(1-MEDIAN(Control_group_risk)+(MEDIAN(Control_group_risk)*PICES_LL_Peto)),"")</f>
        <v/>
      </c>
      <c r="CX14" s="149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316</v>
      </c>
      <c r="EY14" s="3">
        <f>IF(Subgroup_valid_options="Yes",IF(Subgroup_effect_size_measure="Risk Difference",EY9+ABS(TINV((1-Subgroup_confidence_level),Subgroup_k-1))*SQRT(EY10^2+EY35),EXP(EY7)),"")</f>
        <v>1.159676271996037</v>
      </c>
      <c r="FA14" s="149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9"/>
      <c r="FS14" s="14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8" t="s">
        <v>317</v>
      </c>
      <c r="GH14" s="128"/>
      <c r="GK14" s="14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302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4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42"/>
      <c r="HX14" s="2" t="s">
        <v>311</v>
      </c>
      <c r="HY14" s="21">
        <f>ROUND(HY13/4,1)</f>
        <v>0.2</v>
      </c>
      <c r="IB14" s="14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4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4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4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9"/>
      <c r="I15" s="14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9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9"/>
      <c r="BE15" s="14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2"/>
      <c r="CQ15" s="52" t="str">
        <f t="shared" si="52"/>
        <v/>
      </c>
      <c r="CS15" s="2" t="s">
        <v>301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1.1171869700481374</v>
      </c>
      <c r="CU15" s="3">
        <f>IF(Model_effect_size_measure="Odds Ratio",PICES_UL_MH/(1-MEDIAN(Control_group_risk)+(MEDIAN(Control_group_risk)*PICES_UL_MH)),"")</f>
        <v>1.1171869700481374</v>
      </c>
      <c r="CV15" s="3" t="str">
        <f>IF(Model_effect_size_measure="Peto Odds Ratio",PICES_UL_Peto/(1-MEDIAN(Control_group_risk)+(MEDIAN(Control_group_risk)*PICES_UL_Peto)),"")</f>
        <v/>
      </c>
      <c r="CX15" s="149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9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9"/>
      <c r="FS15" s="14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318</v>
      </c>
      <c r="GH15" s="3">
        <f>IF(Additional_valid_options="Yes",'Publication Bias Analysis'!I29-'Publication Bias Analysis'!I31,NA())</f>
        <v>0.1148414746979559</v>
      </c>
      <c r="GK15" s="14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2"/>
      <c r="IB15" s="14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9"/>
      <c r="I16" s="14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9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9"/>
      <c r="BE16" s="14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3.1395004934691988</v>
      </c>
      <c r="BO16" s="14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3.1395004934692023</v>
      </c>
      <c r="CD16" s="14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3.1463839735642871</v>
      </c>
      <c r="CP16" s="142"/>
      <c r="CQ16" s="52" t="str">
        <f t="shared" si="52"/>
        <v/>
      </c>
      <c r="CX16" s="149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8" t="s">
        <v>319</v>
      </c>
      <c r="EY16" s="128"/>
      <c r="FA16" s="149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9"/>
      <c r="FS16" s="14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320</v>
      </c>
      <c r="GH16" s="3">
        <f>IF(Additional_valid_options="Yes",'Publication Bias Analysis'!I29-'Publication Bias Analysis'!I33,NA())</f>
        <v>0.1148414746979559</v>
      </c>
      <c r="GK16" s="14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8" t="s">
        <v>105</v>
      </c>
      <c r="GW16" s="12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2"/>
      <c r="IB16" s="14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9"/>
      <c r="I17" s="14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9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9"/>
      <c r="BE17" s="14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2"/>
      <c r="CQ17" s="52" t="str">
        <f t="shared" si="52"/>
        <v/>
      </c>
      <c r="CS17" s="128" t="s">
        <v>171</v>
      </c>
      <c r="CT17" s="128"/>
      <c r="CU17" s="128"/>
      <c r="CV17" s="128"/>
      <c r="CX17" s="149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2.2009602277713052</v>
      </c>
      <c r="FA17" s="149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9"/>
      <c r="FS17" s="14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321</v>
      </c>
      <c r="GH17" s="3">
        <f>IF(Additional_valid_options="Yes",MAX('Publication Bias Analysis'!F:F)*1.1,NA())</f>
        <v>0.22919157309151017</v>
      </c>
      <c r="GK17" s="14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7.3274346993319348E-2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2"/>
      <c r="IB17" s="14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9"/>
      <c r="I18" s="14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9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9"/>
      <c r="BE18" s="14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4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8" t="s">
        <v>59</v>
      </c>
      <c r="CB18" s="128"/>
      <c r="CD18" s="14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42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49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0.99765616614595543</v>
      </c>
      <c r="FA18" s="149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9"/>
      <c r="FS18" s="14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8" t="s">
        <v>59</v>
      </c>
      <c r="GW18" s="12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2"/>
      <c r="IB18" s="14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9"/>
      <c r="I19" s="14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9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9"/>
      <c r="BE19" s="14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2.2009602277713052</v>
      </c>
      <c r="BO19" s="14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2.2009630936210356</v>
      </c>
      <c r="CD19" s="14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2.1988217964894288</v>
      </c>
      <c r="CP19" s="142"/>
      <c r="CQ19" s="52" t="str">
        <f t="shared" si="52"/>
        <v/>
      </c>
      <c r="CS19" s="2" t="s">
        <v>283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7.0826614290281087E-3</v>
      </c>
      <c r="CU19" s="3">
        <f>IF(Model_effect_size_measure="Odds Ratio",CU11*MEDIAN(Control_group_risk)-MEDIAN(Control_group_risk),NA())</f>
        <v>7.0826614290281087E-3</v>
      </c>
      <c r="CV19" s="3" t="e">
        <f>IF(Model_effect_size_measure="Peto Odds Ratio",CV11*MEDIAN(Control_group_risk)-MEDIAN(Control_group_risk),NA())</f>
        <v>#N/A</v>
      </c>
      <c r="CX19" s="149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</v>
      </c>
      <c r="FA19" s="149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9"/>
      <c r="FS19" s="14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8" t="s">
        <v>322</v>
      </c>
      <c r="GH19" s="128"/>
      <c r="GK19" s="14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2.2009602277713052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2"/>
      <c r="IB19" s="14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9"/>
      <c r="I20" s="14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9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9"/>
      <c r="BE20" s="14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0</v>
      </c>
      <c r="BO20" s="14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0</v>
      </c>
      <c r="CD20" s="14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0</v>
      </c>
      <c r="CP20" s="142"/>
      <c r="CQ20" s="52" t="str">
        <f t="shared" si="52"/>
        <v/>
      </c>
      <c r="CS20" s="2" t="s">
        <v>323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2.2559835374326232E-3</v>
      </c>
      <c r="CU20" s="3">
        <f>IF(Model_effect_size_measure="Odds Ratio",CU19/Z_value_MH,"")</f>
        <v>2.2559835374326206E-3</v>
      </c>
      <c r="CV20" s="3" t="str">
        <f>IF(Model_effect_size_measure="Peto Odds Ratio",CV19/Z_value_Peto,"")</f>
        <v/>
      </c>
      <c r="CX20" s="149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0</v>
      </c>
      <c r="FA20" s="149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9"/>
      <c r="FS20" s="14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324</v>
      </c>
      <c r="GH20" s="3">
        <f>IF(AND(Trim_and_fill="On",Additional_valid_options="Yes"),'Publication Bias Analysis'!I37-'Publication Bias Analysis'!I39,NA())</f>
        <v>0.1148414746979559</v>
      </c>
      <c r="GK20" s="14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2"/>
      <c r="IB20" s="14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9"/>
      <c r="I21" s="14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9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9"/>
      <c r="BE21" s="14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2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2.1172751417278656E-3</v>
      </c>
      <c r="CU21" s="3">
        <f>IF(Model_effect_size_measure="Odds Ratio",CU19-CU20*ABS(TINV((1-Confidence_level),k_-1)),"")</f>
        <v>2.1172751417278717E-3</v>
      </c>
      <c r="CV21" s="3" t="str">
        <f>IF(Model_effect_size_measure="Peto Odds Ratio",CV19-CV20*ABS(TINV((1-Confidence_level),k_-1)),"")</f>
        <v/>
      </c>
      <c r="CX21" s="149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0</v>
      </c>
      <c r="FA21" s="149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9"/>
      <c r="FS21" s="14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325</v>
      </c>
      <c r="GH21" s="3">
        <f>IF(AND(Trim_and_fill="On",Additional_valid_options="Yes"),'Publication Bias Analysis'!I37-'Publication Bias Analysis'!I41,NA())</f>
        <v>0.1148414746979559</v>
      </c>
      <c r="GK21" s="14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302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2"/>
      <c r="IB21" s="14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9"/>
      <c r="I22" s="14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9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9"/>
      <c r="BE22" s="14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2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1.2048047716328352E-2</v>
      </c>
      <c r="CU22" s="3">
        <f>IF(Model_effect_size_measure="Odds Ratio",CU19+CU20*ABS(TINV((1-Confidence_level),k_-1)),"")</f>
        <v>1.2048047716328347E-2</v>
      </c>
      <c r="CV22" s="3" t="str">
        <f>IF(Model_effect_size_measure="Peto Odds Ratio",CV19+CV20*ABS(TINV((1-Confidence_level),k_-1)),"")</f>
        <v/>
      </c>
      <c r="CX22" s="149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9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9"/>
      <c r="FS22" s="14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326</v>
      </c>
      <c r="GH22" s="3">
        <f>IF(AND(Trim_and_fill="On",Additional_valid_options="Yes"),MAX('Publication Bias Analysis'!F:F)*1.2,NA())</f>
        <v>0.25002717064528379</v>
      </c>
      <c r="GK22" s="14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2"/>
      <c r="IB22" s="14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9"/>
      <c r="I23" s="14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9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9"/>
      <c r="BE23" s="14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2"/>
      <c r="CQ23" s="52" t="str">
        <f t="shared" si="52"/>
        <v/>
      </c>
      <c r="CS23" s="2" t="s">
        <v>296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2.1172751417278656E-3</v>
      </c>
      <c r="CU23" s="3">
        <f>IF(Model_effect_size_measure="Odds Ratio",CU19-((lnCES_OddsRatio_MH-PIlnCES_LL_MH)/SElnCES_MH)*CU20,"")</f>
        <v>2.1172751417278717E-3</v>
      </c>
      <c r="CV23" s="3" t="str">
        <f>IF(Model_effect_size_measure="Peto Odds Ratio",CV19-((lnCES_PetoOddsRatio-PIlnCES_LL_Peto)/SElnCES_Peto)*CV20,"")</f>
        <v/>
      </c>
      <c r="CX23" s="149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8" t="s">
        <v>327</v>
      </c>
      <c r="EY23" s="128"/>
      <c r="FA23" s="149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9"/>
      <c r="FS23" s="14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2"/>
      <c r="IB23" s="14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9"/>
      <c r="I24" s="14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9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9"/>
      <c r="BE24" s="14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2"/>
      <c r="CQ24" s="52" t="str">
        <f t="shared" si="52"/>
        <v/>
      </c>
      <c r="CS24" s="2" t="s">
        <v>301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1.2048047716328352E-2</v>
      </c>
      <c r="CU24" s="3">
        <f>IF(Model_effect_size_measure="Odds Ratio",CU19+((lnCES_OddsRatio_MH-PIlnCES_LL_MH)/SElnCES_MH)*CU20,"")</f>
        <v>1.2048047716328347E-2</v>
      </c>
      <c r="CV24" s="3" t="str">
        <f>IF(Model_effect_size_measure="Peto Odds Ratio",CV19+((lnCES_PetoOddsRatio-PIlnCES_LL_Peto)/SElnCES_Peto)*CV20,"")</f>
        <v/>
      </c>
      <c r="CX24" s="149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264</v>
      </c>
      <c r="EY24" s="3">
        <f>EY9</f>
        <v>1.0797157181461929</v>
      </c>
      <c r="FA24" s="149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9"/>
      <c r="FS24" s="14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2"/>
      <c r="IB24" s="14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9"/>
      <c r="I25" s="14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9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9"/>
      <c r="BE25" s="14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2"/>
      <c r="CQ25" s="52" t="str">
        <f t="shared" si="52"/>
        <v/>
      </c>
      <c r="CX25" s="149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281</v>
      </c>
      <c r="EY25" s="6">
        <f>IF(Subgroup_valid_options="Yes",MAX(DP:DP)+1,"")</f>
        <v>15</v>
      </c>
      <c r="FA25" s="149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9"/>
      <c r="FS25" s="14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2"/>
      <c r="IB25" s="14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9"/>
      <c r="I26" s="14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9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9"/>
      <c r="BE26" s="14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2"/>
      <c r="CQ26" s="52" t="str">
        <f t="shared" si="52"/>
        <v/>
      </c>
      <c r="CX26" s="149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328</v>
      </c>
      <c r="EY26" s="6">
        <f>IF(Subgroup_valid_options="Yes",MAX(DR:DR)+1,"")</f>
        <v>3</v>
      </c>
      <c r="FA26" s="149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9"/>
      <c r="FS26" s="14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2"/>
      <c r="IB26" s="14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9"/>
      <c r="I27" s="14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9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9"/>
      <c r="BE27" s="14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2"/>
      <c r="CQ27" s="52" t="str">
        <f t="shared" si="52"/>
        <v/>
      </c>
      <c r="CX27" s="149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286</v>
      </c>
      <c r="EY27" s="3">
        <f>IF(Subgroup_valid_options="Yes",EY9-EY11,"")</f>
        <v>6.3307351326708394E-2</v>
      </c>
      <c r="FA27" s="149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9"/>
      <c r="FS27" s="14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2"/>
      <c r="IB27" s="14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9"/>
      <c r="I28" s="14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9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9"/>
      <c r="BE28" s="14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2"/>
      <c r="CQ28" s="52" t="str">
        <f t="shared" si="52"/>
        <v/>
      </c>
      <c r="CX28" s="149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289</v>
      </c>
      <c r="EY28" s="3">
        <f>IF(Subgroup_valid_options="Yes",EY12-EY9,"")</f>
        <v>6.7250471890094587E-2</v>
      </c>
      <c r="FA28" s="149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9"/>
      <c r="FS28" s="14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2"/>
      <c r="IB28" s="14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9"/>
      <c r="I29" s="14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9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9"/>
      <c r="BE29" s="14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2"/>
      <c r="CQ29" s="52" t="str">
        <f t="shared" si="52"/>
        <v/>
      </c>
      <c r="CX29" s="149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294</v>
      </c>
      <c r="EY29" s="3">
        <f>IF(Subgroup_valid_options="Yes",EY9-EY13,"")</f>
        <v>7.4447213337177409E-2</v>
      </c>
      <c r="FA29" s="149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9"/>
      <c r="FS29" s="14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2"/>
      <c r="IB29" s="14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9"/>
      <c r="I30" s="14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9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9"/>
      <c r="BE30" s="14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2"/>
      <c r="CQ30" s="52" t="str">
        <f t="shared" si="52"/>
        <v/>
      </c>
      <c r="CX30" s="149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299</v>
      </c>
      <c r="EY30" s="3">
        <f>IF(Subgroup_valid_options="Yes",EY14-EY9,"")</f>
        <v>7.9960553849844018E-2</v>
      </c>
      <c r="FA30" s="149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9"/>
      <c r="FS30" s="14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2"/>
      <c r="IB30" s="14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9"/>
      <c r="I31" s="14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9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9"/>
      <c r="BE31" s="14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2"/>
      <c r="CQ31" s="52" t="str">
        <f t="shared" si="52"/>
        <v/>
      </c>
      <c r="CX31" s="149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329</v>
      </c>
      <c r="EY31" s="3">
        <f>IF(Subgroup_valid_options="Yes",MAX(ER:ER),"")</f>
        <v>0.80837779435676937</v>
      </c>
      <c r="FA31" s="149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9"/>
      <c r="FS31" s="14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2"/>
      <c r="IB31" s="14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9"/>
      <c r="I32" s="14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9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9"/>
      <c r="BE32" s="14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2"/>
      <c r="CQ32" s="52" t="str">
        <f t="shared" si="52"/>
        <v/>
      </c>
      <c r="CX32" s="149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9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9"/>
      <c r="FS32" s="14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2"/>
      <c r="IB32" s="14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9"/>
      <c r="I33" s="14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9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9"/>
      <c r="BE33" s="14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2"/>
      <c r="CQ33" s="52" t="str">
        <f t="shared" si="52"/>
        <v/>
      </c>
      <c r="CX33" s="149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8" t="s">
        <v>330</v>
      </c>
      <c r="EY33" s="128"/>
      <c r="FA33" s="149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9"/>
      <c r="FS33" s="14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2"/>
      <c r="IB33" s="14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9"/>
      <c r="I34" s="14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9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9"/>
      <c r="BE34" s="14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2"/>
      <c r="CQ34" s="52" t="str">
        <f t="shared" ref="CQ34:CQ97" si="175">IF(AND(Sufficient_data="Yes",Include_study?="Yes"),c_/(c_+d_),"")</f>
        <v/>
      </c>
      <c r="CX34" s="149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331</v>
      </c>
      <c r="EY34" s="3">
        <f>IF(Subgroup_valid_options="Yes",SUMPRODUCT(ES:ES,DZ:DZ,DZ:DZ)-SUMPRODUCT(ES:ES,DZ:DZ)^2/SUM(ES:ES),"")</f>
        <v>1.1406642695750087</v>
      </c>
      <c r="FA34" s="149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9"/>
      <c r="FS34" s="14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2"/>
      <c r="IB34" s="14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9"/>
      <c r="I35" s="14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9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9"/>
      <c r="BE35" s="14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2"/>
      <c r="CQ35" s="52" t="str">
        <f t="shared" si="175"/>
        <v/>
      </c>
      <c r="CX35" s="149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>
        <f>IF(Subgroup_valid_options="Yes",MAX(0,(EY34-(COUNT(DT:DT)-1))/(SUM(ES:ES)-(SUMPRODUCT(ES:ES,ES:ES)/SUM(ES:ES)))),"")</f>
        <v>2.999853385254812E-4</v>
      </c>
      <c r="FA35" s="149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9"/>
      <c r="FS35" s="14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2"/>
      <c r="IB35" s="14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9"/>
      <c r="I36" s="14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9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9"/>
      <c r="BE36" s="14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2"/>
      <c r="CQ36" s="52" t="str">
        <f t="shared" si="175"/>
        <v/>
      </c>
      <c r="CX36" s="149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9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9"/>
      <c r="FS36" s="14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2"/>
      <c r="IB36" s="14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9"/>
      <c r="I37" s="14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9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9"/>
      <c r="BE37" s="14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2"/>
      <c r="CQ37" s="52" t="str">
        <f t="shared" si="175"/>
        <v/>
      </c>
      <c r="CX37" s="149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8" t="s">
        <v>332</v>
      </c>
      <c r="EY37" s="128"/>
      <c r="FA37" s="149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9"/>
      <c r="FS37" s="14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2"/>
      <c r="IB37" s="14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9"/>
      <c r="I38" s="14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9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9"/>
      <c r="BE38" s="14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2"/>
      <c r="CQ38" s="52" t="str">
        <f t="shared" si="175"/>
        <v/>
      </c>
      <c r="CX38" s="149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49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9"/>
      <c r="FS38" s="14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2"/>
      <c r="IB38" s="14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9"/>
      <c r="I39" s="14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9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9"/>
      <c r="BE39" s="14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2"/>
      <c r="CQ39" s="52" t="str">
        <f t="shared" si="175"/>
        <v/>
      </c>
      <c r="CX39" s="149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49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9"/>
      <c r="FS39" s="14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2"/>
      <c r="IB39" s="14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9"/>
      <c r="I40" s="14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9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9"/>
      <c r="BE40" s="14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2"/>
      <c r="CQ40" s="52" t="str">
        <f t="shared" si="175"/>
        <v/>
      </c>
      <c r="CX40" s="149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9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9"/>
      <c r="FS40" s="14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2"/>
      <c r="IB40" s="14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9"/>
      <c r="I41" s="14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9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9"/>
      <c r="BE41" s="14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2"/>
      <c r="CQ41" s="52" t="str">
        <f t="shared" si="175"/>
        <v/>
      </c>
      <c r="CX41" s="149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8" t="s">
        <v>333</v>
      </c>
      <c r="EY41" s="128"/>
      <c r="FA41" s="149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9"/>
      <c r="FS41" s="14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2"/>
      <c r="IB41" s="14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9"/>
      <c r="I42" s="14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9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9"/>
      <c r="BE42" s="14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2"/>
      <c r="CQ42" s="52" t="str">
        <f t="shared" si="175"/>
        <v/>
      </c>
      <c r="CX42" s="149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49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9"/>
      <c r="FS42" s="14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2"/>
      <c r="IB42" s="14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9"/>
      <c r="I43" s="14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9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9"/>
      <c r="BE43" s="14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2"/>
      <c r="CQ43" s="52" t="str">
        <f t="shared" si="175"/>
        <v/>
      </c>
      <c r="CX43" s="149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49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9"/>
      <c r="FS43" s="14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2"/>
      <c r="IB43" s="14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9"/>
      <c r="I44" s="14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9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9"/>
      <c r="BE44" s="14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2"/>
      <c r="CQ44" s="52" t="str">
        <f t="shared" si="175"/>
        <v/>
      </c>
      <c r="CX44" s="149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334</v>
      </c>
      <c r="EY44" s="31"/>
      <c r="FA44" s="149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9"/>
      <c r="FS44" s="14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2"/>
      <c r="IB44" s="14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9"/>
      <c r="I45" s="14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9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9"/>
      <c r="BE45" s="14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2"/>
      <c r="CQ45" s="52" t="str">
        <f t="shared" si="175"/>
        <v/>
      </c>
      <c r="CX45" s="149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9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9"/>
      <c r="FS45" s="14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2"/>
      <c r="IB45" s="14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9"/>
      <c r="I46" s="14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9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9"/>
      <c r="BE46" s="14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2"/>
      <c r="CQ46" s="52" t="str">
        <f t="shared" si="175"/>
        <v/>
      </c>
      <c r="CX46" s="149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9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9"/>
      <c r="FS46" s="14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2"/>
      <c r="IB46" s="14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9"/>
      <c r="I47" s="14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9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9"/>
      <c r="BE47" s="14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2"/>
      <c r="CQ47" s="52" t="str">
        <f t="shared" si="175"/>
        <v/>
      </c>
      <c r="CX47" s="149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9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9"/>
      <c r="FS47" s="14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2"/>
      <c r="IB47" s="14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9"/>
      <c r="I48" s="14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9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9"/>
      <c r="BE48" s="14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2"/>
      <c r="CQ48" s="52" t="str">
        <f t="shared" si="175"/>
        <v/>
      </c>
      <c r="CX48" s="149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9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9"/>
      <c r="FS48" s="14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2"/>
      <c r="IB48" s="14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9"/>
      <c r="I49" s="14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9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9"/>
      <c r="BE49" s="14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2"/>
      <c r="CQ49" s="52" t="str">
        <f t="shared" si="175"/>
        <v/>
      </c>
      <c r="CX49" s="149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9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9"/>
      <c r="FS49" s="14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2"/>
      <c r="IB49" s="14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9"/>
      <c r="I50" s="14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9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9"/>
      <c r="BE50" s="14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2"/>
      <c r="CQ50" s="52" t="str">
        <f t="shared" si="175"/>
        <v/>
      </c>
      <c r="CX50" s="149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9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9"/>
      <c r="FS50" s="14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2"/>
      <c r="IB50" s="14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9"/>
      <c r="I51" s="14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9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9"/>
      <c r="BE51" s="14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2"/>
      <c r="CQ51" s="52" t="str">
        <f t="shared" si="175"/>
        <v/>
      </c>
      <c r="CX51" s="149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9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9"/>
      <c r="FS51" s="14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2"/>
      <c r="IB51" s="14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9"/>
      <c r="I52" s="14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9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9"/>
      <c r="BE52" s="14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2"/>
      <c r="CQ52" s="52" t="str">
        <f t="shared" si="175"/>
        <v/>
      </c>
      <c r="CX52" s="149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9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9"/>
      <c r="FS52" s="14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2"/>
      <c r="IB52" s="14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9"/>
      <c r="I53" s="14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9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9"/>
      <c r="BE53" s="14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2"/>
      <c r="CQ53" s="52" t="str">
        <f t="shared" si="175"/>
        <v/>
      </c>
      <c r="CX53" s="149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9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9"/>
      <c r="FS53" s="14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2"/>
      <c r="IB53" s="14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9"/>
      <c r="I54" s="14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9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9"/>
      <c r="BE54" s="14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2"/>
      <c r="CQ54" s="52" t="str">
        <f t="shared" si="175"/>
        <v/>
      </c>
      <c r="CX54" s="149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9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9"/>
      <c r="FS54" s="14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2"/>
      <c r="IB54" s="14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9"/>
      <c r="I55" s="14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9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9"/>
      <c r="BE55" s="14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2"/>
      <c r="CQ55" s="52" t="str">
        <f t="shared" si="175"/>
        <v/>
      </c>
      <c r="CX55" s="149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9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9"/>
      <c r="FS55" s="14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2"/>
      <c r="IB55" s="14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9"/>
      <c r="I56" s="14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9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9"/>
      <c r="BE56" s="14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2"/>
      <c r="CQ56" s="52" t="str">
        <f t="shared" si="175"/>
        <v/>
      </c>
      <c r="CX56" s="149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9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9"/>
      <c r="FS56" s="14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2"/>
      <c r="IB56" s="14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9"/>
      <c r="I57" s="14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9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9"/>
      <c r="BE57" s="14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2"/>
      <c r="CQ57" s="52" t="str">
        <f t="shared" si="175"/>
        <v/>
      </c>
      <c r="CX57" s="149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9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9"/>
      <c r="FS57" s="14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2"/>
      <c r="IB57" s="14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9"/>
      <c r="I58" s="14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9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9"/>
      <c r="BE58" s="14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2"/>
      <c r="CQ58" s="52" t="str">
        <f t="shared" si="175"/>
        <v/>
      </c>
      <c r="CX58" s="149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9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9"/>
      <c r="FS58" s="14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2"/>
      <c r="IB58" s="14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9"/>
      <c r="I59" s="14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9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9"/>
      <c r="BE59" s="14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2"/>
      <c r="CQ59" s="52" t="str">
        <f t="shared" si="175"/>
        <v/>
      </c>
      <c r="CX59" s="149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9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9"/>
      <c r="FS59" s="14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2"/>
      <c r="IB59" s="14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9"/>
      <c r="I60" s="14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9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9"/>
      <c r="BE60" s="14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2"/>
      <c r="CQ60" s="52" t="str">
        <f t="shared" si="175"/>
        <v/>
      </c>
      <c r="CX60" s="149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9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9"/>
      <c r="FS60" s="14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2"/>
      <c r="IB60" s="14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9"/>
      <c r="I61" s="14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9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9"/>
      <c r="BE61" s="14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2"/>
      <c r="CQ61" s="52" t="str">
        <f t="shared" si="175"/>
        <v/>
      </c>
      <c r="CX61" s="149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9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9"/>
      <c r="FS61" s="14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2"/>
      <c r="IB61" s="14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9"/>
      <c r="I62" s="14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9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9"/>
      <c r="BE62" s="14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2"/>
      <c r="CQ62" s="52" t="str">
        <f t="shared" si="175"/>
        <v/>
      </c>
      <c r="CX62" s="149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9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9"/>
      <c r="FS62" s="14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2"/>
      <c r="IB62" s="14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9"/>
      <c r="I63" s="14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9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9"/>
      <c r="BE63" s="14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2"/>
      <c r="CQ63" s="52" t="str">
        <f t="shared" si="175"/>
        <v/>
      </c>
      <c r="CX63" s="149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9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9"/>
      <c r="FS63" s="14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2"/>
      <c r="IB63" s="14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9"/>
      <c r="I64" s="14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9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9"/>
      <c r="BE64" s="14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2"/>
      <c r="CQ64" s="52" t="str">
        <f t="shared" si="175"/>
        <v/>
      </c>
      <c r="CX64" s="149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9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9"/>
      <c r="FS64" s="14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2"/>
      <c r="IB64" s="14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9"/>
      <c r="I65" s="14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9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9"/>
      <c r="BE65" s="14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2"/>
      <c r="CQ65" s="52" t="str">
        <f t="shared" si="175"/>
        <v/>
      </c>
      <c r="CX65" s="149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9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9"/>
      <c r="FS65" s="14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2"/>
      <c r="IB65" s="14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9"/>
      <c r="I66" s="14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9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9"/>
      <c r="BE66" s="14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2"/>
      <c r="CQ66" s="52" t="str">
        <f t="shared" si="175"/>
        <v/>
      </c>
      <c r="CX66" s="149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9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9"/>
      <c r="FS66" s="14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2"/>
      <c r="IB66" s="14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9"/>
      <c r="I67" s="14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9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9"/>
      <c r="BE67" s="14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2"/>
      <c r="CQ67" s="52" t="str">
        <f t="shared" si="175"/>
        <v/>
      </c>
      <c r="CX67" s="149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9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9"/>
      <c r="FS67" s="14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2"/>
      <c r="IB67" s="14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9"/>
      <c r="I68" s="14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9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9"/>
      <c r="BE68" s="14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2"/>
      <c r="CQ68" s="52" t="str">
        <f t="shared" si="175"/>
        <v/>
      </c>
      <c r="CX68" s="149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9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9"/>
      <c r="FS68" s="14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2"/>
      <c r="IB68" s="14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9"/>
      <c r="I69" s="14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9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9"/>
      <c r="BE69" s="14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2"/>
      <c r="CQ69" s="52" t="str">
        <f t="shared" si="175"/>
        <v/>
      </c>
      <c r="CX69" s="149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9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9"/>
      <c r="FS69" s="14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2"/>
      <c r="IB69" s="14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9"/>
      <c r="I70" s="14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9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9"/>
      <c r="BE70" s="14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2"/>
      <c r="CQ70" s="52" t="str">
        <f t="shared" si="175"/>
        <v/>
      </c>
      <c r="CX70" s="149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9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9"/>
      <c r="FS70" s="14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2"/>
      <c r="IB70" s="14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9"/>
      <c r="I71" s="14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9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9"/>
      <c r="BE71" s="14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2"/>
      <c r="CQ71" s="52" t="str">
        <f t="shared" si="175"/>
        <v/>
      </c>
      <c r="CX71" s="149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9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9"/>
      <c r="FS71" s="14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2"/>
      <c r="IB71" s="14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9"/>
      <c r="I72" s="14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9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9"/>
      <c r="BE72" s="14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2"/>
      <c r="CQ72" s="52" t="str">
        <f t="shared" si="175"/>
        <v/>
      </c>
      <c r="CX72" s="149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9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9"/>
      <c r="FS72" s="14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2"/>
      <c r="IB72" s="14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9"/>
      <c r="I73" s="14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9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9"/>
      <c r="BE73" s="14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2"/>
      <c r="CQ73" s="52" t="str">
        <f t="shared" si="175"/>
        <v/>
      </c>
      <c r="CX73" s="149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9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9"/>
      <c r="FS73" s="14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2"/>
      <c r="IB73" s="14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9"/>
      <c r="I74" s="14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9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9"/>
      <c r="BE74" s="14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2"/>
      <c r="CQ74" s="52" t="str">
        <f t="shared" si="175"/>
        <v/>
      </c>
      <c r="CX74" s="149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9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9"/>
      <c r="FS74" s="14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2"/>
      <c r="IB74" s="14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9"/>
      <c r="I75" s="14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9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9"/>
      <c r="BE75" s="14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2"/>
      <c r="CQ75" s="52" t="str">
        <f t="shared" si="175"/>
        <v/>
      </c>
      <c r="CX75" s="149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9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9"/>
      <c r="FS75" s="14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2"/>
      <c r="IB75" s="14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9"/>
      <c r="I76" s="14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9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9"/>
      <c r="BE76" s="14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2"/>
      <c r="CQ76" s="52" t="str">
        <f t="shared" si="175"/>
        <v/>
      </c>
      <c r="CX76" s="149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9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9"/>
      <c r="FS76" s="14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2"/>
      <c r="IB76" s="14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9"/>
      <c r="I77" s="14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9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9"/>
      <c r="BE77" s="14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2"/>
      <c r="CQ77" s="52" t="str">
        <f t="shared" si="175"/>
        <v/>
      </c>
      <c r="CX77" s="149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9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9"/>
      <c r="FS77" s="14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2"/>
      <c r="IB77" s="14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9"/>
      <c r="I78" s="14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9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9"/>
      <c r="BE78" s="14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2"/>
      <c r="CQ78" s="52" t="str">
        <f t="shared" si="175"/>
        <v/>
      </c>
      <c r="CX78" s="149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9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9"/>
      <c r="FS78" s="14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2"/>
      <c r="IB78" s="14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9"/>
      <c r="I79" s="14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9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9"/>
      <c r="BE79" s="14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2"/>
      <c r="CQ79" s="52" t="str">
        <f t="shared" si="175"/>
        <v/>
      </c>
      <c r="CX79" s="149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9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9"/>
      <c r="FS79" s="14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2"/>
      <c r="IB79" s="14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9"/>
      <c r="I80" s="14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9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9"/>
      <c r="BE80" s="14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2"/>
      <c r="CQ80" s="52" t="str">
        <f t="shared" si="175"/>
        <v/>
      </c>
      <c r="CX80" s="149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9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9"/>
      <c r="FS80" s="14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2"/>
      <c r="IB80" s="14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9"/>
      <c r="I81" s="14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9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9"/>
      <c r="BE81" s="14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2"/>
      <c r="CQ81" s="52" t="str">
        <f t="shared" si="175"/>
        <v/>
      </c>
      <c r="CX81" s="149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9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9"/>
      <c r="FS81" s="14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2"/>
      <c r="IB81" s="14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9"/>
      <c r="I82" s="14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9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9"/>
      <c r="BE82" s="14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2"/>
      <c r="CQ82" s="52" t="str">
        <f t="shared" si="175"/>
        <v/>
      </c>
      <c r="CX82" s="149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9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9"/>
      <c r="FS82" s="14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2"/>
      <c r="IB82" s="14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9"/>
      <c r="I83" s="14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9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9"/>
      <c r="BE83" s="14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2"/>
      <c r="CQ83" s="52" t="str">
        <f t="shared" si="175"/>
        <v/>
      </c>
      <c r="CX83" s="149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9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9"/>
      <c r="FS83" s="14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2"/>
      <c r="IB83" s="14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9"/>
      <c r="I84" s="14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9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9"/>
      <c r="BE84" s="14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2"/>
      <c r="CQ84" s="52" t="str">
        <f t="shared" si="175"/>
        <v/>
      </c>
      <c r="CX84" s="149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9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9"/>
      <c r="FS84" s="14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2"/>
      <c r="IB84" s="14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9"/>
      <c r="I85" s="14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9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9"/>
      <c r="BE85" s="14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2"/>
      <c r="CQ85" s="52" t="str">
        <f t="shared" si="175"/>
        <v/>
      </c>
      <c r="CX85" s="149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9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9"/>
      <c r="FS85" s="14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2"/>
      <c r="IB85" s="14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9"/>
      <c r="I86" s="14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9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9"/>
      <c r="BE86" s="14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2"/>
      <c r="CQ86" s="52" t="str">
        <f t="shared" si="175"/>
        <v/>
      </c>
      <c r="CX86" s="149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9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9"/>
      <c r="FS86" s="14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2"/>
      <c r="IB86" s="14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9"/>
      <c r="I87" s="14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9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9"/>
      <c r="BE87" s="14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2"/>
      <c r="CQ87" s="52" t="str">
        <f t="shared" si="175"/>
        <v/>
      </c>
      <c r="CX87" s="149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9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9"/>
      <c r="FS87" s="14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2"/>
      <c r="IB87" s="14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9"/>
      <c r="I88" s="14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9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9"/>
      <c r="BE88" s="14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2"/>
      <c r="CQ88" s="52" t="str">
        <f t="shared" si="175"/>
        <v/>
      </c>
      <c r="CX88" s="149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9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9"/>
      <c r="FS88" s="14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2"/>
      <c r="IB88" s="14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9"/>
      <c r="I89" s="14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9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9"/>
      <c r="BE89" s="14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2"/>
      <c r="CQ89" s="52" t="str">
        <f t="shared" si="175"/>
        <v/>
      </c>
      <c r="CX89" s="149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9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9"/>
      <c r="FS89" s="14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2"/>
      <c r="IB89" s="14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9"/>
      <c r="I90" s="14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9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9"/>
      <c r="BE90" s="14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2"/>
      <c r="CQ90" s="52" t="str">
        <f t="shared" si="175"/>
        <v/>
      </c>
      <c r="CX90" s="149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9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9"/>
      <c r="FS90" s="14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2"/>
      <c r="IB90" s="14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9"/>
      <c r="I91" s="14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9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9"/>
      <c r="BE91" s="14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2"/>
      <c r="CQ91" s="52" t="str">
        <f t="shared" si="175"/>
        <v/>
      </c>
      <c r="CX91" s="149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9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9"/>
      <c r="FS91" s="14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2"/>
      <c r="IB91" s="14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9"/>
      <c r="I92" s="14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9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9"/>
      <c r="BE92" s="14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2"/>
      <c r="CQ92" s="52" t="str">
        <f t="shared" si="175"/>
        <v/>
      </c>
      <c r="CX92" s="149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9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9"/>
      <c r="FS92" s="14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2"/>
      <c r="IB92" s="14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9"/>
      <c r="I93" s="14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9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9"/>
      <c r="BE93" s="14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2"/>
      <c r="CQ93" s="52" t="str">
        <f t="shared" si="175"/>
        <v/>
      </c>
      <c r="CX93" s="149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9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9"/>
      <c r="FS93" s="14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2"/>
      <c r="IB93" s="14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9"/>
      <c r="I94" s="14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9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9"/>
      <c r="BE94" s="14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2"/>
      <c r="CQ94" s="52" t="str">
        <f t="shared" si="175"/>
        <v/>
      </c>
      <c r="CX94" s="149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9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9"/>
      <c r="FS94" s="14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2"/>
      <c r="IB94" s="14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9"/>
      <c r="I95" s="14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9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9"/>
      <c r="BE95" s="14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2"/>
      <c r="CQ95" s="52" t="str">
        <f t="shared" si="175"/>
        <v/>
      </c>
      <c r="CX95" s="149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9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9"/>
      <c r="FS95" s="14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2"/>
      <c r="IB95" s="14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9"/>
      <c r="I96" s="14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9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9"/>
      <c r="BE96" s="14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2"/>
      <c r="CQ96" s="52" t="str">
        <f t="shared" si="175"/>
        <v/>
      </c>
      <c r="CX96" s="149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9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9"/>
      <c r="FS96" s="14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2"/>
      <c r="IB96" s="14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9"/>
      <c r="I97" s="14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9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9"/>
      <c r="BE97" s="14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2"/>
      <c r="CQ97" s="52" t="str">
        <f t="shared" si="175"/>
        <v/>
      </c>
      <c r="CX97" s="149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9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9"/>
      <c r="FS97" s="14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2"/>
      <c r="IB97" s="14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9"/>
      <c r="I98" s="14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9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9"/>
      <c r="BE98" s="14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2"/>
      <c r="CQ98" s="52" t="str">
        <f t="shared" ref="CQ98:CQ161" si="383">IF(AND(Sufficient_data="Yes",Include_study?="Yes"),c_/(c_+d_),"")</f>
        <v/>
      </c>
      <c r="CX98" s="149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9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9"/>
      <c r="FS98" s="14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2"/>
      <c r="IB98" s="14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9"/>
      <c r="I99" s="14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9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9"/>
      <c r="BE99" s="14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2"/>
      <c r="CQ99" s="52" t="str">
        <f t="shared" si="383"/>
        <v/>
      </c>
      <c r="CX99" s="149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9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9"/>
      <c r="FS99" s="14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2"/>
      <c r="IB99" s="14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9"/>
      <c r="I100" s="14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9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9"/>
      <c r="BE100" s="14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2"/>
      <c r="CQ100" s="52" t="str">
        <f t="shared" si="383"/>
        <v/>
      </c>
      <c r="CX100" s="149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9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9"/>
      <c r="FS100" s="14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2"/>
      <c r="IB100" s="14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9"/>
      <c r="I101" s="14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9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9"/>
      <c r="BE101" s="14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2"/>
      <c r="CQ101" s="52" t="str">
        <f t="shared" si="383"/>
        <v/>
      </c>
      <c r="CX101" s="149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9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9"/>
      <c r="FS101" s="14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2"/>
      <c r="IB101" s="14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9"/>
      <c r="I102" s="14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9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9"/>
      <c r="BE102" s="14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2"/>
      <c r="CQ102" s="52" t="str">
        <f t="shared" si="383"/>
        <v/>
      </c>
      <c r="CX102" s="149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9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9"/>
      <c r="FS102" s="14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2"/>
      <c r="IB102" s="14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9"/>
      <c r="I103" s="14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9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9"/>
      <c r="BE103" s="14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2"/>
      <c r="CQ103" s="52" t="str">
        <f t="shared" si="383"/>
        <v/>
      </c>
      <c r="CX103" s="149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9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9"/>
      <c r="FS103" s="14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2"/>
      <c r="IB103" s="14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9"/>
      <c r="I104" s="14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9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9"/>
      <c r="BE104" s="14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2"/>
      <c r="CQ104" s="52" t="str">
        <f t="shared" si="383"/>
        <v/>
      </c>
      <c r="CX104" s="149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9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9"/>
      <c r="FS104" s="14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2"/>
      <c r="IB104" s="14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9"/>
      <c r="I105" s="14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9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9"/>
      <c r="BE105" s="14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2"/>
      <c r="CQ105" s="52" t="str">
        <f t="shared" si="383"/>
        <v/>
      </c>
      <c r="CX105" s="149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9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9"/>
      <c r="FS105" s="14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2"/>
      <c r="IB105" s="14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9"/>
      <c r="I106" s="14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9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9"/>
      <c r="BE106" s="14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2"/>
      <c r="CQ106" s="52" t="str">
        <f t="shared" si="383"/>
        <v/>
      </c>
      <c r="CX106" s="149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9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9"/>
      <c r="FS106" s="14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2"/>
      <c r="IB106" s="14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9"/>
      <c r="I107" s="14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9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9"/>
      <c r="BE107" s="14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2"/>
      <c r="CQ107" s="52" t="str">
        <f t="shared" si="383"/>
        <v/>
      </c>
      <c r="CX107" s="149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9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9"/>
      <c r="FS107" s="14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2"/>
      <c r="IB107" s="14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9"/>
      <c r="I108" s="14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9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9"/>
      <c r="BE108" s="14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2"/>
      <c r="CQ108" s="52" t="str">
        <f t="shared" si="383"/>
        <v/>
      </c>
      <c r="CX108" s="149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9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9"/>
      <c r="FS108" s="14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2"/>
      <c r="IB108" s="14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9"/>
      <c r="I109" s="14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9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9"/>
      <c r="BE109" s="14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2"/>
      <c r="CQ109" s="52" t="str">
        <f t="shared" si="383"/>
        <v/>
      </c>
      <c r="CX109" s="149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9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9"/>
      <c r="FS109" s="14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2"/>
      <c r="IB109" s="14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9"/>
      <c r="I110" s="14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9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9"/>
      <c r="BE110" s="14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2"/>
      <c r="CQ110" s="52" t="str">
        <f t="shared" si="383"/>
        <v/>
      </c>
      <c r="CX110" s="149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9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9"/>
      <c r="FS110" s="14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2"/>
      <c r="IB110" s="14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9"/>
      <c r="I111" s="14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9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9"/>
      <c r="BE111" s="14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2"/>
      <c r="CQ111" s="52" t="str">
        <f t="shared" si="383"/>
        <v/>
      </c>
      <c r="CX111" s="149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9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9"/>
      <c r="FS111" s="14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2"/>
      <c r="IB111" s="14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9"/>
      <c r="I112" s="14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9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9"/>
      <c r="BE112" s="14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2"/>
      <c r="CQ112" s="52" t="str">
        <f t="shared" si="383"/>
        <v/>
      </c>
      <c r="CX112" s="149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9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9"/>
      <c r="FS112" s="14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2"/>
      <c r="IB112" s="14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9"/>
      <c r="I113" s="14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9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9"/>
      <c r="BE113" s="14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2"/>
      <c r="CQ113" s="52" t="str">
        <f t="shared" si="383"/>
        <v/>
      </c>
      <c r="CX113" s="149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9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9"/>
      <c r="FS113" s="14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2"/>
      <c r="IB113" s="14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9"/>
      <c r="I114" s="14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9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9"/>
      <c r="BE114" s="14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2"/>
      <c r="CQ114" s="52" t="str">
        <f t="shared" si="383"/>
        <v/>
      </c>
      <c r="CX114" s="149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9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9"/>
      <c r="FS114" s="14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2"/>
      <c r="IB114" s="14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9"/>
      <c r="I115" s="14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9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9"/>
      <c r="BE115" s="14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2"/>
      <c r="CQ115" s="52" t="str">
        <f t="shared" si="383"/>
        <v/>
      </c>
      <c r="CX115" s="149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9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9"/>
      <c r="FS115" s="14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2"/>
      <c r="IB115" s="14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9"/>
      <c r="I116" s="14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9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9"/>
      <c r="BE116" s="14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2"/>
      <c r="CQ116" s="52" t="str">
        <f t="shared" si="383"/>
        <v/>
      </c>
      <c r="CX116" s="149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9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9"/>
      <c r="FS116" s="14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2"/>
      <c r="IB116" s="14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9"/>
      <c r="I117" s="14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9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9"/>
      <c r="BE117" s="14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2"/>
      <c r="CQ117" s="52" t="str">
        <f t="shared" si="383"/>
        <v/>
      </c>
      <c r="CX117" s="149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9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9"/>
      <c r="FS117" s="14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2"/>
      <c r="IB117" s="14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9"/>
      <c r="I118" s="14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9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9"/>
      <c r="BE118" s="14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2"/>
      <c r="CQ118" s="52" t="str">
        <f t="shared" si="383"/>
        <v/>
      </c>
      <c r="CX118" s="149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9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9"/>
      <c r="FS118" s="14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2"/>
      <c r="IB118" s="14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9"/>
      <c r="I119" s="14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9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9"/>
      <c r="BE119" s="14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2"/>
      <c r="CQ119" s="52" t="str">
        <f t="shared" si="383"/>
        <v/>
      </c>
      <c r="CX119" s="149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9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9"/>
      <c r="FS119" s="14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2"/>
      <c r="IB119" s="14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9"/>
      <c r="I120" s="14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9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9"/>
      <c r="BE120" s="14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2"/>
      <c r="CQ120" s="52" t="str">
        <f t="shared" si="383"/>
        <v/>
      </c>
      <c r="CX120" s="149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9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9"/>
      <c r="FS120" s="14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2"/>
      <c r="IB120" s="14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9"/>
      <c r="I121" s="14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9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9"/>
      <c r="BE121" s="14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2"/>
      <c r="CQ121" s="52" t="str">
        <f t="shared" si="383"/>
        <v/>
      </c>
      <c r="CX121" s="149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9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9"/>
      <c r="FS121" s="14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2"/>
      <c r="IB121" s="14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9"/>
      <c r="I122" s="14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9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9"/>
      <c r="BE122" s="14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2"/>
      <c r="CQ122" s="52" t="str">
        <f t="shared" si="383"/>
        <v/>
      </c>
      <c r="CX122" s="149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9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9"/>
      <c r="FS122" s="14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2"/>
      <c r="IB122" s="14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9"/>
      <c r="I123" s="14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9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9"/>
      <c r="BE123" s="14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2"/>
      <c r="CQ123" s="52" t="str">
        <f t="shared" si="383"/>
        <v/>
      </c>
      <c r="CX123" s="149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9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9"/>
      <c r="FS123" s="14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2"/>
      <c r="IB123" s="14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9"/>
      <c r="I124" s="14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9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9"/>
      <c r="BE124" s="14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2"/>
      <c r="CQ124" s="52" t="str">
        <f t="shared" si="383"/>
        <v/>
      </c>
      <c r="CX124" s="149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9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9"/>
      <c r="FS124" s="14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2"/>
      <c r="IB124" s="14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9"/>
      <c r="I125" s="14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9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9"/>
      <c r="BE125" s="14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2"/>
      <c r="CQ125" s="52" t="str">
        <f t="shared" si="383"/>
        <v/>
      </c>
      <c r="CX125" s="149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9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9"/>
      <c r="FS125" s="14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2"/>
      <c r="IB125" s="14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9"/>
      <c r="I126" s="14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9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9"/>
      <c r="BE126" s="14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2"/>
      <c r="CQ126" s="52" t="str">
        <f t="shared" si="383"/>
        <v/>
      </c>
      <c r="CX126" s="149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9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9"/>
      <c r="FS126" s="14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2"/>
      <c r="IB126" s="14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9"/>
      <c r="I127" s="14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9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9"/>
      <c r="BE127" s="14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2"/>
      <c r="CQ127" s="52" t="str">
        <f t="shared" si="383"/>
        <v/>
      </c>
      <c r="CX127" s="149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9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9"/>
      <c r="FS127" s="14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2"/>
      <c r="IB127" s="14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9"/>
      <c r="I128" s="14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9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9"/>
      <c r="BE128" s="14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2"/>
      <c r="CQ128" s="52" t="str">
        <f t="shared" si="383"/>
        <v/>
      </c>
      <c r="CX128" s="149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9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9"/>
      <c r="FS128" s="14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2"/>
      <c r="IB128" s="14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9"/>
      <c r="I129" s="14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9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9"/>
      <c r="BE129" s="14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2"/>
      <c r="CQ129" s="52" t="str">
        <f t="shared" si="383"/>
        <v/>
      </c>
      <c r="CX129" s="149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9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9"/>
      <c r="FS129" s="14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2"/>
      <c r="IB129" s="14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9"/>
      <c r="I130" s="14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9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9"/>
      <c r="BE130" s="14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2"/>
      <c r="CQ130" s="52" t="str">
        <f t="shared" si="383"/>
        <v/>
      </c>
      <c r="CX130" s="149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9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9"/>
      <c r="FS130" s="14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2"/>
      <c r="IB130" s="14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9"/>
      <c r="I131" s="14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9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9"/>
      <c r="BE131" s="14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2"/>
      <c r="CQ131" s="52" t="str">
        <f t="shared" si="383"/>
        <v/>
      </c>
      <c r="CX131" s="149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9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9"/>
      <c r="FS131" s="14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2"/>
      <c r="IB131" s="14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9"/>
      <c r="I132" s="14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9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9"/>
      <c r="BE132" s="14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2"/>
      <c r="CQ132" s="52" t="str">
        <f t="shared" si="383"/>
        <v/>
      </c>
      <c r="CX132" s="149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9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9"/>
      <c r="FS132" s="14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2"/>
      <c r="IB132" s="14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9"/>
      <c r="I133" s="14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9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9"/>
      <c r="BE133" s="14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2"/>
      <c r="CQ133" s="52" t="str">
        <f t="shared" si="383"/>
        <v/>
      </c>
      <c r="CX133" s="149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9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9"/>
      <c r="FS133" s="14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2"/>
      <c r="IB133" s="14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9"/>
      <c r="I134" s="14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9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9"/>
      <c r="BE134" s="14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2"/>
      <c r="CQ134" s="52" t="str">
        <f t="shared" si="383"/>
        <v/>
      </c>
      <c r="CX134" s="149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9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9"/>
      <c r="FS134" s="14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2"/>
      <c r="IB134" s="14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9"/>
      <c r="I135" s="14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9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9"/>
      <c r="BE135" s="14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2"/>
      <c r="CQ135" s="52" t="str">
        <f t="shared" si="383"/>
        <v/>
      </c>
      <c r="CX135" s="149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9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9"/>
      <c r="FS135" s="14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2"/>
      <c r="IB135" s="14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9"/>
      <c r="I136" s="14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9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9"/>
      <c r="BE136" s="14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2"/>
      <c r="CQ136" s="52" t="str">
        <f t="shared" si="383"/>
        <v/>
      </c>
      <c r="CX136" s="149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9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9"/>
      <c r="FS136" s="14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2"/>
      <c r="IB136" s="14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9"/>
      <c r="I137" s="14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9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9"/>
      <c r="BE137" s="14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2"/>
      <c r="CQ137" s="52" t="str">
        <f t="shared" si="383"/>
        <v/>
      </c>
      <c r="CX137" s="149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9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9"/>
      <c r="FS137" s="14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2"/>
      <c r="IB137" s="14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9"/>
      <c r="I138" s="14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9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9"/>
      <c r="BE138" s="14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2"/>
      <c r="CQ138" s="52" t="str">
        <f t="shared" si="383"/>
        <v/>
      </c>
      <c r="CX138" s="149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9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9"/>
      <c r="FS138" s="14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2"/>
      <c r="IB138" s="14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9"/>
      <c r="I139" s="14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9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9"/>
      <c r="BE139" s="14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2"/>
      <c r="CQ139" s="52" t="str">
        <f t="shared" si="383"/>
        <v/>
      </c>
      <c r="CX139" s="149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9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9"/>
      <c r="FS139" s="14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2"/>
      <c r="IB139" s="14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9"/>
      <c r="I140" s="14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9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9"/>
      <c r="BE140" s="14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2"/>
      <c r="CQ140" s="52" t="str">
        <f t="shared" si="383"/>
        <v/>
      </c>
      <c r="CX140" s="149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9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9"/>
      <c r="FS140" s="14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2"/>
      <c r="IB140" s="14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9"/>
      <c r="I141" s="14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9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9"/>
      <c r="BE141" s="14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2"/>
      <c r="CQ141" s="52" t="str">
        <f t="shared" si="383"/>
        <v/>
      </c>
      <c r="CX141" s="149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9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9"/>
      <c r="FS141" s="14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2"/>
      <c r="IB141" s="14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9"/>
      <c r="I142" s="14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9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9"/>
      <c r="BE142" s="14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2"/>
      <c r="CQ142" s="52" t="str">
        <f t="shared" si="383"/>
        <v/>
      </c>
      <c r="CX142" s="149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9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9"/>
      <c r="FS142" s="14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2"/>
      <c r="IB142" s="14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9"/>
      <c r="I143" s="14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9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9"/>
      <c r="BE143" s="14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2"/>
      <c r="CQ143" s="52" t="str">
        <f t="shared" si="383"/>
        <v/>
      </c>
      <c r="CX143" s="149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9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9"/>
      <c r="FS143" s="14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2"/>
      <c r="IB143" s="14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9"/>
      <c r="I144" s="14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9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9"/>
      <c r="BE144" s="14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2"/>
      <c r="CQ144" s="52" t="str">
        <f t="shared" si="383"/>
        <v/>
      </c>
      <c r="CX144" s="149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9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9"/>
      <c r="FS144" s="14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2"/>
      <c r="IB144" s="14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9"/>
      <c r="I145" s="14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9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9"/>
      <c r="BE145" s="14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2"/>
      <c r="CQ145" s="52" t="str">
        <f t="shared" si="383"/>
        <v/>
      </c>
      <c r="CX145" s="149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9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9"/>
      <c r="FS145" s="14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2"/>
      <c r="IB145" s="14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9"/>
      <c r="I146" s="14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9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9"/>
      <c r="BE146" s="14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2"/>
      <c r="CQ146" s="52" t="str">
        <f t="shared" si="383"/>
        <v/>
      </c>
      <c r="CX146" s="149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9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9"/>
      <c r="FS146" s="14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2"/>
      <c r="IB146" s="14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9"/>
      <c r="I147" s="14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9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9"/>
      <c r="BE147" s="14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2"/>
      <c r="CQ147" s="52" t="str">
        <f t="shared" si="383"/>
        <v/>
      </c>
      <c r="CX147" s="149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9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9"/>
      <c r="FS147" s="14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2"/>
      <c r="IB147" s="14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9"/>
      <c r="I148" s="14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9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9"/>
      <c r="BE148" s="14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2"/>
      <c r="CQ148" s="52" t="str">
        <f t="shared" si="383"/>
        <v/>
      </c>
      <c r="CX148" s="149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9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9"/>
      <c r="FS148" s="14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2"/>
      <c r="IB148" s="14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9"/>
      <c r="I149" s="14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9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9"/>
      <c r="BE149" s="14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2"/>
      <c r="CQ149" s="52" t="str">
        <f t="shared" si="383"/>
        <v/>
      </c>
      <c r="CX149" s="149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9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9"/>
      <c r="FS149" s="14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2"/>
      <c r="IB149" s="14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9"/>
      <c r="I150" s="14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9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9"/>
      <c r="BE150" s="14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2"/>
      <c r="CQ150" s="52" t="str">
        <f t="shared" si="383"/>
        <v/>
      </c>
      <c r="CX150" s="149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9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9"/>
      <c r="FS150" s="14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2"/>
      <c r="IB150" s="14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9"/>
      <c r="I151" s="14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9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9"/>
      <c r="BE151" s="14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2"/>
      <c r="CQ151" s="52" t="str">
        <f t="shared" si="383"/>
        <v/>
      </c>
      <c r="CX151" s="149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9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9"/>
      <c r="FS151" s="14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2"/>
      <c r="IB151" s="14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9"/>
      <c r="I152" s="14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9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9"/>
      <c r="BE152" s="14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2"/>
      <c r="CQ152" s="52" t="str">
        <f t="shared" si="383"/>
        <v/>
      </c>
      <c r="CX152" s="149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9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9"/>
      <c r="FS152" s="14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2"/>
      <c r="IB152" s="14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9"/>
      <c r="I153" s="14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9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9"/>
      <c r="BE153" s="14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2"/>
      <c r="CQ153" s="52" t="str">
        <f t="shared" si="383"/>
        <v/>
      </c>
      <c r="CX153" s="149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9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9"/>
      <c r="FS153" s="14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2"/>
      <c r="IB153" s="14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9"/>
      <c r="I154" s="14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9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9"/>
      <c r="BE154" s="14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2"/>
      <c r="CQ154" s="52" t="str">
        <f t="shared" si="383"/>
        <v/>
      </c>
      <c r="CX154" s="149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9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9"/>
      <c r="FS154" s="14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2"/>
      <c r="IB154" s="14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9"/>
      <c r="I155" s="14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9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9"/>
      <c r="BE155" s="14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2"/>
      <c r="CQ155" s="52" t="str">
        <f t="shared" si="383"/>
        <v/>
      </c>
      <c r="CX155" s="149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9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9"/>
      <c r="FS155" s="14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2"/>
      <c r="IB155" s="14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9"/>
      <c r="I156" s="14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9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9"/>
      <c r="BE156" s="14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2"/>
      <c r="CQ156" s="52" t="str">
        <f t="shared" si="383"/>
        <v/>
      </c>
      <c r="CX156" s="149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9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9"/>
      <c r="FS156" s="14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2"/>
      <c r="IB156" s="14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9"/>
      <c r="I157" s="14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9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9"/>
      <c r="BE157" s="14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2"/>
      <c r="CQ157" s="52" t="str">
        <f t="shared" si="383"/>
        <v/>
      </c>
      <c r="CX157" s="149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9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9"/>
      <c r="FS157" s="14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2"/>
      <c r="IB157" s="14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9"/>
      <c r="I158" s="14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9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9"/>
      <c r="BE158" s="14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2"/>
      <c r="CQ158" s="52" t="str">
        <f t="shared" si="383"/>
        <v/>
      </c>
      <c r="CX158" s="149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9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9"/>
      <c r="FS158" s="14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2"/>
      <c r="IB158" s="14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9"/>
      <c r="I159" s="14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9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9"/>
      <c r="BE159" s="14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2"/>
      <c r="CQ159" s="52" t="str">
        <f t="shared" si="383"/>
        <v/>
      </c>
      <c r="CX159" s="149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9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9"/>
      <c r="FS159" s="14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2"/>
      <c r="IB159" s="14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9"/>
      <c r="I160" s="14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9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9"/>
      <c r="BE160" s="14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2"/>
      <c r="CQ160" s="52" t="str">
        <f t="shared" si="383"/>
        <v/>
      </c>
      <c r="CX160" s="149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9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9"/>
      <c r="FS160" s="14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2"/>
      <c r="IB160" s="14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9"/>
      <c r="I161" s="14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9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9"/>
      <c r="BE161" s="14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2"/>
      <c r="CQ161" s="52" t="str">
        <f t="shared" si="383"/>
        <v/>
      </c>
      <c r="CX161" s="149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9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9"/>
      <c r="FS161" s="14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2"/>
      <c r="IB161" s="14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9"/>
      <c r="I162" s="14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9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9"/>
      <c r="BE162" s="14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2"/>
      <c r="CQ162" s="52" t="str">
        <f t="shared" ref="CQ162:CQ201" si="582">IF(AND(Sufficient_data="Yes",Include_study?="Yes"),c_/(c_+d_),"")</f>
        <v/>
      </c>
      <c r="CX162" s="149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9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9"/>
      <c r="FS162" s="14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2"/>
      <c r="IB162" s="14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9"/>
      <c r="I163" s="14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9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9"/>
      <c r="BE163" s="14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2"/>
      <c r="CQ163" s="52" t="str">
        <f t="shared" si="582"/>
        <v/>
      </c>
      <c r="CX163" s="149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9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9"/>
      <c r="FS163" s="14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2"/>
      <c r="IB163" s="14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9"/>
      <c r="I164" s="14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9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9"/>
      <c r="BE164" s="14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2"/>
      <c r="CQ164" s="52" t="str">
        <f t="shared" si="582"/>
        <v/>
      </c>
      <c r="CX164" s="149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9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9"/>
      <c r="FS164" s="14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2"/>
      <c r="IB164" s="14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9"/>
      <c r="I165" s="14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9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9"/>
      <c r="BE165" s="14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2"/>
      <c r="CQ165" s="52" t="str">
        <f t="shared" si="582"/>
        <v/>
      </c>
      <c r="CX165" s="149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9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9"/>
      <c r="FS165" s="14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2"/>
      <c r="IB165" s="14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9"/>
      <c r="I166" s="14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9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9"/>
      <c r="BE166" s="14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2"/>
      <c r="CQ166" s="52" t="str">
        <f t="shared" si="582"/>
        <v/>
      </c>
      <c r="CX166" s="149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9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9"/>
      <c r="FS166" s="14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2"/>
      <c r="IB166" s="14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9"/>
      <c r="I167" s="14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9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9"/>
      <c r="BE167" s="14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2"/>
      <c r="CQ167" s="52" t="str">
        <f t="shared" si="582"/>
        <v/>
      </c>
      <c r="CX167" s="149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9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9"/>
      <c r="FS167" s="14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2"/>
      <c r="IB167" s="14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9"/>
      <c r="I168" s="14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9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9"/>
      <c r="BE168" s="14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2"/>
      <c r="CQ168" s="52" t="str">
        <f t="shared" si="582"/>
        <v/>
      </c>
      <c r="CX168" s="149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9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9"/>
      <c r="FS168" s="14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2"/>
      <c r="IB168" s="14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9"/>
      <c r="I169" s="14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9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9"/>
      <c r="BE169" s="14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2"/>
      <c r="CQ169" s="52" t="str">
        <f t="shared" si="582"/>
        <v/>
      </c>
      <c r="CX169" s="149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9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9"/>
      <c r="FS169" s="14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2"/>
      <c r="IB169" s="14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9"/>
      <c r="I170" s="14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9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9"/>
      <c r="BE170" s="14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2"/>
      <c r="CQ170" s="52" t="str">
        <f t="shared" si="582"/>
        <v/>
      </c>
      <c r="CX170" s="149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9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9"/>
      <c r="FS170" s="14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2"/>
      <c r="IB170" s="14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9"/>
      <c r="I171" s="14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9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9"/>
      <c r="BE171" s="14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2"/>
      <c r="CQ171" s="52" t="str">
        <f t="shared" si="582"/>
        <v/>
      </c>
      <c r="CX171" s="149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9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9"/>
      <c r="FS171" s="14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2"/>
      <c r="IB171" s="14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9"/>
      <c r="I172" s="14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9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9"/>
      <c r="BE172" s="14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2"/>
      <c r="CQ172" s="52" t="str">
        <f t="shared" si="582"/>
        <v/>
      </c>
      <c r="CX172" s="149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9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9"/>
      <c r="FS172" s="14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2"/>
      <c r="IB172" s="14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9"/>
      <c r="I173" s="14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9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9"/>
      <c r="BE173" s="14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2"/>
      <c r="CQ173" s="52" t="str">
        <f t="shared" si="582"/>
        <v/>
      </c>
      <c r="CX173" s="149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9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9"/>
      <c r="FS173" s="14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2"/>
      <c r="IB173" s="14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9"/>
      <c r="I174" s="14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9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9"/>
      <c r="BE174" s="14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2"/>
      <c r="CQ174" s="52" t="str">
        <f t="shared" si="582"/>
        <v/>
      </c>
      <c r="CX174" s="149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9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9"/>
      <c r="FS174" s="14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2"/>
      <c r="IB174" s="14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9"/>
      <c r="I175" s="14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9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9"/>
      <c r="BE175" s="14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2"/>
      <c r="CQ175" s="52" t="str">
        <f t="shared" si="582"/>
        <v/>
      </c>
      <c r="CX175" s="149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9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9"/>
      <c r="FS175" s="14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2"/>
      <c r="IB175" s="14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9"/>
      <c r="I176" s="14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9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9"/>
      <c r="BE176" s="14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2"/>
      <c r="CQ176" s="52" t="str">
        <f t="shared" si="582"/>
        <v/>
      </c>
      <c r="CX176" s="149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9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9"/>
      <c r="FS176" s="14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2"/>
      <c r="IB176" s="14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9"/>
      <c r="I177" s="14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9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9"/>
      <c r="BE177" s="14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2"/>
      <c r="CQ177" s="52" t="str">
        <f t="shared" si="582"/>
        <v/>
      </c>
      <c r="CX177" s="149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9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9"/>
      <c r="FS177" s="14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2"/>
      <c r="IB177" s="14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9"/>
      <c r="I178" s="14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9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9"/>
      <c r="BE178" s="14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2"/>
      <c r="CQ178" s="52" t="str">
        <f t="shared" si="582"/>
        <v/>
      </c>
      <c r="CX178" s="149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9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9"/>
      <c r="FS178" s="14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2"/>
      <c r="IB178" s="14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9"/>
      <c r="I179" s="14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9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9"/>
      <c r="BE179" s="14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2"/>
      <c r="CQ179" s="52" t="str">
        <f t="shared" si="582"/>
        <v/>
      </c>
      <c r="CX179" s="149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9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9"/>
      <c r="FS179" s="14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2"/>
      <c r="IB179" s="14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9"/>
      <c r="I180" s="14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9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9"/>
      <c r="BE180" s="14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2"/>
      <c r="CQ180" s="52" t="str">
        <f t="shared" si="582"/>
        <v/>
      </c>
      <c r="CX180" s="149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9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9"/>
      <c r="FS180" s="14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2"/>
      <c r="IB180" s="14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9"/>
      <c r="I181" s="14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9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9"/>
      <c r="BE181" s="14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2"/>
      <c r="CQ181" s="52" t="str">
        <f t="shared" si="582"/>
        <v/>
      </c>
      <c r="CX181" s="149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9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9"/>
      <c r="FS181" s="14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2"/>
      <c r="IB181" s="14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9"/>
      <c r="I182" s="14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9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9"/>
      <c r="BE182" s="14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2"/>
      <c r="CQ182" s="52" t="str">
        <f t="shared" si="582"/>
        <v/>
      </c>
      <c r="CX182" s="149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9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9"/>
      <c r="FS182" s="14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2"/>
      <c r="IB182" s="14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9"/>
      <c r="I183" s="14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9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9"/>
      <c r="BE183" s="14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2"/>
      <c r="CQ183" s="52" t="str">
        <f t="shared" si="582"/>
        <v/>
      </c>
      <c r="CX183" s="149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9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9"/>
      <c r="FS183" s="14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2"/>
      <c r="IB183" s="14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9"/>
      <c r="I184" s="14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9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9"/>
      <c r="BE184" s="14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2"/>
      <c r="CQ184" s="52" t="str">
        <f t="shared" si="582"/>
        <v/>
      </c>
      <c r="CX184" s="149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9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9"/>
      <c r="FS184" s="14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2"/>
      <c r="IB184" s="14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9"/>
      <c r="I185" s="14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9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9"/>
      <c r="BE185" s="14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2"/>
      <c r="CQ185" s="52" t="str">
        <f t="shared" si="582"/>
        <v/>
      </c>
      <c r="CX185" s="149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9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9"/>
      <c r="FS185" s="14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2"/>
      <c r="IB185" s="14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9"/>
      <c r="I186" s="14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9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9"/>
      <c r="BE186" s="14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2"/>
      <c r="CQ186" s="52" t="str">
        <f t="shared" si="582"/>
        <v/>
      </c>
      <c r="CX186" s="149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9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9"/>
      <c r="FS186" s="14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2"/>
      <c r="IB186" s="14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9"/>
      <c r="I187" s="14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9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9"/>
      <c r="BE187" s="14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2"/>
      <c r="CQ187" s="52" t="str">
        <f t="shared" si="582"/>
        <v/>
      </c>
      <c r="CX187" s="149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9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9"/>
      <c r="FS187" s="14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2"/>
      <c r="IB187" s="14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9"/>
      <c r="I188" s="14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9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9"/>
      <c r="BE188" s="14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2"/>
      <c r="CQ188" s="52" t="str">
        <f t="shared" si="582"/>
        <v/>
      </c>
      <c r="CX188" s="149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9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9"/>
      <c r="FS188" s="14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2"/>
      <c r="IB188" s="14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9"/>
      <c r="I189" s="14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9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9"/>
      <c r="BE189" s="14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2"/>
      <c r="CQ189" s="52" t="str">
        <f t="shared" si="582"/>
        <v/>
      </c>
      <c r="CX189" s="149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9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9"/>
      <c r="FS189" s="14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2"/>
      <c r="IB189" s="14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9"/>
      <c r="I190" s="14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9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9"/>
      <c r="BE190" s="14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2"/>
      <c r="CQ190" s="52" t="str">
        <f t="shared" si="582"/>
        <v/>
      </c>
      <c r="CX190" s="149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9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9"/>
      <c r="FS190" s="14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2"/>
      <c r="IB190" s="14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9"/>
      <c r="I191" s="14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9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9"/>
      <c r="BE191" s="14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2"/>
      <c r="CQ191" s="52" t="str">
        <f t="shared" si="582"/>
        <v/>
      </c>
      <c r="CX191" s="149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9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9"/>
      <c r="FS191" s="14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2"/>
      <c r="IB191" s="14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9"/>
      <c r="I192" s="14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9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9"/>
      <c r="BE192" s="14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2"/>
      <c r="CQ192" s="52" t="str">
        <f t="shared" si="582"/>
        <v/>
      </c>
      <c r="CX192" s="149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9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9"/>
      <c r="FS192" s="14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2"/>
      <c r="IB192" s="14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9"/>
      <c r="I193" s="14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9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9"/>
      <c r="BE193" s="14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2"/>
      <c r="CQ193" s="52" t="str">
        <f t="shared" si="582"/>
        <v/>
      </c>
      <c r="CX193" s="149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9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9"/>
      <c r="FS193" s="14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2"/>
      <c r="IB193" s="14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9"/>
      <c r="I194" s="14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9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9"/>
      <c r="BE194" s="14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2"/>
      <c r="CQ194" s="52" t="str">
        <f t="shared" si="582"/>
        <v/>
      </c>
      <c r="CX194" s="149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9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9"/>
      <c r="FS194" s="14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2"/>
      <c r="IB194" s="14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9"/>
      <c r="I195" s="14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9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9"/>
      <c r="BE195" s="14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2"/>
      <c r="CQ195" s="52" t="str">
        <f t="shared" si="582"/>
        <v/>
      </c>
      <c r="CX195" s="149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9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9"/>
      <c r="FS195" s="14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2"/>
      <c r="IB195" s="14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9"/>
      <c r="I196" s="14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9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9"/>
      <c r="BE196" s="14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2"/>
      <c r="CQ196" s="52" t="str">
        <f t="shared" si="582"/>
        <v/>
      </c>
      <c r="CX196" s="149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9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9"/>
      <c r="FS196" s="14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2"/>
      <c r="IB196" s="14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9"/>
      <c r="I197" s="14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9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9"/>
      <c r="BE197" s="14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2"/>
      <c r="CQ197" s="52" t="str">
        <f t="shared" si="582"/>
        <v/>
      </c>
      <c r="CX197" s="149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9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9"/>
      <c r="FS197" s="14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2"/>
      <c r="IB197" s="14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9"/>
      <c r="I198" s="14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9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9"/>
      <c r="BE198" s="14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2"/>
      <c r="CQ198" s="52" t="str">
        <f t="shared" si="582"/>
        <v/>
      </c>
      <c r="CX198" s="149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9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9"/>
      <c r="FS198" s="14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2"/>
      <c r="IB198" s="14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9"/>
      <c r="I199" s="14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9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9"/>
      <c r="BE199" s="14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2"/>
      <c r="CQ199" s="52" t="str">
        <f t="shared" si="582"/>
        <v/>
      </c>
      <c r="CX199" s="149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9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9"/>
      <c r="FS199" s="14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2"/>
      <c r="IB199" s="14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9"/>
      <c r="I200" s="14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9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9"/>
      <c r="BE200" s="14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2"/>
      <c r="CQ200" s="52" t="str">
        <f t="shared" si="582"/>
        <v/>
      </c>
      <c r="CX200" s="149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9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9"/>
      <c r="FS200" s="14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2"/>
      <c r="IB200" s="14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0"/>
      <c r="I201" s="14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0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0"/>
      <c r="BE201" s="14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3"/>
      <c r="CQ201" s="53" t="str">
        <f t="shared" si="582"/>
        <v/>
      </c>
      <c r="CX201" s="150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0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0"/>
      <c r="FS201" s="14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3"/>
      <c r="IB201" s="14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L48"/>
  <sheetViews>
    <sheetView showGridLines="0" topLeftCell="A15" workbookViewId="0">
      <selection activeCell="P21" sqref="P21"/>
    </sheetView>
  </sheetViews>
  <sheetFormatPr defaultRowHeight="12"/>
  <cols>
    <col min="3" max="3" width="19.6640625" customWidth="1"/>
    <col min="4" max="7" width="9.5" customWidth="1"/>
    <col min="8" max="8" width="6.33203125" customWidth="1"/>
    <col min="9" max="9" width="7.6640625" customWidth="1"/>
    <col min="10" max="10" width="6.83203125" customWidth="1"/>
    <col min="11" max="11" width="9.5" customWidth="1"/>
  </cols>
  <sheetData>
    <row r="4" spans="3:12" ht="24">
      <c r="C4" s="98" t="s">
        <v>1</v>
      </c>
      <c r="D4" s="104" t="s">
        <v>335</v>
      </c>
      <c r="E4" s="104" t="s">
        <v>336</v>
      </c>
      <c r="F4" s="104" t="s">
        <v>337</v>
      </c>
      <c r="G4" s="105" t="s">
        <v>30</v>
      </c>
      <c r="I4" s="98" t="s">
        <v>1</v>
      </c>
      <c r="J4" s="104" t="s">
        <v>338</v>
      </c>
      <c r="K4" s="104" t="s">
        <v>339</v>
      </c>
    </row>
    <row r="5" spans="3:12">
      <c r="C5" s="103" t="s">
        <v>340</v>
      </c>
      <c r="D5" s="106">
        <v>0.58024677732650543</v>
      </c>
      <c r="E5" s="106">
        <v>0.42293209949873695</v>
      </c>
      <c r="F5" s="106">
        <v>0.7960765404111888</v>
      </c>
      <c r="G5" s="107">
        <v>0.34766801634594252</v>
      </c>
      <c r="I5" s="103" t="s">
        <v>340</v>
      </c>
      <c r="J5" s="108">
        <v>-0.54430178778268568</v>
      </c>
      <c r="K5" s="108">
        <v>0.16131531203947366</v>
      </c>
    </row>
    <row r="6" spans="3:12">
      <c r="C6" s="103" t="s">
        <v>341</v>
      </c>
      <c r="D6" s="106">
        <v>0.6246112838738338</v>
      </c>
      <c r="E6" s="106">
        <v>0.43753291227103142</v>
      </c>
      <c r="F6" s="106">
        <v>0.89167979139554598</v>
      </c>
      <c r="G6" s="107">
        <v>0.32288773530085685</v>
      </c>
      <c r="I6" s="103" t="s">
        <v>341</v>
      </c>
      <c r="J6" s="108">
        <v>-0.47062576853612209</v>
      </c>
      <c r="K6" s="108">
        <v>0.18157556945115166</v>
      </c>
    </row>
    <row r="7" spans="3:12">
      <c r="C7" s="103" t="s">
        <v>342</v>
      </c>
      <c r="D7" s="106">
        <v>1.0211478704360455</v>
      </c>
      <c r="E7" s="106">
        <v>0.72297355850091849</v>
      </c>
      <c r="F7" s="106">
        <v>1.4422975239346127</v>
      </c>
      <c r="G7" s="107">
        <v>0.32944424835320063</v>
      </c>
      <c r="I7" s="103" t="s">
        <v>342</v>
      </c>
      <c r="J7" s="108">
        <v>2.0927357722306771E-2</v>
      </c>
      <c r="K7" s="108">
        <v>0.17615310575358792</v>
      </c>
    </row>
    <row r="8" spans="3:12">
      <c r="C8" s="103"/>
      <c r="D8" s="106"/>
      <c r="E8" s="106"/>
      <c r="F8" s="106"/>
      <c r="G8" s="107"/>
      <c r="I8" s="103"/>
      <c r="J8" s="108"/>
      <c r="K8" s="108"/>
    </row>
    <row r="9" spans="3:12">
      <c r="C9" s="103"/>
      <c r="D9" s="106"/>
      <c r="E9" s="106"/>
      <c r="F9" s="106"/>
      <c r="G9" s="107"/>
      <c r="I9" s="102"/>
      <c r="J9" s="100"/>
      <c r="K9" s="100"/>
    </row>
    <row r="10" spans="3:12">
      <c r="C10" s="103"/>
      <c r="D10" s="106"/>
      <c r="E10" s="106"/>
      <c r="F10" s="106"/>
      <c r="G10" s="107"/>
      <c r="I10" s="102"/>
      <c r="J10" s="100"/>
      <c r="K10" s="100"/>
    </row>
    <row r="11" spans="3:12">
      <c r="C11" s="103"/>
      <c r="D11" s="106"/>
      <c r="E11" s="106"/>
      <c r="F11" s="106"/>
      <c r="G11" s="107"/>
      <c r="I11" s="102"/>
      <c r="J11" s="100"/>
      <c r="K11" s="100"/>
    </row>
    <row r="12" spans="3:12">
      <c r="C12" s="103"/>
      <c r="D12" s="106"/>
      <c r="E12" s="106"/>
      <c r="F12" s="106"/>
      <c r="G12" s="107"/>
      <c r="I12" s="102"/>
      <c r="J12" s="100"/>
      <c r="K12" s="100"/>
    </row>
    <row r="13" spans="3:12">
      <c r="C13" s="103"/>
      <c r="D13" s="108"/>
      <c r="E13" s="108"/>
      <c r="F13" s="108"/>
      <c r="G13" s="109"/>
      <c r="I13" s="103"/>
      <c r="J13" s="108"/>
      <c r="K13" s="108"/>
    </row>
    <row r="14" spans="3:12">
      <c r="C14" s="103"/>
      <c r="D14" s="108"/>
      <c r="E14" s="108"/>
      <c r="F14" s="108"/>
      <c r="G14" s="109"/>
      <c r="I14" s="103"/>
      <c r="J14" s="108"/>
      <c r="K14" s="108"/>
    </row>
    <row r="16" spans="3:12" s="112" customFormat="1" ht="24.75">
      <c r="C16" s="117" t="s">
        <v>1</v>
      </c>
      <c r="D16" s="104" t="s">
        <v>43</v>
      </c>
      <c r="E16" s="104" t="s">
        <v>336</v>
      </c>
      <c r="F16" s="104" t="s">
        <v>337</v>
      </c>
      <c r="G16" s="105" t="s">
        <v>30</v>
      </c>
      <c r="H16" s="105" t="s">
        <v>60</v>
      </c>
      <c r="I16" s="125" t="s">
        <v>343</v>
      </c>
      <c r="J16" s="111" t="s">
        <v>70</v>
      </c>
      <c r="L16" s="113"/>
    </row>
    <row r="17" spans="3:12">
      <c r="C17" t="s">
        <v>12</v>
      </c>
      <c r="D17" s="106">
        <v>1.2050314955950736</v>
      </c>
      <c r="E17" s="106">
        <v>0.83906615296307063</v>
      </c>
      <c r="F17" s="106">
        <v>1.7306155185120551</v>
      </c>
      <c r="G17" s="107">
        <v>0.56004342250958261</v>
      </c>
      <c r="H17" s="106" t="s">
        <v>344</v>
      </c>
      <c r="I17" s="106" t="s">
        <v>344</v>
      </c>
      <c r="J17" s="106" t="s">
        <v>344</v>
      </c>
    </row>
    <row r="18" spans="3:12">
      <c r="C18" t="s">
        <v>18</v>
      </c>
      <c r="D18" s="106">
        <v>1.0672431448401412</v>
      </c>
      <c r="E18" s="106">
        <v>0.7092532906123552</v>
      </c>
      <c r="F18" s="106">
        <v>1.6059254786465322</v>
      </c>
      <c r="G18" s="107">
        <v>0.43995657749041728</v>
      </c>
      <c r="H18" s="106" t="s">
        <v>344</v>
      </c>
      <c r="I18" s="106" t="s">
        <v>344</v>
      </c>
      <c r="J18" s="106" t="s">
        <v>344</v>
      </c>
      <c r="L18" s="110"/>
    </row>
    <row r="19" spans="3:12">
      <c r="C19" s="114" t="s">
        <v>14</v>
      </c>
      <c r="D19" s="115">
        <v>1.1423449794819798</v>
      </c>
      <c r="E19" s="115">
        <v>0.53111768026532569</v>
      </c>
      <c r="F19" s="115">
        <v>2.4569923025265923</v>
      </c>
      <c r="G19" s="116">
        <v>0.19162220564323063</v>
      </c>
      <c r="H19" s="115">
        <v>0.19021267665459551</v>
      </c>
      <c r="I19" s="115">
        <v>0.66273966752705582</v>
      </c>
      <c r="J19" s="116">
        <v>0</v>
      </c>
    </row>
    <row r="20" spans="3:12">
      <c r="C20" t="s">
        <v>21</v>
      </c>
      <c r="D20" s="106">
        <v>0.99703175780627817</v>
      </c>
      <c r="E20" s="106">
        <v>0.71087135241392463</v>
      </c>
      <c r="F20" s="106">
        <v>1.3983856891949287</v>
      </c>
      <c r="G20" s="107">
        <v>0.10680833224660498</v>
      </c>
      <c r="H20" s="106" t="s">
        <v>344</v>
      </c>
      <c r="I20" s="106" t="s">
        <v>344</v>
      </c>
      <c r="J20" s="106" t="s">
        <v>344</v>
      </c>
    </row>
    <row r="21" spans="3:12">
      <c r="C21" t="s">
        <v>21</v>
      </c>
      <c r="D21" s="106">
        <v>1.1997668915339244</v>
      </c>
      <c r="E21" s="106">
        <v>0.82595788139324744</v>
      </c>
      <c r="F21" s="106">
        <v>1.7427530222157201</v>
      </c>
      <c r="G21" s="107">
        <v>8.7696083357487978E-2</v>
      </c>
      <c r="H21" s="106" t="s">
        <v>344</v>
      </c>
      <c r="I21" s="106" t="s">
        <v>344</v>
      </c>
      <c r="J21" s="106" t="s">
        <v>344</v>
      </c>
    </row>
    <row r="22" spans="3:12">
      <c r="C22" t="s">
        <v>21</v>
      </c>
      <c r="D22" s="106">
        <v>0.97987283430798622</v>
      </c>
      <c r="E22" s="106">
        <v>0.70135706007214982</v>
      </c>
      <c r="F22" s="106">
        <v>1.3689899568644732</v>
      </c>
      <c r="G22" s="107">
        <v>0.10930476470761517</v>
      </c>
      <c r="H22" s="106" t="s">
        <v>344</v>
      </c>
      <c r="I22" s="106" t="s">
        <v>344</v>
      </c>
      <c r="J22" s="106" t="s">
        <v>344</v>
      </c>
    </row>
    <row r="23" spans="3:12">
      <c r="C23" t="s">
        <v>21</v>
      </c>
      <c r="D23" s="106">
        <v>1.1997668915339244</v>
      </c>
      <c r="E23" s="106">
        <v>0.82595788139324744</v>
      </c>
      <c r="F23" s="106">
        <v>1.7427530222157201</v>
      </c>
      <c r="G23" s="107">
        <v>8.7696083357487978E-2</v>
      </c>
      <c r="H23" s="106" t="s">
        <v>344</v>
      </c>
      <c r="I23" s="106" t="s">
        <v>344</v>
      </c>
      <c r="J23" s="106" t="s">
        <v>344</v>
      </c>
    </row>
    <row r="24" spans="3:12">
      <c r="C24" t="s">
        <v>21</v>
      </c>
      <c r="D24" s="106">
        <v>1.0978754494792486</v>
      </c>
      <c r="E24" s="106">
        <v>0.77872570869217395</v>
      </c>
      <c r="F24" s="106">
        <v>1.5478242070543002</v>
      </c>
      <c r="G24" s="107">
        <v>0.10360970210454223</v>
      </c>
      <c r="H24" s="106" t="s">
        <v>344</v>
      </c>
      <c r="I24" s="106" t="s">
        <v>344</v>
      </c>
      <c r="J24" s="106" t="s">
        <v>344</v>
      </c>
    </row>
    <row r="25" spans="3:12">
      <c r="C25" t="s">
        <v>21</v>
      </c>
      <c r="D25" s="106">
        <v>1.1517615176151761</v>
      </c>
      <c r="E25" s="106">
        <v>0.79620528683336445</v>
      </c>
      <c r="F25" s="106">
        <v>1.6660961882520688</v>
      </c>
      <c r="G25" s="107">
        <v>8.9677764193727388E-2</v>
      </c>
      <c r="H25" s="106" t="s">
        <v>344</v>
      </c>
      <c r="I25" s="118" t="s">
        <v>344</v>
      </c>
      <c r="J25" s="118" t="s">
        <v>344</v>
      </c>
    </row>
    <row r="26" spans="3:12">
      <c r="C26" t="s">
        <v>21</v>
      </c>
      <c r="D26" s="106">
        <v>0.95818011392313795</v>
      </c>
      <c r="E26" s="106">
        <v>0.68418097500941588</v>
      </c>
      <c r="F26" s="106">
        <v>1.3419097640140056</v>
      </c>
      <c r="G26" s="107">
        <v>0.10774767938748891</v>
      </c>
      <c r="H26" s="106" t="s">
        <v>344</v>
      </c>
      <c r="I26" s="106" t="s">
        <v>344</v>
      </c>
      <c r="J26" s="106" t="s">
        <v>344</v>
      </c>
    </row>
    <row r="27" spans="3:12">
      <c r="C27" t="s">
        <v>21</v>
      </c>
      <c r="D27" s="106">
        <v>1.0743218134522481</v>
      </c>
      <c r="E27" s="106">
        <v>0.74755999091154346</v>
      </c>
      <c r="F27" s="106">
        <v>1.5439126931498615</v>
      </c>
      <c r="G27" s="107">
        <v>9.2951883230247889E-2</v>
      </c>
      <c r="H27" s="118" t="s">
        <v>344</v>
      </c>
      <c r="I27" s="118" t="s">
        <v>344</v>
      </c>
      <c r="J27" s="118" t="s">
        <v>344</v>
      </c>
    </row>
    <row r="28" spans="3:12">
      <c r="C28" t="s">
        <v>18</v>
      </c>
      <c r="D28" s="106">
        <v>1.0300341505061592</v>
      </c>
      <c r="E28" s="106">
        <v>0.73506664151404866</v>
      </c>
      <c r="F28" s="106">
        <v>1.4433662082986358</v>
      </c>
      <c r="G28" s="107">
        <v>0.10728183439012202</v>
      </c>
      <c r="H28" s="106" t="s">
        <v>344</v>
      </c>
      <c r="I28" s="106" t="s">
        <v>344</v>
      </c>
      <c r="J28" s="106" t="s">
        <v>344</v>
      </c>
    </row>
    <row r="29" spans="3:12">
      <c r="C29" s="119" t="s">
        <v>18</v>
      </c>
      <c r="D29" s="106">
        <v>1.0609812722488778</v>
      </c>
      <c r="E29" s="106">
        <v>0.75708488838701071</v>
      </c>
      <c r="F29" s="106">
        <v>1.4868626719800746</v>
      </c>
      <c r="G29" s="107">
        <v>0.10722587302467539</v>
      </c>
      <c r="H29" s="118" t="s">
        <v>344</v>
      </c>
      <c r="I29" s="118" t="s">
        <v>344</v>
      </c>
      <c r="J29" s="118" t="s">
        <v>344</v>
      </c>
    </row>
    <row r="30" spans="3:12">
      <c r="C30" s="120" t="s">
        <v>22</v>
      </c>
      <c r="D30" s="115">
        <v>1.065380372826944</v>
      </c>
      <c r="E30" s="115">
        <v>1.0064693832230316</v>
      </c>
      <c r="F30" s="115">
        <v>1.1277395594192225</v>
      </c>
      <c r="G30" s="116">
        <v>0.80837779435676937</v>
      </c>
      <c r="H30" s="140">
        <v>1.792326042036833</v>
      </c>
      <c r="I30" s="140">
        <v>0.99434218547394326</v>
      </c>
      <c r="J30" s="126">
        <v>0</v>
      </c>
    </row>
    <row r="31" spans="3:12">
      <c r="C31" s="123"/>
      <c r="D31" s="118"/>
      <c r="E31" s="118"/>
      <c r="F31" s="118"/>
      <c r="G31" s="124"/>
      <c r="H31" s="123"/>
      <c r="I31" s="123"/>
      <c r="J31" s="123"/>
    </row>
    <row r="32" spans="3:12">
      <c r="C32" s="119"/>
      <c r="D32" s="119"/>
      <c r="E32" s="119"/>
      <c r="F32" s="119"/>
      <c r="G32" s="119"/>
      <c r="H32" s="119"/>
      <c r="I32" s="119"/>
      <c r="J32" s="119"/>
    </row>
    <row r="34" spans="5:11">
      <c r="E34" t="s">
        <v>344</v>
      </c>
      <c r="F34" t="s">
        <v>344</v>
      </c>
      <c r="G34" t="s">
        <v>344</v>
      </c>
      <c r="H34" t="s">
        <v>344</v>
      </c>
      <c r="I34" t="s">
        <v>344</v>
      </c>
      <c r="J34" t="s">
        <v>344</v>
      </c>
      <c r="K34" t="s">
        <v>344</v>
      </c>
    </row>
    <row r="35" spans="5:11">
      <c r="E35" t="s">
        <v>344</v>
      </c>
      <c r="F35" t="s">
        <v>344</v>
      </c>
      <c r="G35" t="s">
        <v>344</v>
      </c>
      <c r="H35" t="s">
        <v>344</v>
      </c>
      <c r="I35" t="s">
        <v>344</v>
      </c>
      <c r="J35" t="s">
        <v>344</v>
      </c>
      <c r="K35" t="s">
        <v>344</v>
      </c>
    </row>
    <row r="36" spans="5:11">
      <c r="E36">
        <v>0.19021267665459551</v>
      </c>
      <c r="F36">
        <v>0.66273966752705582</v>
      </c>
      <c r="G36">
        <v>0</v>
      </c>
      <c r="H36">
        <v>0</v>
      </c>
      <c r="I36">
        <v>0</v>
      </c>
      <c r="J36">
        <v>0.53111768026532569</v>
      </c>
      <c r="K36">
        <v>2.4569923025265923</v>
      </c>
    </row>
    <row r="37" spans="5:11">
      <c r="E37" t="s">
        <v>344</v>
      </c>
      <c r="F37" t="s">
        <v>344</v>
      </c>
      <c r="G37" t="s">
        <v>344</v>
      </c>
      <c r="H37" t="s">
        <v>344</v>
      </c>
      <c r="I37" t="s">
        <v>344</v>
      </c>
      <c r="J37" t="s">
        <v>344</v>
      </c>
      <c r="K37" t="s">
        <v>344</v>
      </c>
    </row>
    <row r="38" spans="5:11">
      <c r="E38" t="s">
        <v>344</v>
      </c>
      <c r="F38" t="s">
        <v>344</v>
      </c>
      <c r="G38" t="s">
        <v>344</v>
      </c>
      <c r="H38" t="s">
        <v>344</v>
      </c>
      <c r="I38" t="s">
        <v>344</v>
      </c>
      <c r="J38" t="s">
        <v>344</v>
      </c>
      <c r="K38" t="s">
        <v>344</v>
      </c>
    </row>
    <row r="39" spans="5:11">
      <c r="E39" t="s">
        <v>344</v>
      </c>
      <c r="F39" t="s">
        <v>344</v>
      </c>
      <c r="G39" t="s">
        <v>344</v>
      </c>
      <c r="H39" t="s">
        <v>344</v>
      </c>
      <c r="I39" t="s">
        <v>344</v>
      </c>
      <c r="J39" t="s">
        <v>344</v>
      </c>
      <c r="K39" t="s">
        <v>344</v>
      </c>
    </row>
    <row r="40" spans="5:11">
      <c r="E40" t="s">
        <v>344</v>
      </c>
      <c r="F40" t="s">
        <v>344</v>
      </c>
      <c r="G40" t="s">
        <v>344</v>
      </c>
      <c r="H40" t="s">
        <v>344</v>
      </c>
      <c r="I40" t="s">
        <v>344</v>
      </c>
      <c r="J40" t="s">
        <v>344</v>
      </c>
      <c r="K40" t="s">
        <v>344</v>
      </c>
    </row>
    <row r="41" spans="5:11">
      <c r="E41" t="s">
        <v>344</v>
      </c>
      <c r="F41" t="s">
        <v>344</v>
      </c>
      <c r="G41" t="s">
        <v>344</v>
      </c>
      <c r="H41" t="s">
        <v>344</v>
      </c>
      <c r="I41" t="s">
        <v>344</v>
      </c>
      <c r="J41" t="s">
        <v>344</v>
      </c>
      <c r="K41" t="s">
        <v>344</v>
      </c>
    </row>
    <row r="42" spans="5:11">
      <c r="E42" t="s">
        <v>344</v>
      </c>
      <c r="F42" t="s">
        <v>344</v>
      </c>
      <c r="G42" t="s">
        <v>344</v>
      </c>
      <c r="H42" t="s">
        <v>344</v>
      </c>
      <c r="I42" t="s">
        <v>344</v>
      </c>
      <c r="J42" t="s">
        <v>344</v>
      </c>
      <c r="K42" t="s">
        <v>344</v>
      </c>
    </row>
    <row r="43" spans="5:11">
      <c r="E43" t="s">
        <v>344</v>
      </c>
      <c r="F43" t="s">
        <v>344</v>
      </c>
      <c r="G43" t="s">
        <v>344</v>
      </c>
      <c r="H43" t="s">
        <v>344</v>
      </c>
      <c r="I43" t="s">
        <v>344</v>
      </c>
      <c r="J43" t="s">
        <v>344</v>
      </c>
      <c r="K43" t="s">
        <v>344</v>
      </c>
    </row>
    <row r="44" spans="5:11">
      <c r="E44" t="s">
        <v>344</v>
      </c>
      <c r="F44" t="s">
        <v>344</v>
      </c>
      <c r="G44" t="s">
        <v>344</v>
      </c>
      <c r="H44" t="s">
        <v>344</v>
      </c>
      <c r="I44" t="s">
        <v>344</v>
      </c>
      <c r="J44" t="s">
        <v>344</v>
      </c>
      <c r="K44" t="s">
        <v>344</v>
      </c>
    </row>
    <row r="45" spans="5:11">
      <c r="E45" t="s">
        <v>344</v>
      </c>
      <c r="F45" t="s">
        <v>344</v>
      </c>
      <c r="G45" t="s">
        <v>344</v>
      </c>
      <c r="H45" t="s">
        <v>344</v>
      </c>
      <c r="I45" t="s">
        <v>344</v>
      </c>
      <c r="J45" t="s">
        <v>344</v>
      </c>
      <c r="K45" t="s">
        <v>344</v>
      </c>
    </row>
    <row r="46" spans="5:11">
      <c r="E46" t="s">
        <v>344</v>
      </c>
      <c r="F46" t="s">
        <v>344</v>
      </c>
      <c r="G46" t="s">
        <v>344</v>
      </c>
      <c r="H46" t="s">
        <v>344</v>
      </c>
      <c r="I46" t="s">
        <v>344</v>
      </c>
      <c r="J46" t="s">
        <v>344</v>
      </c>
      <c r="K46" t="s">
        <v>344</v>
      </c>
    </row>
    <row r="47" spans="5:11">
      <c r="E47">
        <v>1.792326042036833</v>
      </c>
      <c r="F47">
        <v>0.99434218547394326</v>
      </c>
      <c r="G47">
        <v>0</v>
      </c>
      <c r="H47">
        <v>0</v>
      </c>
      <c r="I47">
        <v>0</v>
      </c>
      <c r="J47">
        <v>1.0064693832230316</v>
      </c>
      <c r="K47">
        <v>1.1277395594192225</v>
      </c>
    </row>
    <row r="48" spans="5:11">
      <c r="E48">
        <v>2.2009602277713052</v>
      </c>
      <c r="F48">
        <v>0.99765616614595543</v>
      </c>
      <c r="G48">
        <v>0</v>
      </c>
      <c r="H48">
        <v>0</v>
      </c>
      <c r="I48">
        <v>0</v>
      </c>
      <c r="J48">
        <v>1.0052685048090155</v>
      </c>
      <c r="K48">
        <v>1.159676271996037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345</v>
      </c>
      <c r="F4" s="5" t="s">
        <v>13</v>
      </c>
      <c r="G4" s="27">
        <v>45.62</v>
      </c>
      <c r="H4" s="27">
        <v>54</v>
      </c>
      <c r="J4" s="92">
        <f>AVERAGE(G4:H4)</f>
        <v>49.81</v>
      </c>
    </row>
    <row r="5" spans="5:10">
      <c r="E5" s="12" t="s">
        <v>345</v>
      </c>
      <c r="F5" s="5" t="s">
        <v>13</v>
      </c>
      <c r="G5" s="27">
        <v>44</v>
      </c>
      <c r="H5" s="27">
        <v>50.8</v>
      </c>
      <c r="J5" s="92">
        <f t="shared" ref="J5:J14" si="0">AVERAGE(G5:H5)</f>
        <v>47.4</v>
      </c>
    </row>
    <row r="6" spans="5:10">
      <c r="E6" s="12" t="s">
        <v>346</v>
      </c>
      <c r="F6" s="5" t="s">
        <v>13</v>
      </c>
      <c r="G6" s="27">
        <v>66</v>
      </c>
      <c r="H6" s="27">
        <v>49</v>
      </c>
      <c r="J6" s="92">
        <f t="shared" si="0"/>
        <v>57.5</v>
      </c>
    </row>
    <row r="7" spans="5:10">
      <c r="E7" s="12" t="s">
        <v>347</v>
      </c>
      <c r="F7" s="5" t="s">
        <v>13</v>
      </c>
      <c r="G7" s="27">
        <v>66.099999999999994</v>
      </c>
      <c r="H7" s="27">
        <v>72.2</v>
      </c>
      <c r="J7" s="92">
        <f t="shared" si="0"/>
        <v>69.150000000000006</v>
      </c>
    </row>
    <row r="8" spans="5:10">
      <c r="E8" s="12" t="s">
        <v>348</v>
      </c>
      <c r="F8" s="5" t="s">
        <v>13</v>
      </c>
      <c r="G8" s="27">
        <v>64.5</v>
      </c>
      <c r="H8" s="27">
        <v>62.2</v>
      </c>
      <c r="J8" s="92">
        <f t="shared" si="0"/>
        <v>63.35</v>
      </c>
    </row>
    <row r="9" spans="5:10">
      <c r="E9" s="12" t="s">
        <v>348</v>
      </c>
      <c r="F9" s="5" t="s">
        <v>13</v>
      </c>
      <c r="G9" s="27">
        <v>54.6</v>
      </c>
      <c r="H9" s="27">
        <v>55.4</v>
      </c>
      <c r="J9" s="92">
        <f t="shared" si="0"/>
        <v>55</v>
      </c>
    </row>
    <row r="10" spans="5:10">
      <c r="E10" s="12" t="s">
        <v>349</v>
      </c>
      <c r="F10" s="5" t="s">
        <v>13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>
      <c r="E11" s="12" t="s">
        <v>350</v>
      </c>
      <c r="F11" s="5" t="s">
        <v>13</v>
      </c>
      <c r="G11" s="27">
        <v>69</v>
      </c>
      <c r="H11" s="27">
        <v>52</v>
      </c>
      <c r="J11" s="92">
        <f t="shared" si="0"/>
        <v>60.5</v>
      </c>
    </row>
    <row r="12" spans="5:10">
      <c r="E12" s="12" t="s">
        <v>350</v>
      </c>
      <c r="F12" s="5" t="s">
        <v>13</v>
      </c>
      <c r="G12" s="27">
        <v>65</v>
      </c>
      <c r="H12" s="27">
        <v>53</v>
      </c>
      <c r="J12" s="92">
        <f t="shared" si="0"/>
        <v>59</v>
      </c>
    </row>
    <row r="13" spans="5:10">
      <c r="E13" s="12" t="s">
        <v>351</v>
      </c>
      <c r="F13" s="5" t="s">
        <v>13</v>
      </c>
      <c r="G13" s="27">
        <v>70</v>
      </c>
      <c r="H13" s="27">
        <v>60.8</v>
      </c>
      <c r="J13" s="92">
        <f t="shared" si="0"/>
        <v>65.400000000000006</v>
      </c>
    </row>
    <row r="14" spans="5:10">
      <c r="E14" s="93" t="s">
        <v>352</v>
      </c>
      <c r="F14" s="5" t="s">
        <v>13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2023-08-23T13:33:24Z</dcterms:modified>
  <cp:category/>
  <cp:contentStatus/>
</cp:coreProperties>
</file>