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giann\OneDrive\Desktop\PhD\SERC_AI_SysRev_Meta_Anal\"/>
    </mc:Choice>
  </mc:AlternateContent>
  <xr:revisionPtr revIDLastSave="0" documentId="13_ncr:1_{DEBCC405-7CA9-4746-A619-4639BB75FCB9}" xr6:coauthVersionLast="47" xr6:coauthVersionMax="47" xr10:uidLastSave="{00000000-0000-0000-0000-000000000000}"/>
  <bookViews>
    <workbookView xWindow="-28905" yWindow="-600" windowWidth="14610" windowHeight="15585" xr2:uid="{0E7DDC98-AC86-4417-B171-2E8359FACC73}"/>
  </bookViews>
  <sheets>
    <sheet name="updated summary table" sheetId="12" r:id="rId1"/>
    <sheet name="Final_Summary_Table" sheetId="10" r:id="rId2"/>
    <sheet name="Summary_Shiza (2)" sheetId="11" r:id="rId3"/>
    <sheet name="Summary_Ghada" sheetId="1" r:id="rId4"/>
    <sheet name="Ghada" sheetId="2" r:id="rId5"/>
    <sheet name="Parreto_Ghada" sheetId="6" r:id="rId6"/>
    <sheet name="generate pareto" sheetId="9" r:id="rId7"/>
    <sheet name="Summary_Ioannis" sheetId="7" r:id="rId8"/>
    <sheet name="Parreto_Shiza" sheetId="8" r:id="rId9"/>
    <sheet name="Summary_Shiza" sheetId="5" r:id="rId10"/>
    <sheet name="Performance metrics_Shiza" sheetId="3" r:id="rId11"/>
    <sheet name="Parreto_Ioannis" sheetId="4" r:id="rId12"/>
    <sheet name="pareto_detailed" sheetId="14" r:id="rId13"/>
  </sheets>
  <definedNames>
    <definedName name="_xlnm._FilterDatabase" localSheetId="1" hidden="1">Final_Summary_Table!$I$1:$I$57</definedName>
    <definedName name="_xlchart.v1.0" hidden="1">'generate pareto'!$A$2:$A$52</definedName>
    <definedName name="_xlchart.v1.1" hidden="1">'generate pareto'!$B$1</definedName>
    <definedName name="_xlchart.v1.2" hidden="1">'generate pareto'!$B$2:$B$52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4" i="14" l="1"/>
  <c r="H54" i="14"/>
  <c r="G54" i="14"/>
  <c r="F54" i="14"/>
  <c r="E54" i="14"/>
  <c r="D54" i="14"/>
  <c r="C54" i="14"/>
  <c r="B54" i="14"/>
  <c r="J52" i="14"/>
  <c r="K52" i="14" s="1"/>
  <c r="J51" i="14"/>
  <c r="K51" i="14" s="1"/>
  <c r="J50" i="14"/>
  <c r="K50" i="14" s="1"/>
  <c r="J49" i="14"/>
  <c r="K49" i="14" s="1"/>
  <c r="J48" i="14"/>
  <c r="K48" i="14" s="1"/>
  <c r="J47" i="14"/>
  <c r="K47" i="14" s="1"/>
  <c r="J46" i="14"/>
  <c r="K46" i="14" s="1"/>
  <c r="J45" i="14"/>
  <c r="K45" i="14" s="1"/>
  <c r="K44" i="14"/>
  <c r="J44" i="14"/>
  <c r="J43" i="14"/>
  <c r="K43" i="14" s="1"/>
  <c r="J42" i="14"/>
  <c r="K42" i="14" s="1"/>
  <c r="J41" i="14"/>
  <c r="K41" i="14" s="1"/>
  <c r="J40" i="14"/>
  <c r="K40" i="14" s="1"/>
  <c r="J39" i="14"/>
  <c r="K39" i="14" s="1"/>
  <c r="K38" i="14"/>
  <c r="J38" i="14"/>
  <c r="J37" i="14"/>
  <c r="K37" i="14" s="1"/>
  <c r="J36" i="14"/>
  <c r="K36" i="14" s="1"/>
  <c r="J35" i="14"/>
  <c r="K35" i="14" s="1"/>
  <c r="J34" i="14"/>
  <c r="K34" i="14" s="1"/>
  <c r="J33" i="14"/>
  <c r="K33" i="14" s="1"/>
  <c r="K32" i="14"/>
  <c r="J32" i="14"/>
  <c r="J31" i="14"/>
  <c r="K31" i="14" s="1"/>
  <c r="J30" i="14"/>
  <c r="K30" i="14" s="1"/>
  <c r="J29" i="14"/>
  <c r="K29" i="14" s="1"/>
  <c r="J28" i="14"/>
  <c r="K28" i="14" s="1"/>
  <c r="J27" i="14"/>
  <c r="K27" i="14" s="1"/>
  <c r="K26" i="14"/>
  <c r="J26" i="14"/>
  <c r="J25" i="14"/>
  <c r="K25" i="14" s="1"/>
  <c r="J24" i="14"/>
  <c r="K24" i="14" s="1"/>
  <c r="J23" i="14"/>
  <c r="K23" i="14" s="1"/>
  <c r="J22" i="14"/>
  <c r="K22" i="14" s="1"/>
  <c r="J21" i="14"/>
  <c r="K21" i="14" s="1"/>
  <c r="K20" i="14"/>
  <c r="J20" i="14"/>
  <c r="J19" i="14"/>
  <c r="K19" i="14" s="1"/>
  <c r="J18" i="14"/>
  <c r="K18" i="14" s="1"/>
  <c r="J17" i="14"/>
  <c r="K17" i="14" s="1"/>
  <c r="J16" i="14"/>
  <c r="K16" i="14" s="1"/>
  <c r="J15" i="14"/>
  <c r="K15" i="14" s="1"/>
  <c r="K14" i="14"/>
  <c r="J14" i="14"/>
  <c r="J13" i="14"/>
  <c r="K13" i="14" s="1"/>
  <c r="J12" i="14"/>
  <c r="K12" i="14" s="1"/>
  <c r="J11" i="14"/>
  <c r="K11" i="14" s="1"/>
  <c r="J10" i="14"/>
  <c r="K10" i="14" s="1"/>
  <c r="J9" i="14"/>
  <c r="K9" i="14" s="1"/>
  <c r="K8" i="14"/>
  <c r="J8" i="14"/>
  <c r="J7" i="14"/>
  <c r="K7" i="14" s="1"/>
  <c r="J6" i="14"/>
  <c r="K6" i="14" s="1"/>
  <c r="J5" i="14"/>
  <c r="K5" i="14" s="1"/>
  <c r="J4" i="14"/>
  <c r="K4" i="14" s="1"/>
  <c r="J3" i="14"/>
  <c r="K3" i="14" s="1"/>
  <c r="K2" i="14"/>
  <c r="J2" i="14"/>
  <c r="F64" i="12"/>
  <c r="C57" i="12"/>
  <c r="J48" i="3" l="1"/>
  <c r="F48" i="3"/>
  <c r="F59" i="12"/>
  <c r="F62" i="12"/>
  <c r="C62" i="12"/>
  <c r="C61" i="12"/>
  <c r="C59" i="12"/>
  <c r="C58" i="12"/>
  <c r="C56" i="12"/>
  <c r="C66" i="12"/>
  <c r="C65" i="12"/>
  <c r="C63" i="12"/>
  <c r="H57" i="12"/>
  <c r="H56" i="12"/>
  <c r="F60" i="12"/>
  <c r="F57" i="12"/>
  <c r="F56" i="12"/>
  <c r="F58" i="12"/>
  <c r="H61" i="12"/>
  <c r="C64" i="12"/>
  <c r="H74" i="10"/>
  <c r="B74" i="10"/>
  <c r="B73" i="10"/>
  <c r="B72" i="10"/>
  <c r="B71" i="10"/>
  <c r="B70" i="10"/>
  <c r="B69" i="10"/>
  <c r="B65" i="10"/>
  <c r="B64" i="10"/>
  <c r="B62" i="10"/>
  <c r="F66" i="10"/>
  <c r="F65" i="10"/>
  <c r="F64" i="10"/>
  <c r="F63" i="10"/>
  <c r="H64" i="10"/>
  <c r="H63" i="10"/>
  <c r="H65" i="10" s="1"/>
  <c r="H62" i="10"/>
  <c r="H78" i="10" s="1"/>
  <c r="I60" i="6"/>
  <c r="H60" i="6"/>
  <c r="G60" i="6"/>
  <c r="F60" i="6"/>
  <c r="E60" i="6"/>
  <c r="D60" i="6"/>
  <c r="C60" i="6"/>
  <c r="B60" i="6"/>
  <c r="J57" i="6"/>
  <c r="K57" i="6" s="1"/>
  <c r="J46" i="6"/>
  <c r="K46" i="6" s="1"/>
  <c r="J45" i="6"/>
  <c r="K45" i="6" s="1"/>
  <c r="J34" i="6"/>
  <c r="K34" i="6" s="1"/>
  <c r="J35" i="6"/>
  <c r="K35" i="6" s="1"/>
  <c r="J36" i="6"/>
  <c r="K36" i="6" s="1"/>
  <c r="J37" i="6"/>
  <c r="K37" i="6" s="1"/>
  <c r="J38" i="6"/>
  <c r="K38" i="6" s="1"/>
  <c r="J39" i="6"/>
  <c r="K39" i="6" s="1"/>
  <c r="J40" i="6"/>
  <c r="K40" i="6" s="1"/>
  <c r="J41" i="6"/>
  <c r="K41" i="6" s="1"/>
  <c r="J42" i="6"/>
  <c r="K42" i="6" s="1"/>
  <c r="J43" i="6"/>
  <c r="K43" i="6" s="1"/>
  <c r="J44" i="6"/>
  <c r="K44" i="6" s="1"/>
  <c r="J18" i="6"/>
  <c r="K18" i="6" s="1"/>
  <c r="J17" i="6"/>
  <c r="K17" i="6" s="1"/>
  <c r="J16" i="6"/>
  <c r="K16" i="6" s="1"/>
  <c r="J15" i="6"/>
  <c r="K15" i="6" s="1"/>
  <c r="J11" i="6"/>
  <c r="K11" i="6" s="1"/>
  <c r="J10" i="6"/>
  <c r="K10" i="6" s="1"/>
  <c r="J9" i="6"/>
  <c r="K9" i="6" s="1"/>
  <c r="J6" i="6"/>
  <c r="K6" i="6" s="1"/>
  <c r="E386" i="7"/>
  <c r="E387" i="7"/>
  <c r="H381" i="7"/>
  <c r="H380" i="7"/>
  <c r="D381" i="7"/>
  <c r="D380" i="7"/>
  <c r="D368" i="7"/>
  <c r="D367" i="7"/>
  <c r="D366" i="7"/>
  <c r="D364" i="7"/>
  <c r="D365" i="7"/>
  <c r="G360" i="7"/>
  <c r="J351" i="7"/>
  <c r="G359" i="7"/>
  <c r="I351" i="7"/>
  <c r="F360" i="7"/>
  <c r="H367" i="7" s="1"/>
  <c r="J350" i="7"/>
  <c r="F359" i="7"/>
  <c r="H366" i="7" s="1"/>
  <c r="I350" i="7"/>
  <c r="J349" i="7"/>
  <c r="I349" i="7"/>
  <c r="F349" i="7"/>
  <c r="H349" i="7" s="1"/>
  <c r="E351" i="7"/>
  <c r="E350" i="7"/>
  <c r="E349" i="7"/>
  <c r="V346" i="7"/>
  <c r="V345" i="7"/>
  <c r="V347" i="7"/>
  <c r="F350" i="7"/>
  <c r="F351" i="7"/>
  <c r="E346" i="7"/>
  <c r="E344" i="7"/>
  <c r="C346" i="7"/>
  <c r="K306" i="7"/>
  <c r="K304" i="7"/>
  <c r="U314" i="7"/>
  <c r="V317" i="7"/>
  <c r="V316" i="7"/>
  <c r="V315" i="7"/>
  <c r="V314" i="7"/>
  <c r="W317" i="7"/>
  <c r="W320" i="7"/>
  <c r="W321" i="7"/>
  <c r="W319" i="7"/>
  <c r="V321" i="7"/>
  <c r="V320" i="7"/>
  <c r="V319" i="7"/>
  <c r="W318" i="7"/>
  <c r="V318" i="7"/>
  <c r="U321" i="7"/>
  <c r="AD321" i="7" s="1"/>
  <c r="R330" i="7" s="1"/>
  <c r="U320" i="7"/>
  <c r="AD320" i="7" s="1"/>
  <c r="Q330" i="7" s="1"/>
  <c r="U319" i="7"/>
  <c r="AD319" i="7" s="1"/>
  <c r="P330" i="7" s="1"/>
  <c r="U318" i="7"/>
  <c r="AD318" i="7" s="1"/>
  <c r="O330" i="7" s="1"/>
  <c r="N338" i="7" s="1"/>
  <c r="U315" i="7"/>
  <c r="U317" i="7"/>
  <c r="T321" i="7"/>
  <c r="T320" i="7"/>
  <c r="T319" i="7"/>
  <c r="T318" i="7"/>
  <c r="T317" i="7"/>
  <c r="AA317" i="7" s="1"/>
  <c r="U316" i="7"/>
  <c r="W316" i="7"/>
  <c r="W315" i="7"/>
  <c r="W314" i="7"/>
  <c r="AB314" i="7" s="1"/>
  <c r="J328" i="7" s="1"/>
  <c r="R321" i="7"/>
  <c r="R320" i="7"/>
  <c r="R319" i="7"/>
  <c r="R318" i="7"/>
  <c r="R317" i="7"/>
  <c r="R316" i="7"/>
  <c r="R315" i="7"/>
  <c r="R314" i="7"/>
  <c r="R322" i="7" s="1"/>
  <c r="I311" i="7"/>
  <c r="E298" i="7"/>
  <c r="E297" i="7"/>
  <c r="E296" i="7"/>
  <c r="D298" i="7"/>
  <c r="D297" i="7"/>
  <c r="D296" i="7"/>
  <c r="I259" i="7"/>
  <c r="I258" i="7"/>
  <c r="I257" i="7"/>
  <c r="I256" i="7"/>
  <c r="I260" i="7" s="1"/>
  <c r="J19" i="6"/>
  <c r="K19" i="6" s="1"/>
  <c r="J21" i="6"/>
  <c r="K21" i="6" s="1"/>
  <c r="L135" i="3"/>
  <c r="J24" i="6"/>
  <c r="K24" i="6" s="1"/>
  <c r="J56" i="6"/>
  <c r="K56" i="6" s="1"/>
  <c r="J33" i="6"/>
  <c r="K33" i="6" s="1"/>
  <c r="J8" i="6"/>
  <c r="K8" i="6" s="1"/>
  <c r="J55" i="6"/>
  <c r="K55" i="6" s="1"/>
  <c r="J54" i="6"/>
  <c r="K54" i="6" s="1"/>
  <c r="J53" i="6"/>
  <c r="K53" i="6" s="1"/>
  <c r="J32" i="6"/>
  <c r="K32" i="6" s="1"/>
  <c r="J58" i="6"/>
  <c r="K58" i="6" s="1"/>
  <c r="J52" i="6"/>
  <c r="K52" i="6" s="1"/>
  <c r="J51" i="6"/>
  <c r="K51" i="6" s="1"/>
  <c r="J31" i="6"/>
  <c r="K31" i="6" s="1"/>
  <c r="J30" i="6"/>
  <c r="K30" i="6" s="1"/>
  <c r="J50" i="6"/>
  <c r="K50" i="6" s="1"/>
  <c r="H62" i="12" l="1"/>
  <c r="H60" i="12"/>
  <c r="C60" i="12"/>
  <c r="B68" i="10"/>
  <c r="B66" i="10"/>
  <c r="B67" i="10"/>
  <c r="B75" i="10"/>
  <c r="H66" i="10"/>
  <c r="H68" i="10"/>
  <c r="G358" i="7"/>
  <c r="H351" i="7"/>
  <c r="F358" i="7"/>
  <c r="H365" i="7" s="1"/>
  <c r="H350" i="7"/>
  <c r="F361" i="7"/>
  <c r="K350" i="7"/>
  <c r="F357" i="7"/>
  <c r="G350" i="7"/>
  <c r="G361" i="7"/>
  <c r="K351" i="7"/>
  <c r="G357" i="7"/>
  <c r="G351" i="7"/>
  <c r="K349" i="7"/>
  <c r="G349" i="7"/>
  <c r="AD314" i="7"/>
  <c r="AC318" i="7"/>
  <c r="O329" i="7" s="1"/>
  <c r="AB318" i="7"/>
  <c r="O328" i="7" s="1"/>
  <c r="AA318" i="7"/>
  <c r="O327" i="7" s="1"/>
  <c r="AC319" i="7"/>
  <c r="P329" i="7" s="1"/>
  <c r="AB319" i="7"/>
  <c r="P328" i="7" s="1"/>
  <c r="AA319" i="7"/>
  <c r="P327" i="7" s="1"/>
  <c r="AC320" i="7"/>
  <c r="Q329" i="7" s="1"/>
  <c r="AB320" i="7"/>
  <c r="Q328" i="7" s="1"/>
  <c r="AA320" i="7"/>
  <c r="Q327" i="7" s="1"/>
  <c r="AC321" i="7"/>
  <c r="R329" i="7" s="1"/>
  <c r="AB321" i="7"/>
  <c r="R328" i="7" s="1"/>
  <c r="AA321" i="7"/>
  <c r="R327" i="7" s="1"/>
  <c r="Z318" i="7"/>
  <c r="O326" i="7" s="1"/>
  <c r="X318" i="7"/>
  <c r="Z319" i="7"/>
  <c r="P326" i="7" s="1"/>
  <c r="X319" i="7"/>
  <c r="Z320" i="7"/>
  <c r="Q326" i="7" s="1"/>
  <c r="X320" i="7"/>
  <c r="Z321" i="7"/>
  <c r="R326" i="7" s="1"/>
  <c r="X321" i="7"/>
  <c r="J330" i="7"/>
  <c r="T316" i="7"/>
  <c r="L264" i="7"/>
  <c r="K264" i="7"/>
  <c r="J264" i="7"/>
  <c r="M263" i="7"/>
  <c r="L263" i="7"/>
  <c r="K263" i="7"/>
  <c r="J263" i="7"/>
  <c r="M264" i="7"/>
  <c r="M265" i="7"/>
  <c r="L265" i="7"/>
  <c r="P265" i="7" s="1"/>
  <c r="K265" i="7"/>
  <c r="J265" i="7"/>
  <c r="M266" i="7"/>
  <c r="P266" i="7" s="1"/>
  <c r="L266" i="7"/>
  <c r="K266" i="7"/>
  <c r="J266" i="7"/>
  <c r="K2" i="8"/>
  <c r="K3" i="8"/>
  <c r="K4" i="8"/>
  <c r="K5" i="8"/>
  <c r="K6" i="8"/>
  <c r="K7" i="8"/>
  <c r="K8" i="8"/>
  <c r="K9" i="8"/>
  <c r="M9" i="8"/>
  <c r="K10" i="8"/>
  <c r="M10" i="8"/>
  <c r="H133" i="3"/>
  <c r="E133" i="3"/>
  <c r="H127" i="3"/>
  <c r="E127" i="3"/>
  <c r="H122" i="3"/>
  <c r="E122" i="3"/>
  <c r="H134" i="3"/>
  <c r="E134" i="3"/>
  <c r="H128" i="3"/>
  <c r="E128" i="3"/>
  <c r="H123" i="3"/>
  <c r="E123" i="3"/>
  <c r="H115" i="3"/>
  <c r="E115" i="3"/>
  <c r="H114" i="3"/>
  <c r="E114" i="3"/>
  <c r="E107" i="3"/>
  <c r="H107" i="3"/>
  <c r="H106" i="3"/>
  <c r="E106" i="3"/>
  <c r="K2" i="4"/>
  <c r="K3" i="4"/>
  <c r="K4" i="4"/>
  <c r="K5" i="4"/>
  <c r="K6" i="4"/>
  <c r="K7" i="4"/>
  <c r="K8" i="4"/>
  <c r="K9" i="4"/>
  <c r="M9" i="4"/>
  <c r="K10" i="4"/>
  <c r="M10" i="4"/>
  <c r="K11" i="4"/>
  <c r="M11" i="4"/>
  <c r="K12" i="4"/>
  <c r="M12" i="4"/>
  <c r="K13" i="4"/>
  <c r="K14" i="4"/>
  <c r="K15" i="4"/>
  <c r="K16" i="4"/>
  <c r="K17" i="4"/>
  <c r="K18" i="4"/>
  <c r="K19" i="4"/>
  <c r="K20" i="4"/>
  <c r="H99" i="3"/>
  <c r="E99" i="3"/>
  <c r="H98" i="3"/>
  <c r="E98" i="3"/>
  <c r="J29" i="6"/>
  <c r="K29" i="6" s="1"/>
  <c r="H74" i="12" l="1"/>
  <c r="H364" i="7"/>
  <c r="H368" i="7"/>
  <c r="N335" i="7"/>
  <c r="N333" i="7"/>
  <c r="N336" i="7"/>
  <c r="N337" i="7"/>
  <c r="AA316" i="7"/>
  <c r="L327" i="7" s="1"/>
  <c r="X316" i="7"/>
  <c r="AB317" i="7"/>
  <c r="M328" i="7" s="1"/>
  <c r="X317" i="7"/>
  <c r="AB316" i="7"/>
  <c r="L328" i="7" s="1"/>
  <c r="T315" i="7"/>
  <c r="AA315" i="7" s="1"/>
  <c r="K327" i="7" s="1"/>
  <c r="Q265" i="7"/>
  <c r="N266" i="7"/>
  <c r="S266" i="7"/>
  <c r="N265" i="7"/>
  <c r="S265" i="7"/>
  <c r="Q263" i="7"/>
  <c r="Q266" i="7"/>
  <c r="Q264" i="7"/>
  <c r="R266" i="7"/>
  <c r="R265" i="7"/>
  <c r="N264" i="7"/>
  <c r="S264" i="7"/>
  <c r="R263" i="7"/>
  <c r="P264" i="7"/>
  <c r="R264" i="7"/>
  <c r="S263" i="7"/>
  <c r="P263" i="7"/>
  <c r="J267" i="7"/>
  <c r="N263" i="7"/>
  <c r="K267" i="7"/>
  <c r="L267" i="7"/>
  <c r="M267" i="7"/>
  <c r="J23" i="6"/>
  <c r="K23" i="6" s="1"/>
  <c r="AC314" i="7" l="1"/>
  <c r="J329" i="7" s="1"/>
  <c r="AA314" i="7"/>
  <c r="J327" i="7" s="1"/>
  <c r="Z314" i="7"/>
  <c r="J326" i="7" s="1"/>
  <c r="X314" i="7"/>
  <c r="AD315" i="7"/>
  <c r="K330" i="7" s="1"/>
  <c r="AD316" i="7"/>
  <c r="Z316" i="7"/>
  <c r="L326" i="7" s="1"/>
  <c r="AC316" i="7"/>
  <c r="L329" i="7" s="1"/>
  <c r="AD317" i="7"/>
  <c r="M330" i="7" s="1"/>
  <c r="Z317" i="7"/>
  <c r="M326" i="7" s="1"/>
  <c r="AC317" i="7"/>
  <c r="M329" i="7" s="1"/>
  <c r="M327" i="7"/>
  <c r="AC315" i="7"/>
  <c r="K329" i="7" s="1"/>
  <c r="AB315" i="7"/>
  <c r="K328" i="7" s="1"/>
  <c r="J336" i="7" s="1"/>
  <c r="Z315" i="7"/>
  <c r="K326" i="7" s="1"/>
  <c r="X315" i="7"/>
  <c r="Y263" i="7"/>
  <c r="J276" i="7" s="1"/>
  <c r="T263" i="7"/>
  <c r="X265" i="7"/>
  <c r="N275" i="7" s="1"/>
  <c r="T265" i="7"/>
  <c r="X266" i="7"/>
  <c r="K275" i="7" s="1"/>
  <c r="T266" i="7"/>
  <c r="T264" i="7"/>
  <c r="Y264" i="7"/>
  <c r="O276" i="7" s="1"/>
  <c r="W265" i="7"/>
  <c r="N274" i="7" s="1"/>
  <c r="Y265" i="7"/>
  <c r="N276" i="7" s="1"/>
  <c r="N284" i="7" s="1"/>
  <c r="W266" i="7"/>
  <c r="K274" i="7" s="1"/>
  <c r="Y266" i="7"/>
  <c r="K276" i="7" s="1"/>
  <c r="J284" i="7" s="1"/>
  <c r="Z264" i="7"/>
  <c r="O277" i="7" s="1"/>
  <c r="Z266" i="7"/>
  <c r="K277" i="7" s="1"/>
  <c r="Z263" i="7"/>
  <c r="J277" i="7" s="1"/>
  <c r="J285" i="7" s="1"/>
  <c r="Z265" i="7"/>
  <c r="N277" i="7" s="1"/>
  <c r="N285" i="7" s="1"/>
  <c r="X263" i="7"/>
  <c r="J275" i="7" s="1"/>
  <c r="J283" i="7" s="1"/>
  <c r="W263" i="7"/>
  <c r="J274" i="7" s="1"/>
  <c r="V263" i="7"/>
  <c r="J273" i="7" s="1"/>
  <c r="X264" i="7"/>
  <c r="O275" i="7" s="1"/>
  <c r="N283" i="7" s="1"/>
  <c r="W264" i="7"/>
  <c r="O274" i="7" s="1"/>
  <c r="V264" i="7"/>
  <c r="O273" i="7" s="1"/>
  <c r="V266" i="7"/>
  <c r="K273" i="7" s="1"/>
  <c r="V265" i="7"/>
  <c r="N273" i="7" s="1"/>
  <c r="N282" i="7" s="1"/>
  <c r="J49" i="6"/>
  <c r="K49" i="6" s="1"/>
  <c r="J28" i="6"/>
  <c r="K28" i="6" s="1"/>
  <c r="K108" i="2"/>
  <c r="J108" i="2"/>
  <c r="J22" i="6"/>
  <c r="K22" i="6" s="1"/>
  <c r="J335" i="7" l="1"/>
  <c r="J333" i="7"/>
  <c r="J337" i="7"/>
  <c r="L330" i="7"/>
  <c r="J338" i="7" s="1"/>
  <c r="J282" i="7"/>
  <c r="J281" i="7"/>
  <c r="J280" i="7"/>
  <c r="N281" i="7"/>
  <c r="N280" i="7"/>
  <c r="J48" i="6"/>
  <c r="K48" i="6" s="1"/>
  <c r="J12" i="6"/>
  <c r="K12" i="6" s="1"/>
  <c r="J47" i="6"/>
  <c r="K47" i="6" s="1"/>
  <c r="J13" i="6" l="1"/>
  <c r="K13" i="6" s="1"/>
  <c r="M14" i="6" l="1"/>
  <c r="J20" i="6"/>
  <c r="K20" i="6" s="1"/>
  <c r="J14" i="6"/>
  <c r="K14" i="6" s="1"/>
  <c r="J3" i="6"/>
  <c r="K3" i="6" s="1"/>
  <c r="J2" i="6"/>
  <c r="K2" i="6" s="1"/>
  <c r="J4" i="6"/>
  <c r="K4" i="6" s="1"/>
  <c r="J5" i="6"/>
  <c r="K5" i="6" s="1"/>
  <c r="J7" i="6"/>
  <c r="K7" i="6" s="1"/>
  <c r="J27" i="6"/>
  <c r="K27" i="6" s="1"/>
  <c r="J25" i="6"/>
  <c r="K25" i="6" s="1"/>
  <c r="J26" i="6"/>
  <c r="K26" i="6" s="1"/>
  <c r="M13" i="6" l="1"/>
  <c r="M20" i="6"/>
  <c r="M5" i="6"/>
  <c r="F64" i="3" l="1"/>
  <c r="I41" i="3"/>
  <c r="F41" i="3"/>
  <c r="K25" i="3"/>
  <c r="G25" i="3"/>
  <c r="G22" i="3"/>
  <c r="H91" i="3"/>
  <c r="E91" i="3"/>
  <c r="I84" i="3"/>
  <c r="F84" i="3"/>
  <c r="J79" i="3"/>
  <c r="F79" i="3"/>
  <c r="F70" i="3"/>
  <c r="F69" i="3"/>
  <c r="J70" i="3"/>
  <c r="J69" i="3"/>
  <c r="J64" i="3"/>
  <c r="J63" i="3"/>
  <c r="F63" i="3"/>
  <c r="K55" i="3"/>
  <c r="K54" i="3"/>
  <c r="G55" i="3"/>
  <c r="G54" i="3"/>
  <c r="J47" i="3" l="1"/>
  <c r="F47" i="3"/>
  <c r="I40" i="3"/>
  <c r="F40" i="3"/>
  <c r="L32" i="3"/>
  <c r="L33" i="3"/>
  <c r="L31" i="3"/>
  <c r="G32" i="3"/>
  <c r="G33" i="3"/>
  <c r="G31" i="3"/>
  <c r="F103" i="2"/>
  <c r="K103" i="2"/>
  <c r="G98" i="2"/>
  <c r="L98" i="2"/>
  <c r="F93" i="2"/>
  <c r="L93" i="2"/>
  <c r="J86" i="2"/>
  <c r="F88" i="2"/>
  <c r="D88" i="2"/>
  <c r="F83" i="2"/>
  <c r="D83" i="2"/>
  <c r="K23" i="3"/>
  <c r="K24" i="3"/>
  <c r="K22" i="3"/>
  <c r="G23" i="3"/>
  <c r="G24" i="3"/>
  <c r="M77" i="2"/>
  <c r="H77" i="2"/>
  <c r="L15" i="3"/>
  <c r="L16" i="3"/>
  <c r="L14" i="3"/>
  <c r="G15" i="3"/>
  <c r="G16" i="3"/>
  <c r="G14" i="3"/>
  <c r="K7" i="3"/>
  <c r="K8" i="3"/>
  <c r="K6" i="3"/>
  <c r="G8" i="3"/>
  <c r="G7" i="3"/>
  <c r="G6" i="3"/>
  <c r="L72" i="2"/>
  <c r="G72" i="2"/>
  <c r="L71" i="2"/>
  <c r="G71" i="2"/>
  <c r="M66" i="2"/>
  <c r="G66" i="2"/>
  <c r="M65" i="2"/>
  <c r="G65" i="2"/>
  <c r="L60" i="2"/>
  <c r="G60" i="2"/>
  <c r="L59" i="2"/>
  <c r="G59" i="2"/>
  <c r="K50" i="2"/>
  <c r="G50" i="2"/>
  <c r="K49" i="2"/>
  <c r="G49" i="2"/>
  <c r="I44" i="2"/>
  <c r="F44" i="2"/>
  <c r="I40" i="2"/>
  <c r="F40" i="2"/>
  <c r="F39" i="2"/>
  <c r="I39" i="2"/>
  <c r="L34" i="2"/>
  <c r="L33" i="2"/>
  <c r="F34" i="2"/>
  <c r="F33" i="2"/>
  <c r="K28" i="2"/>
  <c r="K27" i="2"/>
  <c r="F28" i="2"/>
  <c r="F27" i="2"/>
  <c r="H21" i="2"/>
  <c r="E21" i="2"/>
  <c r="H20" i="2"/>
  <c r="E20" i="2"/>
  <c r="P11" i="2"/>
  <c r="P12" i="2"/>
  <c r="M12" i="2"/>
  <c r="M11" i="2"/>
  <c r="H13" i="2"/>
  <c r="H12" i="2"/>
  <c r="E13" i="2"/>
  <c r="E12" i="2"/>
  <c r="G4" i="1"/>
  <c r="L3" i="2"/>
  <c r="J3" i="2"/>
  <c r="F6" i="2"/>
  <c r="C6" i="2"/>
  <c r="C7" i="2"/>
  <c r="F7" i="2"/>
  <c r="H71" i="10"/>
  <c r="H70" i="10"/>
  <c r="H7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Ioannis Nikolaos Ziogas</author>
  </authors>
  <commentList>
    <comment ref="A32" authorId="0" shapeId="0" xr:uid="{034C1854-98C0-4AED-806F-179EB2463646}">
      <text>
        <r>
          <rPr>
            <sz val="11"/>
            <color theme="1"/>
            <rFont val="Calibri"/>
            <family val="2"/>
            <scheme val="minor"/>
          </rPr>
          <t xml:space="preserve">
</t>
        </r>
      </text>
    </comment>
  </commentList>
</comments>
</file>

<file path=xl/sharedStrings.xml><?xml version="1.0" encoding="utf-8"?>
<sst xmlns="http://schemas.openxmlformats.org/spreadsheetml/2006/main" count="3817" uniqueCount="1238">
  <si>
    <t>Author</t>
  </si>
  <si>
    <t>Year</t>
  </si>
  <si>
    <t>Modalities</t>
  </si>
  <si>
    <t xml:space="preserve">Feature Extraction </t>
  </si>
  <si>
    <t>Classification Methods</t>
  </si>
  <si>
    <t>Language</t>
  </si>
  <si>
    <t>Sample Size</t>
  </si>
  <si>
    <t>Dataset</t>
  </si>
  <si>
    <t>Affective Modeling</t>
  </si>
  <si>
    <t>Architecture Family</t>
  </si>
  <si>
    <r>
      <rPr>
        <sz val="11"/>
        <color rgb="FF000000"/>
        <rFont val="Calibri"/>
      </rPr>
      <t xml:space="preserve">Galanis </t>
    </r>
    <r>
      <rPr>
        <i/>
        <sz val="11"/>
        <color rgb="FF000000"/>
        <rFont val="Calibri"/>
      </rPr>
      <t>et al.</t>
    </r>
  </si>
  <si>
    <t>Audio</t>
  </si>
  <si>
    <t>OpenSMILE audio features, subject information</t>
  </si>
  <si>
    <t>SVM</t>
  </si>
  <si>
    <t>Greek</t>
  </si>
  <si>
    <t>1396 utt.</t>
  </si>
  <si>
    <t>Call center data</t>
  </si>
  <si>
    <t>Categorical (2): positive/negative</t>
  </si>
  <si>
    <t>Machine Learning (SVM)</t>
  </si>
  <si>
    <r>
      <rPr>
        <sz val="11"/>
        <color rgb="FF000000"/>
        <rFont val="Calibri"/>
      </rPr>
      <t xml:space="preserve">Wu </t>
    </r>
    <r>
      <rPr>
        <i/>
        <sz val="11"/>
        <color rgb="FF000000"/>
        <rFont val="Calibri"/>
      </rPr>
      <t>et al.</t>
    </r>
  </si>
  <si>
    <t>Audio, video</t>
  </si>
  <si>
    <t>Audio: MFCCs, Video: Facial expression features</t>
  </si>
  <si>
    <t>Chinese</t>
  </si>
  <si>
    <t>D80: 487 speech clips, Custom databases A+B: 24+32 videos</t>
  </si>
  <si>
    <t>D80, 2 custom datasets</t>
  </si>
  <si>
    <t>Categorical(4):  neutral,happiness, anger, sadness)</t>
  </si>
  <si>
    <r>
      <rPr>
        <sz val="11"/>
        <color rgb="FF000000"/>
        <rFont val="Calibri"/>
      </rPr>
      <t xml:space="preserve">Lin </t>
    </r>
    <r>
      <rPr>
        <i/>
        <sz val="11"/>
        <color rgb="FF000000"/>
        <rFont val="Calibri"/>
      </rPr>
      <t>et al.</t>
    </r>
  </si>
  <si>
    <t>Acoustic &amp; Prosodic speech features from temporal course modeling-based (TCM) cross-correlation model (CCM)</t>
  </si>
  <si>
    <t>Bayesian classifier weighting scheme: error weighted classifier of TCM-based CCM classifiers (TCM-EWCCM)</t>
  </si>
  <si>
    <t xml:space="preserve">Chinese </t>
  </si>
  <si>
    <t>1114 utt.</t>
  </si>
  <si>
    <t>NCKU-CASC</t>
  </si>
  <si>
    <t>Categorical (4): happy, angry, sad, neutral</t>
  </si>
  <si>
    <t>Machine Learning (HMM)</t>
  </si>
  <si>
    <r>
      <rPr>
        <sz val="11"/>
        <color rgb="FF000000"/>
        <rFont val="Calibri"/>
      </rPr>
      <t xml:space="preserve">Tian </t>
    </r>
    <r>
      <rPr>
        <i/>
        <sz val="11"/>
        <color rgb="FF000000"/>
        <rFont val="Calibri"/>
      </rPr>
      <t>et al. (A)</t>
    </r>
  </si>
  <si>
    <t>Disfluencies and non-verbal vocalizations features (DIS-NV) &amp; low-level descriptors (LLDs) from OpenSMILE</t>
  </si>
  <si>
    <t>SVM, LSTM</t>
  </si>
  <si>
    <t>English</t>
  </si>
  <si>
    <t>IE: 10037</t>
  </si>
  <si>
    <t>IEMOCAP</t>
  </si>
  <si>
    <t>Dimensional (3-leveled): A/V</t>
  </si>
  <si>
    <t>Machine Learning, Recurrence</t>
  </si>
  <si>
    <r>
      <rPr>
        <sz val="11"/>
        <color rgb="FF000000"/>
        <rFont val="Calibri"/>
      </rPr>
      <t xml:space="preserve">Tian </t>
    </r>
    <r>
      <rPr>
        <i/>
        <sz val="11"/>
        <color rgb="FF000000"/>
        <rFont val="Calibri"/>
      </rPr>
      <t>et al.* (B)</t>
    </r>
  </si>
  <si>
    <t>Disfluencies and non-verbal vocalizations features (DIS-NV), low-level descriptors (LLDs) from OpenSMILE</t>
  </si>
  <si>
    <t>LSTM</t>
  </si>
  <si>
    <t xml:space="preserve">IE: 10037 </t>
  </si>
  <si>
    <t>Dimensional (5-leveled)- A/V/P</t>
  </si>
  <si>
    <t>Recurrence</t>
  </si>
  <si>
    <r>
      <rPr>
        <sz val="11"/>
        <color rgb="FF000000"/>
        <rFont val="Calibri"/>
      </rPr>
      <t xml:space="preserve">Lubis </t>
    </r>
    <r>
      <rPr>
        <i/>
        <sz val="11"/>
        <color rgb="FF000000"/>
        <rFont val="Calibri"/>
      </rPr>
      <t>et al.</t>
    </r>
  </si>
  <si>
    <t xml:space="preserve">Audio </t>
  </si>
  <si>
    <t>OpenSMILE audio features</t>
  </si>
  <si>
    <t>DNN</t>
  </si>
  <si>
    <t>Indonesian, English</t>
  </si>
  <si>
    <t>1138 utt.</t>
  </si>
  <si>
    <t xml:space="preserve">IDESC, American TV Shows </t>
  </si>
  <si>
    <t>Dimensional: A/V,  &amp; Categorical (4): happiness, anger, sadness, contentment</t>
  </si>
  <si>
    <t>Classic Neural Net</t>
  </si>
  <si>
    <r>
      <rPr>
        <sz val="11"/>
        <color rgb="FF000000"/>
        <rFont val="Calibri"/>
      </rPr>
      <t xml:space="preserve">Chakraborty </t>
    </r>
    <r>
      <rPr>
        <i/>
        <sz val="11"/>
        <color rgb="FF000000"/>
        <rFont val="Calibri"/>
      </rPr>
      <t>et al.</t>
    </r>
  </si>
  <si>
    <t>Audio (+text)</t>
  </si>
  <si>
    <t>Time-lapse knowledge of speech in the call &amp; OpenSMILE features</t>
  </si>
  <si>
    <t>SVM, ANN, KNN, Ensemble of 3</t>
  </si>
  <si>
    <t>Hindi ( Not given )</t>
  </si>
  <si>
    <t xml:space="preserve">IVR-SERES: 1264 utt., Call-center: 2117 </t>
  </si>
  <si>
    <t>1. Interactive Voice Response (IVR) Speech Enabled Railway Enquiry System (SERES) - IVR-SERES, 2. Call Center</t>
  </si>
  <si>
    <t>Categorical (4): anger, happiness, sadness, neutral</t>
  </si>
  <si>
    <t>Machine Learning (SVM,kNN,Tree,Ensemble)</t>
  </si>
  <si>
    <r>
      <rPr>
        <sz val="11"/>
        <color rgb="FF000000"/>
        <rFont val="Calibri"/>
      </rPr>
      <t xml:space="preserve">Jamil </t>
    </r>
    <r>
      <rPr>
        <i/>
        <sz val="11"/>
        <color rgb="FF000000"/>
        <rFont val="Calibri"/>
      </rPr>
      <t>et al.</t>
    </r>
  </si>
  <si>
    <t>Prosodic features</t>
  </si>
  <si>
    <t>Random Forest</t>
  </si>
  <si>
    <t>Malay</t>
  </si>
  <si>
    <t>90 utt.</t>
  </si>
  <si>
    <t xml:space="preserve">Debate videos, Youtube Review Videos, Local TV </t>
  </si>
  <si>
    <t>Categorical (3): happy, angry, sad</t>
  </si>
  <si>
    <t>Machine Learning (RF)</t>
  </si>
  <si>
    <r>
      <rPr>
        <sz val="11"/>
        <color rgb="FF000000"/>
        <rFont val="Calibri"/>
      </rPr>
      <t xml:space="preserve">Hazarika </t>
    </r>
    <r>
      <rPr>
        <i/>
        <sz val="11"/>
        <color rgb="FF000000"/>
        <rFont val="Calibri"/>
      </rPr>
      <t>et al. (A)</t>
    </r>
  </si>
  <si>
    <t>Audio, video (, text)</t>
  </si>
  <si>
    <t>Audio: OpenSMILE audio features, Video: 3D-CNN</t>
  </si>
  <si>
    <t>Conversational Memory Network</t>
  </si>
  <si>
    <t>5498 utt.</t>
  </si>
  <si>
    <t>Dimensional (3-leveled): A/V &amp; Categorical (4): happiness,sadness,neutral,anger)</t>
  </si>
  <si>
    <t>Hybrid - Convolution + Recurrence + Attention</t>
  </si>
  <si>
    <r>
      <rPr>
        <sz val="11"/>
        <color rgb="FF000000"/>
        <rFont val="Calibri"/>
      </rPr>
      <t xml:space="preserve">Hazarika </t>
    </r>
    <r>
      <rPr>
        <i/>
        <sz val="11"/>
        <color rgb="FF000000"/>
        <rFont val="Calibri"/>
      </rPr>
      <t>et al. * (B)</t>
    </r>
  </si>
  <si>
    <t>Audio: OpenSMILE audio features (LLDs), Video: 3D-CNN</t>
  </si>
  <si>
    <t>Interactive Conversational Memory Network (ICON)</t>
  </si>
  <si>
    <t>7433 utt.</t>
  </si>
  <si>
    <t>Categorical (6) (which?)</t>
  </si>
  <si>
    <t>Hybrid - Attention + Recurrence</t>
  </si>
  <si>
    <r>
      <rPr>
        <sz val="11"/>
        <color rgb="FF000000"/>
        <rFont val="Calibri"/>
      </rPr>
      <t xml:space="preserve">Lu </t>
    </r>
    <r>
      <rPr>
        <i/>
        <sz val="11"/>
        <color rgb="FF000000"/>
        <rFont val="Calibri"/>
      </rPr>
      <t>et al.</t>
    </r>
  </si>
  <si>
    <t>Spectrogram</t>
  </si>
  <si>
    <t xml:space="preserve">Transfer Learned Convolution-based Encoder </t>
  </si>
  <si>
    <t>English, Chinese</t>
  </si>
  <si>
    <t>IE: 5538 / NNIME: 4021 utt.</t>
  </si>
  <si>
    <t>IEMOCAP, NNIME dataset</t>
  </si>
  <si>
    <t>Dimensional (2-leveled): A/V &amp; Categorical (4): anger, excitement, sadness, neutral</t>
  </si>
  <si>
    <t>Convolution</t>
  </si>
  <si>
    <r>
      <rPr>
        <sz val="11"/>
        <color rgb="FF000000"/>
        <rFont val="Calibri"/>
      </rPr>
      <t xml:space="preserve">Neumann </t>
    </r>
    <r>
      <rPr>
        <i/>
        <sz val="11"/>
        <color rgb="FF000000"/>
        <rFont val="Calibri"/>
      </rPr>
      <t>et al.</t>
    </r>
  </si>
  <si>
    <t>Mel-Frequency Cepstral Coefficients (MFCC) (audio)</t>
  </si>
  <si>
    <t>Attentive CNN</t>
  </si>
  <si>
    <t>English, French</t>
  </si>
  <si>
    <t>IE: 10039 utt./ RE: 1308 utt.</t>
  </si>
  <si>
    <t>IEMOCAP, RECOLA</t>
  </si>
  <si>
    <t>Dimensional (2-leveled): A /V</t>
  </si>
  <si>
    <t>Hybrid - Attention + Convolution</t>
  </si>
  <si>
    <r>
      <rPr>
        <sz val="11"/>
        <color rgb="FF000000"/>
        <rFont val="Calibri"/>
      </rPr>
      <t xml:space="preserve">Kovacs </t>
    </r>
    <r>
      <rPr>
        <i/>
        <sz val="11"/>
        <color rgb="FF000000"/>
        <rFont val="Calibri"/>
      </rPr>
      <t>et al.</t>
    </r>
  </si>
  <si>
    <t>SVM, Boosting</t>
  </si>
  <si>
    <t>Hungarian</t>
  </si>
  <si>
    <t>1410 dialogues</t>
  </si>
  <si>
    <t>HuComTech Corpus</t>
  </si>
  <si>
    <t>Categorical (9): overlapping speech, silence, neutral, sad, happy, surprised, recalling, tense, other</t>
  </si>
  <si>
    <r>
      <rPr>
        <sz val="11"/>
        <color rgb="FF000000"/>
        <rFont val="Calibri"/>
      </rPr>
      <t xml:space="preserve">Huang </t>
    </r>
    <r>
      <rPr>
        <i/>
        <sz val="11"/>
        <color rgb="FF000000"/>
        <rFont val="Calibri"/>
      </rPr>
      <t xml:space="preserve">et al. </t>
    </r>
  </si>
  <si>
    <t>1. Raw acoustic features, 2. Acoustic feature extraction -&gt; Vector Quantization -&gt; Audio-word mapping -&gt; Word2vec</t>
  </si>
  <si>
    <t>CNN</t>
  </si>
  <si>
    <t>NCKU-ES: 1449 utt.</t>
  </si>
  <si>
    <t>NCKU-ES</t>
  </si>
  <si>
    <t>Categorical (7): happy, bored, angry, anxious, sad, surprised, disgusted</t>
  </si>
  <si>
    <t xml:space="preserve">Convolution </t>
  </si>
  <si>
    <r>
      <rPr>
        <sz val="11"/>
        <color rgb="FF000000"/>
        <rFont val="Calibri"/>
      </rPr>
      <t xml:space="preserve">Zhang </t>
    </r>
    <r>
      <rPr>
        <i/>
        <sz val="11"/>
        <color rgb="FF000000"/>
        <rFont val="Calibri"/>
      </rPr>
      <t>et al.</t>
    </r>
  </si>
  <si>
    <t>MFCCs, Clustering to distinguish driver/passenger</t>
  </si>
  <si>
    <t>Not given</t>
  </si>
  <si>
    <t>108 dialogues</t>
  </si>
  <si>
    <t>Custom acted dialogues with 7 volunteers</t>
  </si>
  <si>
    <t>Categorical (3): happy, angry, neutral</t>
  </si>
  <si>
    <t>CNN-features</t>
  </si>
  <si>
    <t>CNN-LSTM</t>
  </si>
  <si>
    <t>~4200 utt.</t>
  </si>
  <si>
    <t>NTHU-NTUA Chinese Interactive Multimodal
Emotion Corpus (NNIME)</t>
  </si>
  <si>
    <t>Categorical (7): anger, hapiness, sadness, neutral, anxiety, boredom, surprise</t>
  </si>
  <si>
    <t xml:space="preserve">Hybrid - Convolution + Recurrence </t>
  </si>
  <si>
    <r>
      <rPr>
        <sz val="11"/>
        <color rgb="FF000000"/>
        <rFont val="Calibri"/>
      </rPr>
      <t xml:space="preserve">Yeh </t>
    </r>
    <r>
      <rPr>
        <i/>
        <sz val="11"/>
        <color rgb="FF000000"/>
        <rFont val="Calibri"/>
      </rPr>
      <t>et al.</t>
    </r>
  </si>
  <si>
    <t>Raw Waveform</t>
  </si>
  <si>
    <t>Beam search decoder structure - GRU-based encoder (IAAN) (Attention + Recurrence)</t>
  </si>
  <si>
    <t>IE: 4543 utt. / MELD: 11348 utt.</t>
  </si>
  <si>
    <t>IEMOCAP, MELD</t>
  </si>
  <si>
    <t>Categorical (4 &amp; 4): anger, sadness, happiness, neutral</t>
  </si>
  <si>
    <r>
      <rPr>
        <sz val="11"/>
        <color rgb="FF000000"/>
        <rFont val="Calibri"/>
      </rPr>
      <t xml:space="preserve">Jin </t>
    </r>
    <r>
      <rPr>
        <i/>
        <sz val="11"/>
        <color rgb="FF000000"/>
        <rFont val="Calibri"/>
      </rPr>
      <t>et al.</t>
    </r>
  </si>
  <si>
    <t>Audio (, text)</t>
  </si>
  <si>
    <t>Hierarchical Multimodal Transformer (HMT-LSA)</t>
  </si>
  <si>
    <t>13000 utt.</t>
  </si>
  <si>
    <t>MELD</t>
  </si>
  <si>
    <t>Categorical (7): anger,joy,sadness,neutral,disgust,fear,surprise</t>
  </si>
  <si>
    <t xml:space="preserve">Attention </t>
  </si>
  <si>
    <r>
      <rPr>
        <sz val="11"/>
        <color rgb="FF000000"/>
        <rFont val="Calibri"/>
      </rPr>
      <t xml:space="preserve">Mustaqeem </t>
    </r>
    <r>
      <rPr>
        <i/>
        <sz val="11"/>
        <color rgb="FF000000"/>
        <rFont val="Calibri"/>
      </rPr>
      <t>et al. (A)</t>
    </r>
  </si>
  <si>
    <t>Spectrogram-ResNet101 features</t>
  </si>
  <si>
    <t>Bi-LSTM</t>
  </si>
  <si>
    <t xml:space="preserve">IE: 5538 utt. </t>
  </si>
  <si>
    <t>Categorical - IE (4): anger, happiness, sadness, neutral</t>
  </si>
  <si>
    <t>Hybrid - Convolution + Recurrence</t>
  </si>
  <si>
    <r>
      <rPr>
        <sz val="11"/>
        <color rgb="FF000000"/>
        <rFont val="Calibri"/>
      </rPr>
      <t xml:space="preserve">Mustaqeem </t>
    </r>
    <r>
      <rPr>
        <i/>
        <sz val="11"/>
        <color rgb="FF000000"/>
        <rFont val="Calibri"/>
      </rPr>
      <t>et al. (B)</t>
    </r>
  </si>
  <si>
    <t>Hierarchical ConvLSTM + Bi-GRUs</t>
  </si>
  <si>
    <t xml:space="preserve">5538 utt. </t>
  </si>
  <si>
    <t xml:space="preserve">Categorical - IE (4):anger, happiness, sadness, neutral </t>
  </si>
  <si>
    <t>Boateng et al.</t>
  </si>
  <si>
    <t>Acoustic features with a pre-trained
CNN-(YAMNet)</t>
  </si>
  <si>
    <t>Dutch</t>
  </si>
  <si>
    <t>92 audio samples</t>
  </si>
  <si>
    <t>Dyadic Interaction lab study (custom)</t>
  </si>
  <si>
    <t>Dimensional (negative and positive Valence)</t>
  </si>
  <si>
    <t>Machine Learning</t>
  </si>
  <si>
    <r>
      <rPr>
        <sz val="11"/>
        <color rgb="FF000000"/>
        <rFont val="Calibri"/>
      </rPr>
      <t xml:space="preserve">Latif </t>
    </r>
    <r>
      <rPr>
        <i/>
        <sz val="11"/>
        <color rgb="FF000000"/>
        <rFont val="Calibri"/>
      </rPr>
      <t>et al.</t>
    </r>
  </si>
  <si>
    <t>Convolution-based Adversarial Autoencoder (Unsupervised Learning) + Dense Classifier (Supervised Learning)</t>
  </si>
  <si>
    <t>5531 utt. / 7798 utt.</t>
  </si>
  <si>
    <t>IEMOCAP / MSP-IMPROV</t>
  </si>
  <si>
    <t xml:space="preserve">Categorical (4): anger, happiness, sadness, neutral  &amp; Dimensional (2-leveled A/V) </t>
  </si>
  <si>
    <t>Hybrid - Convolution + Generative/Adversarial</t>
  </si>
  <si>
    <r>
      <rPr>
        <sz val="11"/>
        <color rgb="FF000000"/>
        <rFont val="Calibri"/>
      </rPr>
      <t xml:space="preserve">Law </t>
    </r>
    <r>
      <rPr>
        <i/>
        <sz val="11"/>
        <color rgb="FF000000"/>
        <rFont val="Calibri"/>
      </rPr>
      <t>et al.</t>
    </r>
  </si>
  <si>
    <t>small: 1650 / large: 6600 utt.</t>
  </si>
  <si>
    <t>IEMOCAP, Child-parent conversation data</t>
  </si>
  <si>
    <t>Dimensional (3-leveled): A/V &amp; Categorical (4):  happiness, anger, sadness, neutral</t>
  </si>
  <si>
    <r>
      <rPr>
        <sz val="11"/>
        <color rgb="FF000000"/>
        <rFont val="Calibri"/>
      </rPr>
      <t xml:space="preserve">Hsu </t>
    </r>
    <r>
      <rPr>
        <i/>
        <sz val="11"/>
        <color rgb="FF000000"/>
        <rFont val="Calibri"/>
      </rPr>
      <t>et al.</t>
    </r>
  </si>
  <si>
    <t>OpenSMILE audio features, Spectrogram, ResNet18: emotion and sound features</t>
  </si>
  <si>
    <t>LSTM with attention</t>
  </si>
  <si>
    <t xml:space="preserve">4766 utt. </t>
  </si>
  <si>
    <t xml:space="preserve">NNIME </t>
  </si>
  <si>
    <t>Categorical (6): happy, sad, neutral, angry, surprised, frustrated</t>
  </si>
  <si>
    <t xml:space="preserve">Audio: MFCC features fed to GRU-based encoder, Video: 3D-CNN </t>
  </si>
  <si>
    <t>GRU and Attention-based module</t>
  </si>
  <si>
    <t xml:space="preserve">IE: 7433 utt. </t>
  </si>
  <si>
    <t>Categorical(6): happy, sad, neutral, angry, excited, frustrated</t>
  </si>
  <si>
    <r>
      <rPr>
        <sz val="11"/>
        <color rgb="FF000000"/>
        <rFont val="Calibri"/>
      </rPr>
      <t xml:space="preserve">Kharat </t>
    </r>
    <r>
      <rPr>
        <i/>
        <sz val="11"/>
        <color rgb="FF000000"/>
        <rFont val="Calibri"/>
      </rPr>
      <t>et al.</t>
    </r>
  </si>
  <si>
    <t xml:space="preserve">Audio: openSMILE, video: pixel-based features </t>
  </si>
  <si>
    <t>Audio: Bi-LSTM, Video: CNN</t>
  </si>
  <si>
    <t>Categorical (7): anger, joy, sadness, neutral, disgust, fear, surprise</t>
  </si>
  <si>
    <t>Audio: Recurrence, Video: Convolution</t>
  </si>
  <si>
    <r>
      <rPr>
        <sz val="11"/>
        <color rgb="FF000000"/>
        <rFont val="Calibri"/>
      </rPr>
      <t xml:space="preserve">Pappagari </t>
    </r>
    <r>
      <rPr>
        <i/>
        <sz val="11"/>
        <color rgb="FF000000"/>
        <rFont val="Calibri"/>
      </rPr>
      <t>et al.</t>
    </r>
  </si>
  <si>
    <t>MFCCs (HandCrafted)</t>
  </si>
  <si>
    <t>ResNet + Transformer</t>
  </si>
  <si>
    <t xml:space="preserve">IEMOCAP </t>
  </si>
  <si>
    <t>Categorical (5): (happiness + excitement), sadness, neutral, anger, frustration</t>
  </si>
  <si>
    <t>Hybrid - Convolution + Attention</t>
  </si>
  <si>
    <r>
      <rPr>
        <sz val="11"/>
        <color rgb="FF000000"/>
        <rFont val="Calibri"/>
      </rPr>
      <t xml:space="preserve">Lai </t>
    </r>
    <r>
      <rPr>
        <i/>
        <sz val="11"/>
        <color rgb="FF000000"/>
        <rFont val="Calibri"/>
      </rPr>
      <t>et al.</t>
    </r>
  </si>
  <si>
    <t>Audio: OpenSMILE + FC-layer for dimensionality reduction, Video: 3D-CNN, max pooling, FC-layer</t>
  </si>
  <si>
    <t>Hierarchical Memory Network: GRUs and attention</t>
  </si>
  <si>
    <r>
      <t xml:space="preserve">Quan </t>
    </r>
    <r>
      <rPr>
        <i/>
        <sz val="11"/>
        <color rgb="FF000000"/>
        <rFont val="Calibri"/>
      </rPr>
      <t>et al.</t>
    </r>
  </si>
  <si>
    <t xml:space="preserve">Audio,video </t>
  </si>
  <si>
    <t>Audio: MFCCs,  Video: Raw Video</t>
  </si>
  <si>
    <t>Audio: CNN+Transformer-based backbone Video: Residual Convolution-based backbone, Temporal CNN</t>
  </si>
  <si>
    <t>985 utterances</t>
  </si>
  <si>
    <t>K-Emocon</t>
  </si>
  <si>
    <t xml:space="preserve">Dimensional (5-leveled &amp; 2-leveled): A/V </t>
  </si>
  <si>
    <t>Convolution / Hybrid - Attention + Convolution</t>
  </si>
  <si>
    <r>
      <rPr>
        <sz val="11"/>
        <color rgb="FF000000"/>
        <rFont val="Calibri"/>
      </rPr>
      <t xml:space="preserve">Xie </t>
    </r>
    <r>
      <rPr>
        <i/>
        <sz val="11"/>
        <color rgb="FF000000"/>
        <rFont val="Calibri"/>
      </rPr>
      <t>et al.</t>
    </r>
  </si>
  <si>
    <t>Audio: Raw Waveform + Spectrogram, Video:  MTCNN face detection</t>
  </si>
  <si>
    <t>Audio: WaveRNN ,Video: Inception-Resnetv1 + GRU, Fusion: Cross-modal Transformer + Embrace Net</t>
  </si>
  <si>
    <t xml:space="preserve">13708 utt. </t>
  </si>
  <si>
    <t xml:space="preserve">MELD </t>
  </si>
  <si>
    <t>Audio: Recurrence, Video: Convolution, Fusion: Attention</t>
  </si>
  <si>
    <r>
      <rPr>
        <sz val="11"/>
        <color rgb="FF000000"/>
        <rFont val="Calibri"/>
      </rPr>
      <t xml:space="preserve">Wang </t>
    </r>
    <r>
      <rPr>
        <i/>
        <sz val="11"/>
        <color rgb="FF000000"/>
        <rFont val="Calibri"/>
      </rPr>
      <t>et al.</t>
    </r>
  </si>
  <si>
    <t>Audio,video (, text)</t>
  </si>
  <si>
    <t>OpenSMILE audio features, 3-D (2D+time) CNN for video</t>
  </si>
  <si>
    <t>Af-CAN: GRU (personal), Global GRU (inter-personal), Attention Fusion</t>
  </si>
  <si>
    <t>Categorical (6): happy, sad, neutral, angry, excited, frustrated</t>
  </si>
  <si>
    <r>
      <t xml:space="preserve">Yildirim </t>
    </r>
    <r>
      <rPr>
        <i/>
        <sz val="11"/>
        <color rgb="FF000000"/>
        <rFont val="Calibri"/>
        <family val="2"/>
      </rPr>
      <t>et al.</t>
    </r>
  </si>
  <si>
    <t xml:space="preserve">Genetic feature selectors: Cuckoo Search + NSGA-II / Classifiers: kNN, TreeBagger, SVM </t>
  </si>
  <si>
    <t xml:space="preserve">5531 utt. </t>
  </si>
  <si>
    <t xml:space="preserve">Categorical (4): anger, (happiness + excitement), sadness, neutral </t>
  </si>
  <si>
    <r>
      <t xml:space="preserve">Yusuf </t>
    </r>
    <r>
      <rPr>
        <i/>
        <sz val="11"/>
        <color theme="1"/>
        <rFont val="Calibri"/>
      </rPr>
      <t>et al.</t>
    </r>
  </si>
  <si>
    <t>Multi-window augmentation of spectrograms</t>
  </si>
  <si>
    <t>Fine-tuned AlexNet</t>
  </si>
  <si>
    <t>2246 utt. / 2628 utt.</t>
  </si>
  <si>
    <t>Categorical - (4): anger, happiness, sadness, neutral / (4): anger, excitement, sadness, neutral</t>
  </si>
  <si>
    <r>
      <rPr>
        <sz val="11"/>
        <color rgb="FF000000"/>
        <rFont val="Calibri"/>
      </rPr>
      <t xml:space="preserve">Deschamps-Berger </t>
    </r>
    <r>
      <rPr>
        <i/>
        <sz val="11"/>
        <color rgb="FF000000"/>
        <rFont val="Calibri"/>
      </rPr>
      <t>et al.</t>
    </r>
  </si>
  <si>
    <t>Spectral features</t>
  </si>
  <si>
    <t>CNN-BiLSTM</t>
  </si>
  <si>
    <t>French, English</t>
  </si>
  <si>
    <t xml:space="preserve">CEMO: 4825 segm. / IE: 2280 utt. </t>
  </si>
  <si>
    <t>CEMO, IEMOCAP</t>
  </si>
  <si>
    <t>Categorical (4 &amp; 4): CEMO - positive, neutral, angry, fear &amp; IE - happy, neutral, angry, sad</t>
  </si>
  <si>
    <r>
      <rPr>
        <sz val="11"/>
        <color rgb="FF000000"/>
        <rFont val="Calibri"/>
      </rPr>
      <t xml:space="preserve">Chen </t>
    </r>
    <r>
      <rPr>
        <i/>
        <sz val="11"/>
        <color rgb="FF000000"/>
        <rFont val="Calibri"/>
      </rPr>
      <t>et al.</t>
    </r>
  </si>
  <si>
    <t>Audio: OpenSMILE, Video: 3D-CNN</t>
  </si>
  <si>
    <t>MetaDrop (GRU + Attention-based modules)</t>
  </si>
  <si>
    <t>IE: 5810, MELD: 13708</t>
  </si>
  <si>
    <t>IE: Categorical (6): anger, excitement, sadness, frustration, neutral, happiness
MELD: Categorical (7): anger, joy, sadness, neutral, disgust, fear, surprise</t>
  </si>
  <si>
    <r>
      <rPr>
        <sz val="11"/>
        <color rgb="FF000000"/>
        <rFont val="Calibri"/>
      </rPr>
      <t xml:space="preserve">Liu </t>
    </r>
    <r>
      <rPr>
        <i/>
        <sz val="11"/>
        <color rgb="FF000000"/>
        <rFont val="Calibri"/>
      </rPr>
      <t>et al.</t>
    </r>
  </si>
  <si>
    <t>Global Representations learned with TFCap, Local Representations learned with TFCNN</t>
  </si>
  <si>
    <t>Bi-LSTM, GCN (Graph Convolutional Network)</t>
  </si>
  <si>
    <t>5531 utt.</t>
  </si>
  <si>
    <r>
      <rPr>
        <sz val="11"/>
        <color rgb="FF000000"/>
        <rFont val="Calibri"/>
      </rPr>
      <t xml:space="preserve">Lian </t>
    </r>
    <r>
      <rPr>
        <i/>
        <sz val="11"/>
        <color rgb="FF000000"/>
        <rFont val="Calibri"/>
      </rPr>
      <t>et al.</t>
    </r>
  </si>
  <si>
    <t>Graphic structure for modeling human interactions; Multi-Head Attention(MHA) + Gated-Recurrent Unit (GRU) for context-sensitive dependency</t>
  </si>
  <si>
    <t>DECN - A GNN-based enhancement upon other classifiers: SVM,Bi-LSTM,DialogueRNN,DialogueGCN</t>
  </si>
  <si>
    <t>IE:5531 utt., MELD: 13708 utt.</t>
  </si>
  <si>
    <t xml:space="preserve">IE - Cat. (4): anger, happiness, sadness, neutral, MELD - Cat. (7): angry, joy, sad, neutral, disgust, fear, surprise </t>
  </si>
  <si>
    <t>Hybrid - Recurrence + Graph</t>
  </si>
  <si>
    <r>
      <rPr>
        <sz val="11"/>
        <color rgb="FF000000"/>
        <rFont val="Calibri"/>
      </rPr>
      <t xml:space="preserve">Seo </t>
    </r>
    <r>
      <rPr>
        <i/>
        <sz val="11"/>
        <color rgb="FF000000"/>
        <rFont val="Calibri"/>
      </rPr>
      <t>et al.</t>
    </r>
  </si>
  <si>
    <t>MFFCs</t>
  </si>
  <si>
    <t>Multi-task Learning Conformer</t>
  </si>
  <si>
    <t>5538 utt.</t>
  </si>
  <si>
    <t>Dimensional (3-leveled): A /V</t>
  </si>
  <si>
    <r>
      <rPr>
        <sz val="11"/>
        <color rgb="FF000000"/>
        <rFont val="Calibri"/>
      </rPr>
      <t xml:space="preserve">Alhussein </t>
    </r>
    <r>
      <rPr>
        <i/>
        <sz val="11"/>
        <color rgb="FF000000"/>
        <rFont val="Calibri"/>
      </rPr>
      <t>et al.</t>
    </r>
  </si>
  <si>
    <t>MFCCs</t>
  </si>
  <si>
    <t>CNN, Bi-LSTM, CNN-BiLSTM</t>
  </si>
  <si>
    <t>4022 utt.</t>
  </si>
  <si>
    <t>K-EmoCon</t>
  </si>
  <si>
    <t>Dimensional (2-leveled A/V)</t>
  </si>
  <si>
    <r>
      <rPr>
        <sz val="11"/>
        <color rgb="FF000000"/>
        <rFont val="Calibri"/>
      </rPr>
      <t xml:space="preserve">Chein </t>
    </r>
    <r>
      <rPr>
        <i/>
        <sz val="11"/>
        <color rgb="FF000000"/>
        <rFont val="Calibri"/>
      </rPr>
      <t>et al.</t>
    </r>
  </si>
  <si>
    <t>Vector quantized-wav2vec</t>
  </si>
  <si>
    <t>CNN, GRU, Transformer</t>
  </si>
  <si>
    <t>2797 speaking turns</t>
  </si>
  <si>
    <t>MSP-podcast corpus</t>
  </si>
  <si>
    <t xml:space="preserve">Binary for each of the categories: anger, happiness, sadness, neutral  &amp; Dimensional (2-leveled A/V) </t>
  </si>
  <si>
    <t>Hybrid - Recurrence, Convolution, Attention</t>
  </si>
  <si>
    <r>
      <rPr>
        <sz val="11"/>
        <color rgb="FF000000"/>
        <rFont val="Calibri"/>
        <family val="2"/>
      </rPr>
      <t xml:space="preserve">Fan </t>
    </r>
    <r>
      <rPr>
        <i/>
        <sz val="11"/>
        <color rgb="FF000000"/>
        <rFont val="Calibri"/>
        <family val="2"/>
      </rPr>
      <t>et al.</t>
    </r>
  </si>
  <si>
    <t>Mel Power Spectrum (image)</t>
  </si>
  <si>
    <t xml:space="preserve">ISNet: Convolutional-based Encoder + Dense Classifier </t>
  </si>
  <si>
    <t>4490 utt.</t>
  </si>
  <si>
    <t xml:space="preserve">Categorical (4): anger, happiness, sadness, neutral </t>
  </si>
  <si>
    <t>Attentional Temporal Dynamic Activation (ATDA) - CNN</t>
  </si>
  <si>
    <t>IE: 2943 / MSP: 4379 / MELD: 7062 utt.</t>
  </si>
  <si>
    <t>IEMOCAP, MSP-IMPROV,MELD</t>
  </si>
  <si>
    <r>
      <rPr>
        <sz val="11"/>
        <color rgb="FF000000"/>
        <rFont val="Calibri"/>
      </rPr>
      <t xml:space="preserve">Saffaryazdi </t>
    </r>
    <r>
      <rPr>
        <i/>
        <sz val="11"/>
        <color rgb="FF000000"/>
        <rFont val="Calibri"/>
      </rPr>
      <t>et al.</t>
    </r>
  </si>
  <si>
    <t>EEG,PPG,GSR</t>
  </si>
  <si>
    <t>EEG: Power Spectral Density features, GSR &amp; PPG: statistical time-domain features</t>
  </si>
  <si>
    <t>Random Forest, LSTM</t>
  </si>
  <si>
    <t>1120 5-second windows</t>
  </si>
  <si>
    <t>Custom Interview conversation dataset of induced emotions</t>
  </si>
  <si>
    <t>Categorical (5): anger, happiness, sadness, fear, neutral &amp; Dimensional (2-leveled): A/V</t>
  </si>
  <si>
    <t>Recurrence, Machine Learning</t>
  </si>
  <si>
    <r>
      <rPr>
        <sz val="11"/>
        <color rgb="FF000000"/>
        <rFont val="Calibri"/>
      </rPr>
      <t>Zou</t>
    </r>
    <r>
      <rPr>
        <i/>
        <sz val="11"/>
        <color rgb="FF000000"/>
        <rFont val="Calibri"/>
      </rPr>
      <t xml:space="preserve"> et al.</t>
    </r>
  </si>
  <si>
    <t>Audio: OpenSMILE audio features, Video: DenseNet on FER+ corpus</t>
  </si>
  <si>
    <t>Bi-LSTM, Cross-modal transformer (CMT)</t>
  </si>
  <si>
    <t>IE: 7433/ MELD: 13708 utt.</t>
  </si>
  <si>
    <t>Hybrid - Recurrence + Attention</t>
  </si>
  <si>
    <r>
      <t xml:space="preserve">Van </t>
    </r>
    <r>
      <rPr>
        <i/>
        <sz val="11"/>
        <color rgb="FF000000"/>
        <rFont val="Calibri"/>
        <family val="2"/>
      </rPr>
      <t>et al.</t>
    </r>
  </si>
  <si>
    <t>Data augmentation, MFCCs, Spectral features</t>
  </si>
  <si>
    <t>CNN/GRU/RNN</t>
  </si>
  <si>
    <t>IE: 4735</t>
  </si>
  <si>
    <t>Categorical (4): anger, excitement, sadness, neutral</t>
  </si>
  <si>
    <t>Recurrence, Convolution</t>
  </si>
  <si>
    <r>
      <rPr>
        <sz val="11"/>
        <color rgb="FF000000"/>
        <rFont val="Calibri"/>
      </rPr>
      <t xml:space="preserve">Waelbers </t>
    </r>
    <r>
      <rPr>
        <i/>
        <sz val="11"/>
        <color rgb="FF000000"/>
        <rFont val="Calibri"/>
      </rPr>
      <t>et al.</t>
    </r>
  </si>
  <si>
    <t>Spectral &amp; prosodic features</t>
  </si>
  <si>
    <t>Neural Machine Translation: Encoder (BiLSTM)-Decoder(BiLSTM) + attention</t>
  </si>
  <si>
    <t>363 calls</t>
  </si>
  <si>
    <t>Pension service call center data</t>
  </si>
  <si>
    <t>Categorical (6): anger, disgust, sadness, fear, surprise, happiness</t>
  </si>
  <si>
    <r>
      <rPr>
        <sz val="11"/>
        <color rgb="FF000000"/>
        <rFont val="Calibri"/>
      </rPr>
      <t xml:space="preserve">Arumugam </t>
    </r>
    <r>
      <rPr>
        <i/>
        <sz val="11"/>
        <color rgb="FF000000"/>
        <rFont val="Calibri"/>
      </rPr>
      <t>et al.</t>
    </r>
  </si>
  <si>
    <t>Audio: VGGish network-based deep learned features + Bi-LSTM , Video: MTCNN + Bi-LSTM</t>
  </si>
  <si>
    <t>Multimodal Attention Module + GRU</t>
  </si>
  <si>
    <t>IE: 7433 / MELD: 13708 utt.</t>
  </si>
  <si>
    <t>Categorical (6 &amp; 7): IE - anger, excitement, sadness, frustration, neutral, happiness &amp; MELD - anger, joy, sadness, neutral, disgust, fear, surprise</t>
  </si>
  <si>
    <r>
      <rPr>
        <sz val="11"/>
        <color rgb="FF000000"/>
        <rFont val="Calibri"/>
      </rPr>
      <t xml:space="preserve">Nahar </t>
    </r>
    <r>
      <rPr>
        <i/>
        <sz val="11"/>
        <color rgb="FF000000"/>
        <rFont val="Calibri"/>
      </rPr>
      <t>et al.</t>
    </r>
  </si>
  <si>
    <t>OpenSMILE &amp; raw audio features with Sinc-Net</t>
  </si>
  <si>
    <t>Gender CNN classifier, Offline: CNN &amp; attention classifier, Online: Spatio-temporal transformer, Both: XGBoost as final classifier</t>
  </si>
  <si>
    <t>Bengali, English</t>
  </si>
  <si>
    <t>Beng: 23766 utt., IE: 10039 utt.</t>
  </si>
  <si>
    <t>Bengali Call-Center, IEMOCAP</t>
  </si>
  <si>
    <t>Categorical(2): anger, other</t>
  </si>
  <si>
    <t>Audio (,text)</t>
  </si>
  <si>
    <t>Wav2vec-large - 512-D features</t>
  </si>
  <si>
    <t>PIRNet - Personality-enhanced Iterative Refinement Network: Personality influence features + attention + Bi-directional GRU</t>
  </si>
  <si>
    <t>IE-4: 5531, IE-6: 7433</t>
  </si>
  <si>
    <t>IEMOCAP (4-class &amp; 6-class)</t>
  </si>
  <si>
    <t xml:space="preserve">IE: Categorical(4&amp;6): anger, excitement, sadness, frustration, neutral, happiness </t>
  </si>
  <si>
    <t>GloVe, Context features (LSTM)</t>
  </si>
  <si>
    <t>Hierarchically Stacked Graph Convolution</t>
  </si>
  <si>
    <t>Categorical (6): anger, excitement, sadness, frustration, neutral, happiness</t>
  </si>
  <si>
    <t>Hybrid - Graph + Convolution</t>
  </si>
  <si>
    <t>Zhang et al.</t>
  </si>
  <si>
    <t>Audio, Video (, Text)</t>
  </si>
  <si>
    <t>Learned features through: Encoder, Intra-modal attention, Multi-modal attention</t>
  </si>
  <si>
    <t>M2Seq2Seq: Encoder, Intra-/multi-modal Attention, Decoder</t>
  </si>
  <si>
    <t>MUStARD_ext: 716, CMU-MOSEI: 23453, MELD: 13708</t>
  </si>
  <si>
    <t>MUStARD_ext, CMU-MOSEI, MELD</t>
  </si>
  <si>
    <t>Categorical - MUStARD_ext (9): anger, excitement, fear, sadness, surprise, frustration, happiness, neutral, disgust , CMU-MOSEI (6): happiness, sadness, anger, fear, disgust surprise, MELD (7): anger, happiness, sadness, neutral, disgust, fear, surprise</t>
  </si>
  <si>
    <t>Include in Systematic Review and Meta-Analysis</t>
  </si>
  <si>
    <t>Include in Systematic Review</t>
  </si>
  <si>
    <t>Exclude from Systematic Review and Meta-Analysis</t>
  </si>
  <si>
    <t>year</t>
  </si>
  <si>
    <t xml:space="preserve">Number </t>
  </si>
  <si>
    <t>Number of papers</t>
  </si>
  <si>
    <t>French</t>
  </si>
  <si>
    <t>Custom datasets</t>
  </si>
  <si>
    <t>Call center datasets</t>
  </si>
  <si>
    <t>Bengali</t>
  </si>
  <si>
    <t>NNIME</t>
  </si>
  <si>
    <t>MSP-IMPROV</t>
  </si>
  <si>
    <t>Indonesian</t>
  </si>
  <si>
    <t>TV shows</t>
  </si>
  <si>
    <t>Youtube Videos</t>
  </si>
  <si>
    <t>MUStARD_ext</t>
  </si>
  <si>
    <t>IDESC</t>
  </si>
  <si>
    <t>VAM</t>
  </si>
  <si>
    <t>CMU-MOSEI</t>
  </si>
  <si>
    <t>CEMO</t>
  </si>
  <si>
    <t>MSP-PODCAST</t>
  </si>
  <si>
    <t>RECOLA</t>
  </si>
  <si>
    <t>D80</t>
  </si>
  <si>
    <r>
      <rPr>
        <sz val="11"/>
        <color rgb="FF000000"/>
        <rFont val="Calibri"/>
      </rPr>
      <t xml:space="preserve">Savran </t>
    </r>
    <r>
      <rPr>
        <i/>
        <sz val="11"/>
        <color rgb="FF000000"/>
        <rFont val="Calibri"/>
      </rPr>
      <t>et al.</t>
    </r>
  </si>
  <si>
    <t>Bayesian-based Framework</t>
  </si>
  <si>
    <t>1389 utt.</t>
  </si>
  <si>
    <t>AVEC</t>
  </si>
  <si>
    <t>Dimensional (cont. A/V/E/P)</t>
  </si>
  <si>
    <r>
      <rPr>
        <sz val="11"/>
        <color rgb="FF000000"/>
        <rFont val="Calibri"/>
      </rPr>
      <t xml:space="preserve">Sayedelahl </t>
    </r>
    <r>
      <rPr>
        <i/>
        <sz val="11"/>
        <color rgb="FF000000"/>
        <rFont val="Calibri"/>
      </rPr>
      <t>et al.</t>
    </r>
  </si>
  <si>
    <t>Audio: Mel-Frequency Cepstral Coefficients (MFCC), video: Local Binary Patterns, fused: audio and video features</t>
  </si>
  <si>
    <t xml:space="preserve">SVM RBF </t>
  </si>
  <si>
    <t>German</t>
  </si>
  <si>
    <t>234 utt.</t>
  </si>
  <si>
    <t>Vera am Mittag (VAM)</t>
  </si>
  <si>
    <t>Dimensional (2-leveled V/Act./D)</t>
  </si>
  <si>
    <t>Chinese dataset D80, 2 custom datasets</t>
  </si>
  <si>
    <t>Dimensional (5-leveled)- IE 3D: A/V/P</t>
  </si>
  <si>
    <t>German (EmoDB), Hindi (Not Given)</t>
  </si>
  <si>
    <t xml:space="preserve">EmoDB: 535 utt. , IVR-SERES: 1264 utt., Call-center: 2117 </t>
  </si>
  <si>
    <t>1. EmoDB, 2. Interactive Voice Response (IVR) Speech Enabled Railway Enquiry System (SERES) - IVR-SERES, 3. Call Center</t>
  </si>
  <si>
    <t xml:space="preserve">Debate videos, Youtube, Local TV </t>
  </si>
  <si>
    <t>Categorical (6)</t>
  </si>
  <si>
    <t>Chinese, German</t>
  </si>
  <si>
    <t>NCKU-ES: 1449 utt., EmoDB: 535 utt.</t>
  </si>
  <si>
    <t>NCKU-ES, EmoDB</t>
  </si>
  <si>
    <t>MFCCs, Unsupervised Clustering to distinguish driver/passenger</t>
  </si>
  <si>
    <t>Beam search decoder structure - GRU-based encoder (IAAN)</t>
  </si>
  <si>
    <r>
      <rPr>
        <sz val="11"/>
        <color rgb="FF000000"/>
        <rFont val="Calibri"/>
      </rPr>
      <t xml:space="preserve">Fan </t>
    </r>
    <r>
      <rPr>
        <i/>
        <sz val="11"/>
        <color rgb="FF000000"/>
        <rFont val="Calibri"/>
      </rPr>
      <t>et al. (A)</t>
    </r>
  </si>
  <si>
    <t xml:space="preserve">audio, video </t>
  </si>
  <si>
    <t>PyResNet</t>
  </si>
  <si>
    <t>106035 utt.</t>
  </si>
  <si>
    <t>LSSED</t>
  </si>
  <si>
    <t xml:space="preserve">OpenSMILE audio features, Spectrograms </t>
  </si>
  <si>
    <t>SVM: Verbal segmentation ResNet18: emotion and sound features, LSTM with attention: classifier</t>
  </si>
  <si>
    <t>Multinomial Logistic Regression, SVM, AdaBoost, XGBoost, GradientBoost, MLP, CNN, LSTM</t>
  </si>
  <si>
    <t xml:space="preserve">audio </t>
  </si>
  <si>
    <t>MetaDrop</t>
  </si>
  <si>
    <r>
      <rPr>
        <sz val="11"/>
        <color rgb="FF000000"/>
        <rFont val="Calibri"/>
      </rPr>
      <t xml:space="preserve">Andayani </t>
    </r>
    <r>
      <rPr>
        <i/>
        <sz val="11"/>
        <color rgb="FF000000"/>
        <rFont val="Calibri"/>
      </rPr>
      <t>et al.</t>
    </r>
  </si>
  <si>
    <t xml:space="preserve">MFCCs </t>
  </si>
  <si>
    <t>LSTM-Transformer</t>
  </si>
  <si>
    <t>1440 utt.</t>
  </si>
  <si>
    <t>RAVDESS (Ryerson Audio-Visual Database of Emotional Speech and Song)</t>
  </si>
  <si>
    <t>Categorical (8): neutral, calm, happy, sad, angry, fearful, disgust, surprised</t>
  </si>
  <si>
    <r>
      <rPr>
        <sz val="11"/>
        <color rgb="FF000000"/>
        <rFont val="Calibri"/>
      </rPr>
      <t xml:space="preserve">Fan </t>
    </r>
    <r>
      <rPr>
        <i/>
        <sz val="11"/>
        <color rgb="FF000000"/>
        <rFont val="Calibri"/>
      </rPr>
      <t>et al. (B)</t>
    </r>
  </si>
  <si>
    <t>Mel Power Spectrum</t>
  </si>
  <si>
    <r>
      <rPr>
        <sz val="11"/>
        <color rgb="FF000000"/>
        <rFont val="Calibri"/>
      </rPr>
      <t xml:space="preserve">Abramov </t>
    </r>
    <r>
      <rPr>
        <i/>
        <sz val="11"/>
        <color rgb="FF000000"/>
        <rFont val="Calibri"/>
      </rPr>
      <t>et al.</t>
    </r>
  </si>
  <si>
    <t>MFCCs, Log Mel Spectrogram, Raw audio</t>
  </si>
  <si>
    <t>SVM, RF, MLP, CNN, LSTM</t>
  </si>
  <si>
    <t>Train on: RAVDESS (Ryerson Audio-Visual Database of Emotional Speech and Song). Transfer learning to custom video game data</t>
  </si>
  <si>
    <t>Categorical (9): silence, neutral, calm, happy, sad, angry, fearful, disgust, surprised</t>
  </si>
  <si>
    <t>RoBerta</t>
  </si>
  <si>
    <t xml:space="preserve">Directed Acyclic Graph </t>
  </si>
  <si>
    <t>IEMOCAP/MELD</t>
  </si>
  <si>
    <t>Categorical (6 &amp; 7): anger, joy, sadness, neutral, disgust, fear, surprise</t>
  </si>
  <si>
    <t>Audio, Video, Text</t>
  </si>
  <si>
    <t>Memotion: 8871, MUStARD_ext: 716, CMU-MOSEI: 23453, MELD: 13708</t>
  </si>
  <si>
    <t>Memotion, MUStARD_ext, CMU-MOSEI, MELD</t>
  </si>
  <si>
    <t xml:space="preserve">Categorical - Memotion (Humor): 4, MUStARD_ext: 9, CMU-MOSEI: 6, MELD: 7 </t>
  </si>
  <si>
    <t>MSP</t>
  </si>
  <si>
    <t>Call center</t>
  </si>
  <si>
    <t>Interview</t>
  </si>
  <si>
    <t>TV</t>
  </si>
  <si>
    <t>lab-study</t>
  </si>
  <si>
    <t>Natural conversation</t>
  </si>
  <si>
    <t>Others</t>
  </si>
  <si>
    <t>RAVDESS</t>
  </si>
  <si>
    <t>Author year</t>
  </si>
  <si>
    <t>Journal</t>
  </si>
  <si>
    <t>Title</t>
  </si>
  <si>
    <t>Modality( speech, video…)</t>
  </si>
  <si>
    <t>Features type</t>
  </si>
  <si>
    <t>Classification methods</t>
  </si>
  <si>
    <t>language</t>
  </si>
  <si>
    <t>sample size</t>
  </si>
  <si>
    <t>MSE (mean squared error)</t>
  </si>
  <si>
    <t>Accuracy</t>
  </si>
  <si>
    <t>Specificity</t>
  </si>
  <si>
    <t>CCC</t>
  </si>
  <si>
    <t>F-score</t>
  </si>
  <si>
    <t>AUROC</t>
  </si>
  <si>
    <t>Sensitivity</t>
  </si>
  <si>
    <t>Precision</t>
  </si>
  <si>
    <t>gender</t>
  </si>
  <si>
    <t>age</t>
  </si>
  <si>
    <t>categorical/dimensonal</t>
  </si>
  <si>
    <t>Zhang(2022)</t>
  </si>
  <si>
    <t>Towards  Contrastive Context-Aware
 Conversational Emotion Recognition</t>
  </si>
  <si>
    <t>speech,video, audio,video</t>
  </si>
  <si>
    <t>Utterances</t>
  </si>
  <si>
    <t>DAG+Bi-C3ER</t>
  </si>
  <si>
    <t xml:space="preserve">IEMOCAP -utterances :train 5810, test 1623)
dialogues: train:120, test :31
</t>
  </si>
  <si>
    <t>IEMOCAP: 5 male /5 female</t>
  </si>
  <si>
    <t>6 emotions</t>
  </si>
  <si>
    <t>DAG</t>
  </si>
  <si>
    <t xml:space="preserve">
MELD- utterances : train 9989, dev 1109, test 2610 
dialougues: train 1039, dev 114, test 280</t>
  </si>
  <si>
    <t>7 emotions</t>
  </si>
  <si>
    <t>Hsu (2021)</t>
  </si>
  <si>
    <t>IEEE/ACM</t>
  </si>
  <si>
    <t>Speech Emotion Recognition Considering Nonverbal Vocalization in Affective Conversations</t>
  </si>
  <si>
    <t xml:space="preserve">OPenSMILE audio features, emotion and sound features extracted from ResNet 18 </t>
  </si>
  <si>
    <t>SVM, LSTM sequence to sequence</t>
  </si>
  <si>
    <t>7672 single speaker dialogue</t>
  </si>
  <si>
    <t>22 females/20 males</t>
  </si>
  <si>
    <t>Xie (2021)</t>
  </si>
  <si>
    <t>Sensors</t>
  </si>
  <si>
    <t>Robust Multimodal Emotion Recognition from Conversation with transformer based crossmodality fusion</t>
  </si>
  <si>
    <t>video, utterance, text from utterance, emotion labels</t>
  </si>
  <si>
    <t>dialougue, audio</t>
  </si>
  <si>
    <t>Transfer learning: GPT(text), WaveRNN (Audio), FaceNEt+RNN (face)</t>
  </si>
  <si>
    <t>MELD- utterances : train 9989, dev 1109, test 2610</t>
  </si>
  <si>
    <t>Chein(2022)</t>
  </si>
  <si>
    <t>ACII</t>
  </si>
  <si>
    <t>Monologue versus conversation: differences in emotion perception and acoustic expressivity</t>
  </si>
  <si>
    <t>podcost, audio</t>
  </si>
  <si>
    <t>speech, monologue, conversation</t>
  </si>
  <si>
    <t>CNN,GRU,Transformer</t>
  </si>
  <si>
    <t>48 poscast, train: 40, val: 3 and test: 5</t>
  </si>
  <si>
    <t>4females/4males (visually impared)</t>
  </si>
  <si>
    <t>mean age: 46.75, age range: 28-44</t>
  </si>
  <si>
    <t>zou(2022)</t>
  </si>
  <si>
    <t>Science direct</t>
  </si>
  <si>
    <t>Improving multimodal fusion with modal transformer for emotion recognition in conversation</t>
  </si>
  <si>
    <t>OpenSMILE audio features, RoBerta,FER+</t>
  </si>
  <si>
    <t>LSTM, Cross-modal transformer (CMT)</t>
  </si>
  <si>
    <t xml:space="preserve">IEMOCAP -utterances : 7433, 151 conversation.
MELD: 12708 utterances. 1433 conversations
</t>
  </si>
  <si>
    <t>Wang (2023)</t>
  </si>
  <si>
    <t>science direct</t>
  </si>
  <si>
    <t>Hierarchically stacked graph convolution for emotion recognition in conversation</t>
  </si>
  <si>
    <t>audio</t>
  </si>
  <si>
    <t>utterances</t>
  </si>
  <si>
    <t>Hierarchically stacked graph convolution</t>
  </si>
  <si>
    <t>Utterances Train: 5810, test: 1623</t>
  </si>
  <si>
    <t>Fan(2021)</t>
  </si>
  <si>
    <t>LSSED: A LARGE-SCALE DATASET AND BENCHMARK FOR SPEECH  EMOTION RECOGNITION</t>
  </si>
  <si>
    <t>audio,video</t>
  </si>
  <si>
    <t>sentences/utternaces</t>
  </si>
  <si>
    <t>PyResnet</t>
  </si>
  <si>
    <t>Fan(2022)</t>
  </si>
  <si>
    <t>ISNet: Indiviulaised standardization network for speech emotion recognition</t>
  </si>
  <si>
    <t>audio, video</t>
  </si>
  <si>
    <t>Indiviual standardization</t>
  </si>
  <si>
    <t>LSSEd</t>
  </si>
  <si>
    <t>Liu(2022)</t>
  </si>
  <si>
    <t>ADTA : Attentional temporal dynamic activation for speech emotion recognition</t>
  </si>
  <si>
    <t>ATDA-CNN</t>
  </si>
  <si>
    <t>Precesion</t>
  </si>
  <si>
    <t>Wang et al. (2021) (text)</t>
  </si>
  <si>
    <t>A Contextual Attention Network for Multimodal Emotion Recognition in Conversation</t>
  </si>
  <si>
    <t>attention neural network</t>
  </si>
  <si>
    <t>HV=52.2, LV=69.0</t>
  </si>
  <si>
    <t>HV=55.6, LV=68.4</t>
  </si>
  <si>
    <t>mix-gender</t>
  </si>
  <si>
    <t>20-30</t>
  </si>
  <si>
    <t>categorical (6 emotions)</t>
  </si>
  <si>
    <t>Galanis et al. (2013)</t>
  </si>
  <si>
    <t>Classification of emotional speech units in call centre interactions</t>
  </si>
  <si>
    <t>Opensmile audio features (1582)</t>
  </si>
  <si>
    <t>P=97.33, N=33.90</t>
  </si>
  <si>
    <t>P=82.35, N=80.0</t>
  </si>
  <si>
    <t>Tits et al. 2018</t>
  </si>
  <si>
    <t>ASR-based Features for Emotion Recognition: A Transfer Learning Approach</t>
  </si>
  <si>
    <t>dilated convolution</t>
  </si>
  <si>
    <t>A=0.328, V=0.683</t>
  </si>
  <si>
    <t>Yeh et al. 2020</t>
  </si>
  <si>
    <t>A DIALOGICAL EMOTION DECODER FOR SPEECH EMOTION RECOGNITION IN SPOKEN DIALOG</t>
  </si>
  <si>
    <t>raw audio</t>
  </si>
  <si>
    <t>, dialogical emotion decoder (DED)</t>
  </si>
  <si>
    <t>Wu et al. 2013</t>
  </si>
  <si>
    <t>A Mobile Emotion Recognition System Based on
Speech Signals and Facial Images</t>
  </si>
  <si>
    <t>audio/video</t>
  </si>
  <si>
    <t>Speech features/facial features</t>
  </si>
  <si>
    <t xml:space="preserve">487 audio/ </t>
  </si>
  <si>
    <t>HV=85.5, LV=88.5</t>
  </si>
  <si>
    <t>24+32 videos</t>
  </si>
  <si>
    <t>HV=52.5, LV=55.5</t>
  </si>
  <si>
    <t>ma et al. 2022 (context)</t>
  </si>
  <si>
    <t>A multi-view network for real-time emotion recognition in
conversations</t>
  </si>
  <si>
    <t>speech</t>
  </si>
  <si>
    <t xml:space="preserve"> multi-view network (MVN)</t>
  </si>
  <si>
    <t>IEMOCAP=7433</t>
  </si>
  <si>
    <t>MELD=13708</t>
  </si>
  <si>
    <t>Yusuf et al. 2021</t>
  </si>
  <si>
    <t>A Novel Multi-Window Spectrogram Augmentation Approach for Speech Emotion Recognition using Deep Learning</t>
  </si>
  <si>
    <t>spectrogram</t>
  </si>
  <si>
    <t>IEMOCAP=8694</t>
  </si>
  <si>
    <t>LV=69.15, HV=66.67</t>
  </si>
  <si>
    <t>LV=66.96, HV=66.42</t>
  </si>
  <si>
    <t xml:space="preserve"> Partaourides 2020 (text)</t>
  </si>
  <si>
    <t>A Self-Attentive Emotion Recognition Network</t>
  </si>
  <si>
    <t>dialog-level GRU networ</t>
  </si>
  <si>
    <t>Lubis et al 2015</t>
  </si>
  <si>
    <t>A STUDY OF SOCIAL-AFFECTIVE COMMUNICATION: AUTOMATIC PREDICTION OF EMOTION TRIGGERS AND RESPONSES IN TELEVISION TALK SHOWS</t>
  </si>
  <si>
    <t>Features</t>
  </si>
  <si>
    <t>Indonesian ((IDESC)): 1138 sample</t>
  </si>
  <si>
    <t>arou =45.62, val=54.39</t>
  </si>
  <si>
    <t>TV showsEnglish: 747 sample</t>
  </si>
  <si>
    <t>arou =44.45, val=50.80</t>
  </si>
  <si>
    <t>xing et al 2022</t>
  </si>
  <si>
    <t>Adapted Dynamic Memory Network for Emotion Recognition in Conversation</t>
  </si>
  <si>
    <t>Adapted Dynamic MemoryNetwork (A-DMN</t>
  </si>
  <si>
    <t>xing et al 2022(context)</t>
  </si>
  <si>
    <t>Bhat et al 2021 (text)</t>
  </si>
  <si>
    <t xml:space="preserve">AdCOFE: Advanced Contextual Feature Extraction in Conversations for emotion classification </t>
  </si>
  <si>
    <t>AdCOFE</t>
  </si>
  <si>
    <t>Yeh et al. 2019</t>
  </si>
  <si>
    <t>AN INTERACTION-AWARE ATTENTION NETWORK FOR SPEECH EMOTION
RECOGNITION IN SPOKEN DIALOGS</t>
  </si>
  <si>
    <t xml:space="preserve"> acoustic low-level descriptors (LLDs) based on
Emobase 2010 Config using the openSMILE toolkit [17], including features such as Mel-Frequency Cepstral Coefficients
(MFCCs), pitch and their statistics in each short frame of an
utterance</t>
  </si>
  <si>
    <t>Transformers</t>
  </si>
  <si>
    <t>Abramov et al. 2022</t>
  </si>
  <si>
    <t>Analysis of Video Game Players’ Emotions and Team Performance: An Esports Tournament Case Study</t>
  </si>
  <si>
    <t>video/audio</t>
  </si>
  <si>
    <t>SVM/RF/MLP/CNN/LSTM</t>
  </si>
  <si>
    <t>avg_acc(MLP)=92.7%</t>
  </si>
  <si>
    <t>Zou et al. 2022(context)</t>
  </si>
  <si>
    <t>Attention-based Emotion-assisted Sentiment
Forecasting in Dialogue</t>
  </si>
  <si>
    <t xml:space="preserve"> Emotion-Assisted Sentiment Forecasting (EASF) model based
on attention </t>
  </si>
  <si>
    <t>E-Commerce Daily Diaologue</t>
  </si>
  <si>
    <t>Daily dialogue: 10000</t>
  </si>
  <si>
    <t>F1+=60.35, F1-=55.60</t>
  </si>
  <si>
    <t>Zou et al. 2022</t>
  </si>
  <si>
    <t>E-commerce=40000</t>
  </si>
  <si>
    <t>F1+=60.35, F1-=50.84</t>
  </si>
  <si>
    <t xml:space="preserve"> Sayedelahl et al. 2013</t>
  </si>
  <si>
    <t xml:space="preserve">AUDIO-VISUAL FEATURE-DECISION LEVEL FUSION FOR SPONTANEOUS EMOTION
ESTIMATION IN SPEECH CONVERSATIONS </t>
  </si>
  <si>
    <t>SPCA rbf</t>
  </si>
  <si>
    <t>V=0.62/ A=0.80</t>
  </si>
  <si>
    <t>video</t>
  </si>
  <si>
    <t>visual features (Local Binary Patterns )</t>
  </si>
  <si>
    <t>A=0.73/V=0.67</t>
  </si>
  <si>
    <t>audio and video</t>
  </si>
  <si>
    <t>fused features</t>
  </si>
  <si>
    <t>A=0.86/V=0.74</t>
  </si>
  <si>
    <t>Law et al. 2020</t>
  </si>
  <si>
    <t>Automatic voice emotion recognition of childparent conversations in natural settings</t>
  </si>
  <si>
    <t>SVM (AVER)</t>
  </si>
  <si>
    <t>small:550/large: 2200</t>
  </si>
  <si>
    <t>Low=0.8, high=0.66</t>
  </si>
  <si>
    <t>Parents-child</t>
  </si>
  <si>
    <t xml:space="preserve"> Pappagari et al. 2021</t>
  </si>
  <si>
    <t>Beyond Isolated Utterances: Conversational Emotion Recognition</t>
  </si>
  <si>
    <t>Transformer</t>
  </si>
  <si>
    <t>47.3 /57.6</t>
  </si>
  <si>
    <t>Alvarado et al 2021 (text)</t>
  </si>
  <si>
    <t>CLAMP: Cross-Level Attention for Multi-Party
Conversational Emotion Recognition</t>
  </si>
  <si>
    <t>transformer-based architecture resulting in the Cross-Level Attention with Multi-Party mask model (CLAMP)</t>
  </si>
  <si>
    <t>Savran et al 2012</t>
  </si>
  <si>
    <t>Combining Video, Audio and Lexical Indicators of Affect in Spontaneous Conversation via Particle Filtering</t>
  </si>
  <si>
    <t>Bayesian framework</t>
  </si>
  <si>
    <t>n=1389</t>
  </si>
  <si>
    <t>CCC_A=0.257, CCC_V=0.270</t>
  </si>
  <si>
    <t>as Local Binary Patterns (LBP)</t>
  </si>
  <si>
    <t>n=350</t>
  </si>
  <si>
    <t>CCC_A=0.257, CCC_V=0.271</t>
  </si>
  <si>
    <t>Hazarika et al. 2018</t>
  </si>
  <si>
    <t>Conversational Memory Network
for Emotion Recognition in Dyadic Dialogue Videos</t>
  </si>
  <si>
    <t>audio/video/text</t>
  </si>
  <si>
    <t>a conversational memory network (CMN)</t>
  </si>
  <si>
    <t>V=66.1/A=72.2</t>
  </si>
  <si>
    <t>V=64.3/A=47.6</t>
  </si>
  <si>
    <t>HV=72,LV=84</t>
  </si>
  <si>
    <t>Neuman et al. 2018</t>
  </si>
  <si>
    <t>CROSS-LINGUAL AND MULTILINGUAL SPEECH EMOTION RECOGNITION ONENGLISH AND FRENCH</t>
  </si>
  <si>
    <t>Logmel</t>
  </si>
  <si>
    <t>attention CNN</t>
  </si>
  <si>
    <t>English/French</t>
  </si>
  <si>
    <t>4290/1308</t>
  </si>
  <si>
    <t>IEMOCAP/RECOLA</t>
  </si>
  <si>
    <t>V=62.3/A=68, A=60.8, V=52.3</t>
  </si>
  <si>
    <t>Latif et al 2022</t>
  </si>
  <si>
    <t>Learning an Arousal-Valence Speech Front-End Network using Media Data In-the-Wild for Emotion Recognition</t>
  </si>
  <si>
    <t>Seo et al. 2018</t>
  </si>
  <si>
    <t>Multi-Task Conformer With Multi-Feature Combination for Speech Emotion Recognition</t>
  </si>
  <si>
    <t>A=70, V=61</t>
  </si>
  <si>
    <t>HV=77, LV=87</t>
  </si>
  <si>
    <t>Mustaqim et al 2020</t>
  </si>
  <si>
    <t>Clustering-Based Speech Emotion Recognition by Incorporating Learned Features and Deep BiLSTM</t>
  </si>
  <si>
    <t>3344/2187</t>
  </si>
  <si>
    <t>Lu et al 2018</t>
  </si>
  <si>
    <t>English/chinese</t>
  </si>
  <si>
    <t>5538/4021</t>
  </si>
  <si>
    <t>IEMOCAP/chinese</t>
  </si>
  <si>
    <t>A=69, V=52</t>
  </si>
  <si>
    <t>Yildirim et al 2021</t>
  </si>
  <si>
    <t>A modified feature selection method based on metaheuristic algorithms for speech emotion recognition</t>
  </si>
  <si>
    <t>1582
acoustic features extracted using OpenSmile toolbox</t>
  </si>
  <si>
    <t>KNN, TreeBagger, SVM</t>
  </si>
  <si>
    <t>HV=56, LV=63.8</t>
  </si>
  <si>
    <t>Van et al 2022</t>
  </si>
  <si>
    <t>Emotional Speech Recognition Using Deep Neural Networks</t>
  </si>
  <si>
    <t>HV=76.21, LV=83.64</t>
  </si>
  <si>
    <t>LV=83.86, HV=65.38</t>
  </si>
  <si>
    <t>LV=83.78, HV=68.01</t>
  </si>
  <si>
    <t>CLSTM: Deep Feature-Based Speech Emotion Recognition Using the Hierarchical ConvLSTM Network</t>
  </si>
  <si>
    <t>Quan et al 2021</t>
  </si>
  <si>
    <t>Incorporating Interpersonal Synchronization Features for Automatic Emotion Recognition from Visual and Audio Data during Communication</t>
  </si>
  <si>
    <t>2011/2011</t>
  </si>
  <si>
    <t>Group1</t>
  </si>
  <si>
    <t>Group 2</t>
  </si>
  <si>
    <t>Emotion</t>
  </si>
  <si>
    <t>Number of Utterances</t>
  </si>
  <si>
    <t>High valenced emotion</t>
  </si>
  <si>
    <t>Low valenced emotions</t>
  </si>
  <si>
    <t>sample size HV (n1)</t>
  </si>
  <si>
    <t>Sample Size (LV) (n2)</t>
  </si>
  <si>
    <t>Happy</t>
  </si>
  <si>
    <t>Wang et al. (2021)</t>
  </si>
  <si>
    <t>happy</t>
  </si>
  <si>
    <t>neutral</t>
  </si>
  <si>
    <t>excited</t>
  </si>
  <si>
    <t>sad</t>
  </si>
  <si>
    <t>frustrated</t>
  </si>
  <si>
    <t>angry</t>
  </si>
  <si>
    <t>Sad</t>
  </si>
  <si>
    <t>accuracy</t>
  </si>
  <si>
    <t>Anger</t>
  </si>
  <si>
    <t>F1</t>
  </si>
  <si>
    <t>Frustration</t>
  </si>
  <si>
    <t>avg_acc</t>
  </si>
  <si>
    <t>Excitement</t>
  </si>
  <si>
    <t>avg_F1</t>
  </si>
  <si>
    <t>Neutral</t>
  </si>
  <si>
    <t>average</t>
  </si>
  <si>
    <t>Angry</t>
  </si>
  <si>
    <t>Recall</t>
  </si>
  <si>
    <t>Ma et al. 2022</t>
  </si>
  <si>
    <t>Surprise</t>
  </si>
  <si>
    <t>joy</t>
  </si>
  <si>
    <t>fear</t>
  </si>
  <si>
    <t>disgust</t>
  </si>
  <si>
    <t>Yousef et al. 2021</t>
  </si>
  <si>
    <t>LV</t>
  </si>
  <si>
    <t>acc</t>
  </si>
  <si>
    <t>numbers</t>
  </si>
  <si>
    <t>f1</t>
  </si>
  <si>
    <t>excitement</t>
  </si>
  <si>
    <t>HV</t>
  </si>
  <si>
    <t xml:space="preserve"> Partaourides 2020</t>
  </si>
  <si>
    <t>Excited</t>
  </si>
  <si>
    <t>Frustrated</t>
  </si>
  <si>
    <t xml:space="preserve">Indonesian </t>
  </si>
  <si>
    <t>1 h 34 min 49 s</t>
  </si>
  <si>
    <t>5689 s</t>
  </si>
  <si>
    <t>1138 samples(every 5 seconds)</t>
  </si>
  <si>
    <t xml:space="preserve">English </t>
  </si>
  <si>
    <t xml:space="preserve">1h 2min 19s </t>
  </si>
  <si>
    <t>3739 s</t>
  </si>
  <si>
    <t>748 samples (every 5 seconds)</t>
  </si>
  <si>
    <t>Xing et al 2022</t>
  </si>
  <si>
    <t>Bhat et al 2021</t>
  </si>
  <si>
    <t>5531 utterance</t>
  </si>
  <si>
    <t>IAAN</t>
  </si>
  <si>
    <t>recall</t>
  </si>
  <si>
    <t>Law et al.</t>
  </si>
  <si>
    <t>large subset 6650</t>
  </si>
  <si>
    <t>low/negative</t>
  </si>
  <si>
    <t>high/positive</t>
  </si>
  <si>
    <t>arousal</t>
  </si>
  <si>
    <t>UAR</t>
  </si>
  <si>
    <t>number of samples</t>
  </si>
  <si>
    <t>valence</t>
  </si>
  <si>
    <t>child parent</t>
  </si>
  <si>
    <t>WAR</t>
  </si>
  <si>
    <t>child</t>
  </si>
  <si>
    <t>parent</t>
  </si>
  <si>
    <t>n=2048</t>
  </si>
  <si>
    <t>Alvarado et al 2021</t>
  </si>
  <si>
    <t>n=2200</t>
  </si>
  <si>
    <t>Hazakaria</t>
  </si>
  <si>
    <t>n=4290</t>
  </si>
  <si>
    <t>Acc</t>
  </si>
  <si>
    <t>Study Name</t>
  </si>
  <si>
    <t>Cross-language validation (transferrability) (1/0)</t>
  </si>
  <si>
    <t>cross-datasets validation (same language) (1/0)</t>
  </si>
  <si>
    <t>Benchmarking (other studies/models) (1/0)</t>
  </si>
  <si>
    <t>Benchmarking (other languages) (1/0)</t>
  </si>
  <si>
    <t>Benchmarking (baselines) (1-5)</t>
  </si>
  <si>
    <t>Complexity of implementation (1-5)</t>
  </si>
  <si>
    <t>Sample size (labels #)(1-5)</t>
  </si>
  <si>
    <t>Reporting completeness  1-5</t>
  </si>
  <si>
    <t>Total Score (24)</t>
  </si>
  <si>
    <t>Total Score (out of 5)</t>
  </si>
  <si>
    <t>Savran et al. (2012)</t>
  </si>
  <si>
    <t>data size: 0-500 (1), 500-1000(2), 1000-2000 (3), 2000-5000(4), &gt;5000 (5)</t>
  </si>
  <si>
    <t>Data preparation( feaures, transforamtion ,reduction , integration, cleaning)</t>
  </si>
  <si>
    <t>Sayedelahl et al. (2013)</t>
  </si>
  <si>
    <t xml:space="preserve">performance evaluation (how many parameters) </t>
  </si>
  <si>
    <t>Wu et al. (2013)</t>
  </si>
  <si>
    <t>Lin et al. (2014)</t>
  </si>
  <si>
    <t>Lubis et al. (2015)</t>
  </si>
  <si>
    <t>Inter- &amp; intraobserver variability: In deep learning, interobserver variability refers to the differences in predictions made by different human annotators or experts when labeling the same set of data. On the other hand, intraobserver variability refers to the differences in predictions made by the same annotator or expert when labeling the same set of data multiple times.</t>
  </si>
  <si>
    <t>Tian_A et al. (2015)</t>
  </si>
  <si>
    <t>Tian_B et al. (2015)</t>
  </si>
  <si>
    <t>Chakraborty et al. (2016)</t>
  </si>
  <si>
    <t>Jamil et al. (2017)</t>
  </si>
  <si>
    <t>Lu et al. (2018)</t>
  </si>
  <si>
    <t>complexity</t>
  </si>
  <si>
    <t>complexity 1:  svm, knn, or any ML/ 2: DNN such as CNN, RNN, /3: advanced DNN such as Renet, Densnet, /4:Hybrid model: multimodal with more than 2 inputs or with attention, /5: transformers</t>
  </si>
  <si>
    <t>Neumann et al. (2018)</t>
  </si>
  <si>
    <t>Hazarika_A et al. (2018)</t>
  </si>
  <si>
    <t>Average after 10 years</t>
  </si>
  <si>
    <t>Hazarika_B et al. (2018)</t>
  </si>
  <si>
    <t>Kovacs et al. (2018)</t>
  </si>
  <si>
    <t>Huang et al. (2018)</t>
  </si>
  <si>
    <t>Zhang et al. (2019)</t>
  </si>
  <si>
    <t>Huang et al. (2019)</t>
  </si>
  <si>
    <t>Yeh et al. (2020)</t>
  </si>
  <si>
    <t>Boateng et al. (2020)</t>
  </si>
  <si>
    <t>Mustaqeem_A et al. (2020)</t>
  </si>
  <si>
    <t>benchmarking</t>
  </si>
  <si>
    <t>Benchmarking can be scored as 1: Poor (incomplete or unreliable process), 2: Fair (established best practices but some limitations), 3: Good (comprehensive and rigorous process), 4: Very good (comprehensive with additional features), and 5: Outstanding (exemplary with valuable insights and contributions).</t>
  </si>
  <si>
    <t>Mustaqeem_B et al. (2020)</t>
  </si>
  <si>
    <t>Jin et al. (2020)</t>
  </si>
  <si>
    <t>Law et al. (2020)</t>
  </si>
  <si>
    <t>learning paradigm: supervised (4/5), unupervised(2/5), reinforcement(3/5), semisupervised (4/5), transfer learning(5/5)</t>
  </si>
  <si>
    <t>Yusuf et al. (2021)</t>
  </si>
  <si>
    <t>Instructions: give a score out of 5 for each of your studies for each parameter</t>
  </si>
  <si>
    <t>Pappagari et al. (2021)</t>
  </si>
  <si>
    <t xml:space="preserve">benchmarking is often used to compare the performance of different models, algorithms </t>
  </si>
  <si>
    <t>Yildirim et al (2021)</t>
  </si>
  <si>
    <t>Quan et al. (2021)</t>
  </si>
  <si>
    <t>Hsu et al. (2021)</t>
  </si>
  <si>
    <t>Xie et al. (2021)</t>
  </si>
  <si>
    <t>Fan et al.(2021)</t>
  </si>
  <si>
    <t>Kharat et al. (2021)</t>
  </si>
  <si>
    <t>Zhang et al. (2021)</t>
  </si>
  <si>
    <t>Lai et al. (2021)</t>
  </si>
  <si>
    <t>Deschamps-Berger et al. (2021)</t>
  </si>
  <si>
    <t>Chen et al. (2021)</t>
  </si>
  <si>
    <t>Liu et al. (2021)</t>
  </si>
  <si>
    <t>Lian et al. (2021)</t>
  </si>
  <si>
    <t>Andayani et al. (2022)</t>
  </si>
  <si>
    <t>Abramov et al. (2022)</t>
  </si>
  <si>
    <t>Waelbers et al. (2022)</t>
  </si>
  <si>
    <t>Arumugam et al. (2022)</t>
  </si>
  <si>
    <t>Nahar et al. (2022)</t>
  </si>
  <si>
    <t>Lian et al. (2022)</t>
  </si>
  <si>
    <t>Latif et al. (2022)</t>
  </si>
  <si>
    <t>Seo et al. (2022)</t>
  </si>
  <si>
    <t xml:space="preserve">performance evaluation </t>
  </si>
  <si>
    <t>1: Poor performance (accuracy, precision, and recall metrics &lt;50%), 2: Fair performance (accuracy, precision, and recall metrics 50%-70%), 3: Good performance (accuracy, precision, and recall metrics 70%-85%), 4: Very good performance (accuracy, precision, and recall metrics 85%-95%), and 5: Outstanding performance (accuracy, precision, and recall metrics &gt;95%).</t>
  </si>
  <si>
    <t>Van et al. (2022)</t>
  </si>
  <si>
    <t>Zhang et al. (2022)</t>
  </si>
  <si>
    <t>Chein et al. (2022)</t>
  </si>
  <si>
    <t>Zou et al. (2022)</t>
  </si>
  <si>
    <t>Fan et al.(2022)</t>
  </si>
  <si>
    <t>Liu et al. (2022)</t>
  </si>
  <si>
    <t>Saffaryazdi et al. (2022)</t>
  </si>
  <si>
    <t>Alhussein et al. (2022)</t>
  </si>
  <si>
    <t>Zhang et al. (2023)</t>
  </si>
  <si>
    <t>Wang et al. (2023)</t>
  </si>
  <si>
    <t xml:space="preserve">Total </t>
  </si>
  <si>
    <t>Lubis et al. (2016)</t>
  </si>
  <si>
    <t>Yeh et al. (2019)</t>
  </si>
  <si>
    <t>Latif et al. (2020)</t>
  </si>
  <si>
    <t>Color code</t>
  </si>
  <si>
    <t>Definite exclusion</t>
  </si>
  <si>
    <t>Probable exclusion</t>
  </si>
  <si>
    <t>Inclusion (categorical)</t>
  </si>
  <si>
    <t>Inclusion (A/V dimensional)</t>
  </si>
  <si>
    <t xml:space="preserve">Studies excluded beacuse of text modality </t>
  </si>
  <si>
    <t>Paper ID</t>
  </si>
  <si>
    <t>Database</t>
  </si>
  <si>
    <t>Reason of Exclusion</t>
  </si>
  <si>
    <t>Majid, Rifqi</t>
  </si>
  <si>
    <t>Conversations Sentiment and Intent Categorization Using Context RNN for Emotion Recognition</t>
  </si>
  <si>
    <t>IEEE Xplore</t>
  </si>
  <si>
    <t>-</t>
  </si>
  <si>
    <t>text conversation, NLP</t>
  </si>
  <si>
    <t> </t>
  </si>
  <si>
    <t>Ghosal, Deepanway</t>
  </si>
  <si>
    <t>COSMIC: COmmonSense knowledge for eMotion Identification in Conversations</t>
  </si>
  <si>
    <t>arXiv</t>
  </si>
  <si>
    <t>Lian, Zheng</t>
  </si>
  <si>
    <t>CTNET: Conversational Transformer Network for Emotion Recognition</t>
  </si>
  <si>
    <t>audio, text</t>
  </si>
  <si>
    <t>CTNet: Multimodal attention-based network, bi-directional GRU</t>
  </si>
  <si>
    <t>IEMOCAP: 5531 utt. (4-way), 7433 utt. (6-way) /  MELD: 13708 utt.</t>
  </si>
  <si>
    <t>IEMOCAP:mix-gender (5F,5M), MELD: mix-gender</t>
  </si>
  <si>
    <t>IEMOCAP: 20-30</t>
  </si>
  <si>
    <t xml:space="preserve">categorical: IEMOCAP: 1) 4-way angry, happy, sad, neutral2), 6-way (happy, sad, neutral, angry, excited, frustrated) / MELD: angry, joy, sad, neutral, disgust, fear surprise </t>
  </si>
  <si>
    <t>IEMOCAP:4-way (5531 utt.)</t>
  </si>
  <si>
    <t>WAA</t>
  </si>
  <si>
    <t>UAA</t>
  </si>
  <si>
    <t>WAF1</t>
  </si>
  <si>
    <t>Unimodal &amp; Bimodal Results</t>
  </si>
  <si>
    <t>Group2</t>
  </si>
  <si>
    <t>High valenced emotions</t>
  </si>
  <si>
    <t>Text only</t>
  </si>
  <si>
    <t xml:space="preserve">neutral </t>
  </si>
  <si>
    <t xml:space="preserve">happy(happy+excited) </t>
  </si>
  <si>
    <t xml:space="preserve">sad </t>
  </si>
  <si>
    <t xml:space="preserve">angry </t>
  </si>
  <si>
    <t>Audio only</t>
  </si>
  <si>
    <t>Total Samples</t>
  </si>
  <si>
    <t>A+T</t>
  </si>
  <si>
    <t>IEMOCAP:6-way (7433)</t>
  </si>
  <si>
    <t>UAF1</t>
  </si>
  <si>
    <t xml:space="preserve">happy </t>
  </si>
  <si>
    <t xml:space="preserve">excited </t>
  </si>
  <si>
    <t>Train Samples</t>
  </si>
  <si>
    <t>Tot.Samples</t>
  </si>
  <si>
    <t>MELD: 7-way (13708)</t>
  </si>
  <si>
    <t xml:space="preserve">joy </t>
  </si>
  <si>
    <t xml:space="preserve">surprise </t>
  </si>
  <si>
    <t xml:space="preserve">fear </t>
  </si>
  <si>
    <t xml:space="preserve">disgust </t>
  </si>
  <si>
    <t>DECN: Dialogical emotion correction network for conversational emotion recognition</t>
  </si>
  <si>
    <t>ScienceDirect</t>
  </si>
  <si>
    <t>DECN, GNN-based enhancement upon other classifiers</t>
  </si>
  <si>
    <t xml:space="preserve">categorical: IEMOCAP: 1) 4-way angry, happy, sad, neutral) / MELD: angry, joy, sad, neutral, disgust, fear surprise </t>
  </si>
  <si>
    <t>no distinct emotion</t>
  </si>
  <si>
    <t>SVM + DECN: BERT-based features</t>
  </si>
  <si>
    <t>Li, Z</t>
  </si>
  <si>
    <t>Developing Relationships: A Heterogeneous Graph Network with Learnable Edge Representation for Emotion Identification in Conversations</t>
  </si>
  <si>
    <t>Springer</t>
  </si>
  <si>
    <t>not accesible</t>
  </si>
  <si>
    <t>Hu, Dou</t>
  </si>
  <si>
    <t>DialogueCRN: Contextual Reasoning Networks for Emotion Recognition in Conversations</t>
  </si>
  <si>
    <t>arXiv,ACM</t>
  </si>
  <si>
    <t>text</t>
  </si>
  <si>
    <t>DialogueGCN: A Graph Convolutional Neural Network for Emotion Recognition in Conversation</t>
  </si>
  <si>
    <t>Majumder, Navonil</t>
  </si>
  <si>
    <t>DialogueRNN: An Attentive RNN for Emotion Detection in Conversations</t>
  </si>
  <si>
    <t>text,audio,video</t>
  </si>
  <si>
    <t>DialogueRNN: combination of GRUs + attention mechanisms</t>
  </si>
  <si>
    <t>IEMOCAP: 7433, AVEC: 5798</t>
  </si>
  <si>
    <t>IEMOCAP, AVEC (SEMAINE modification)</t>
  </si>
  <si>
    <t>62.9 (A+V+T)</t>
  </si>
  <si>
    <t>IEMOCAP:mix-gender (5F,5M)</t>
  </si>
  <si>
    <t>categorical: 6-way (happy, sad, neutral, angry, excited, frustrated)</t>
  </si>
  <si>
    <t>AVEC is excluded because it contains continuous targets for Valence/Arousal; they handle it through regression</t>
  </si>
  <si>
    <t>Text Modality Only - 6-way IEMOCAP - 7433 utt.</t>
  </si>
  <si>
    <t>Total Weighted Average</t>
  </si>
  <si>
    <t>63.02 (different model)</t>
  </si>
  <si>
    <t>35.42(different model)</t>
  </si>
  <si>
    <t>63.4 (WAA)</t>
  </si>
  <si>
    <t>62.75 (WAF1)</t>
  </si>
  <si>
    <t>Audio + Video + Text Modalities</t>
  </si>
  <si>
    <t>F1: 62.9</t>
  </si>
  <si>
    <t>Kang, Junjun</t>
  </si>
  <si>
    <t>DialogueTRGAT: Temporal and Relational Graph Attention Network for Emotion Recognition in Conversations</t>
  </si>
  <si>
    <t>Shen, Weizhou</t>
  </si>
  <si>
    <t>Directed Acyclic Graph Network for Conversational Emotion Recognition</t>
  </si>
  <si>
    <t>Directed Acyclic Graph-based GNN</t>
  </si>
  <si>
    <t>Kumar, Shivani</t>
  </si>
  <si>
    <t>Discovering Emotion and Reasoning its Flip in Multi-Party Conversations using Masked Memory Network and Transformer</t>
  </si>
  <si>
    <t>text conversation, NLP + task is not ER but Emotion Flip Recognition</t>
  </si>
  <si>
    <t>Wu, Wen</t>
  </si>
  <si>
    <t>Distribution-based Emotion Recognition in Conversation</t>
  </si>
  <si>
    <t>IEEEXplore</t>
  </si>
  <si>
    <t>text,audio</t>
  </si>
  <si>
    <t>Transformer-based Emotion Distribution-based network, with a novel Dirichlet prior network-based loss that retains uncertainty in the original labels. Fusion with bilinear-pooling (Leave-one-session-out 5fold CV)</t>
  </si>
  <si>
    <t>IEMOCAP:10039</t>
  </si>
  <si>
    <t>categorical: 4-way (happy+excited,sad,neutral,angry), 5-way, the same plus "others" -all other classes in IEMOCAP</t>
  </si>
  <si>
    <t>DPN-KL / SOFT</t>
  </si>
  <si>
    <t>WAA (DPN-KL)</t>
  </si>
  <si>
    <t>77.83 +- 2.07</t>
  </si>
  <si>
    <t>UAA (SOFT)</t>
  </si>
  <si>
    <t>78.16 +- 2.88</t>
  </si>
  <si>
    <t>IEMOCAP: 5-way (10039 utt.)</t>
  </si>
  <si>
    <t xml:space="preserve"> DPN-KL  </t>
  </si>
  <si>
    <t>63.63 +-2.43</t>
  </si>
  <si>
    <t xml:space="preserve">UAA </t>
  </si>
  <si>
    <t>63.12+-3.30</t>
  </si>
  <si>
    <t xml:space="preserve">AUPR </t>
  </si>
  <si>
    <t>81.17 +-2.02</t>
  </si>
  <si>
    <t>Ma, Hongchao</t>
  </si>
  <si>
    <t>Domain Adversarial Network for Cross-Domain Emotion Recognition in Conversation</t>
  </si>
  <si>
    <t>MDPI (found in Google Scholar?)</t>
  </si>
  <si>
    <t>Li, Wei</t>
  </si>
  <si>
    <t>ECPEC: Emotion Cause Pair Extraction in Conversations</t>
  </si>
  <si>
    <t>context only</t>
  </si>
  <si>
    <t>Jiang, Lei</t>
  </si>
  <si>
    <t>Electroencephalogram signals emotion recognition based on convolutional neural network-recurrent neural network framework with channel-temporal attention mechanism for older adults</t>
  </si>
  <si>
    <t>EBSCO/WoS</t>
  </si>
  <si>
    <t>EEG</t>
  </si>
  <si>
    <t>only the EEG from the one party is analyzed, the conversing party is not recorded</t>
  </si>
  <si>
    <t>Singh, Gopendra Vikram</t>
  </si>
  <si>
    <t>EmoInt-Trans: A Multimodal Transformer for Identifying Emotions and Intents in Social Conversations</t>
  </si>
  <si>
    <t>audio, video, text</t>
  </si>
  <si>
    <t>Feature Extraction: T - Bi-LSTM,A - OpenSmile, V - 3D ResNeXt. Unimodal Repr.: Contextual Transformer -&gt; Fusion w MISA -&gt; Contextual Transformer</t>
  </si>
  <si>
    <t>724756 utt. (250 movies, 32223 dialogues)</t>
  </si>
  <si>
    <t>EmoInt-MD</t>
  </si>
  <si>
    <t>mixed gender</t>
  </si>
  <si>
    <t>NA</t>
  </si>
  <si>
    <t>categorical Emotion and Intent detection: 32 emotional categories, 15 intent</t>
  </si>
  <si>
    <t>Emotion (all 32)</t>
  </si>
  <si>
    <t>Empathetic Intent (15)</t>
  </si>
  <si>
    <t>Acc.</t>
  </si>
  <si>
    <t>A+T+V</t>
  </si>
  <si>
    <t xml:space="preserve"> T</t>
  </si>
  <si>
    <t>A</t>
  </si>
  <si>
    <t>V</t>
  </si>
  <si>
    <t>T+A (conTransformer)</t>
  </si>
  <si>
    <t>T+V (conTransformer)</t>
  </si>
  <si>
    <t>A+V (conTransformer)</t>
  </si>
  <si>
    <t>Single-Task</t>
  </si>
  <si>
    <t>Ondas, Stanislav</t>
  </si>
  <si>
    <t>Emotion Analysis in DiaCoSk Dialog Corpus</t>
  </si>
  <si>
    <t>Slovak</t>
  </si>
  <si>
    <t>contains context only</t>
  </si>
  <si>
    <t>Dave, Chandni</t>
  </si>
  <si>
    <t>Emotion Detection in Conversation Using Class Weights</t>
  </si>
  <si>
    <t>Bi-LSTM + DialogueRNN combined with class weighting</t>
  </si>
  <si>
    <t>IEMOCAP &amp; DailyDialog: English</t>
  </si>
  <si>
    <t>IEMOCAP: 7433 utt., DailyDialog: 13118 utt.</t>
  </si>
  <si>
    <t>IEMOCAP, DailyDialog</t>
  </si>
  <si>
    <t>5F,5M</t>
  </si>
  <si>
    <t>6-way (happy, sad, neutral, angry, excited,frustrated)</t>
  </si>
  <si>
    <t>contains context</t>
  </si>
  <si>
    <t>Average Scores For All Emotions</t>
  </si>
  <si>
    <t>IEMOCAP:6-way (7433) (A+T+V)</t>
  </si>
  <si>
    <t>DailyDialog (text only)</t>
  </si>
  <si>
    <t>biLSTM</t>
  </si>
  <si>
    <t xml:space="preserve"> DialogueRNN </t>
  </si>
  <si>
    <t>Gupta, Priyansh</t>
  </si>
  <si>
    <t>Emotion Recognition during Social Interactions Using Peripheral Physiological Signals</t>
  </si>
  <si>
    <t>Peripheral Signals</t>
  </si>
  <si>
    <t>MachineLearning, Handcrafted Fex</t>
  </si>
  <si>
    <t>Saffarayazdi, Nastaran</t>
  </si>
  <si>
    <t>Emotion Recognition in Conversations Using Brain and Physiological Signals</t>
  </si>
  <si>
    <t xml:space="preserve">Scopus/Google Scholar (ACM) </t>
  </si>
  <si>
    <t>EEG, PPG,GSR</t>
  </si>
  <si>
    <t>1) ML+Handcrafted Features: RandomForest. 2) LSTM, 3) Decision level Fusion</t>
  </si>
  <si>
    <t>23 volunteers</t>
  </si>
  <si>
    <t>Custom dataset of induced emotions in interview conversation</t>
  </si>
  <si>
    <t>13F,10M</t>
  </si>
  <si>
    <t>21-44</t>
  </si>
  <si>
    <t>Arousal/Valence AND 5 categories: happy,sad,anger,fear,neutral</t>
  </si>
  <si>
    <t>Average F1</t>
  </si>
  <si>
    <t>Subject-Dependent</t>
  </si>
  <si>
    <t>Subject-Independent</t>
  </si>
  <si>
    <t>Arousal</t>
  </si>
  <si>
    <t>Valence</t>
  </si>
  <si>
    <t>Cat. Emotion</t>
  </si>
  <si>
    <t>56.2 (RF)</t>
  </si>
  <si>
    <t>GSR</t>
  </si>
  <si>
    <t>61.1 (RF)</t>
  </si>
  <si>
    <t>PPG</t>
  </si>
  <si>
    <t>51.7 (RF)</t>
  </si>
  <si>
    <t>Fusion</t>
  </si>
  <si>
    <t>Gao, Qingqing</t>
  </si>
  <si>
    <t>Emotion Recognition in conversations with emotion shift detection based on multi-task learning</t>
  </si>
  <si>
    <t>DailyDialog, MELD</t>
  </si>
  <si>
    <t>Tian, Leimin</t>
  </si>
  <si>
    <t>Emotion Recognition in Spontaneous and Acted Dialogues</t>
  </si>
  <si>
    <t>audio,text</t>
  </si>
  <si>
    <t>IEMOCAP:10037, AVEC:49874</t>
  </si>
  <si>
    <t>IEMOCAP, AVEC2012 (part of SEMAINE)</t>
  </si>
  <si>
    <t>IEMOCAP: 5F,5M / AVEC: 24 subjects</t>
  </si>
  <si>
    <t>Dimensional: AVEC - low[-1,-0.333]/medium[-0.333,0.333]/high[0.333,1] A/V. IEMOCAP - low(&lt;3)/medium(=3)/high(&gt;3) A/V</t>
  </si>
  <si>
    <t>AVEC exluded because it has conversation with virtual agent</t>
  </si>
  <si>
    <t>Weigted F1 of the 3 predicted A/V levels</t>
  </si>
  <si>
    <t>AVEC2012 (49874 utt.)</t>
  </si>
  <si>
    <t>IEMOCAP (10037 utt.)</t>
  </si>
  <si>
    <t>Expectancy</t>
  </si>
  <si>
    <t>Power</t>
  </si>
  <si>
    <t>Mean</t>
  </si>
  <si>
    <t>textual</t>
  </si>
  <si>
    <t>40.7(SVM)</t>
  </si>
  <si>
    <t>60.8 (SVM)</t>
  </si>
  <si>
    <t>67.5(SVM)</t>
  </si>
  <si>
    <t>59.2(SVM)</t>
  </si>
  <si>
    <t>60(SVM)</t>
  </si>
  <si>
    <t>65.2 (SVM)</t>
  </si>
  <si>
    <t>53.8 (SVM)</t>
  </si>
  <si>
    <t>53.5 (SVM)</t>
  </si>
  <si>
    <t>57.5 (SVM)</t>
  </si>
  <si>
    <t>fusion</t>
  </si>
  <si>
    <t>Lin, Jen-Chun</t>
  </si>
  <si>
    <t>Emotion Recognition of Conversational Affective Speech Using Temporal Course Modeling-based Error Weighted Cross-Correlation Model</t>
  </si>
  <si>
    <t>TCM-EWCCM</t>
  </si>
  <si>
    <t>Chinese?</t>
  </si>
  <si>
    <t>NCKU-CASC: National Cheng Kung University Conversation-based Affective Speech Corpus</t>
  </si>
  <si>
    <t>ACC:Prosodic: 83.75, Prosodic + Acoustic: 85.37</t>
  </si>
  <si>
    <t>46M,7F</t>
  </si>
  <si>
    <t>students</t>
  </si>
  <si>
    <t>Categorical: 4 - happy,angry,sad,neutral</t>
  </si>
  <si>
    <t>Kharat, Ajay</t>
  </si>
  <si>
    <t>Emotion Recognition Using Multimodalities</t>
  </si>
  <si>
    <t xml:space="preserve">ML and DL(MLP,CNN,LSTM) models </t>
  </si>
  <si>
    <t>mix gender</t>
  </si>
  <si>
    <t>Categorical: 7 angry, joy, sad, neutral, disgust, fear, surprise</t>
  </si>
  <si>
    <t>MELD - 13000 utt.</t>
  </si>
  <si>
    <t>Total W-Avg</t>
  </si>
  <si>
    <t>surprise</t>
  </si>
  <si>
    <t>text+audio</t>
  </si>
  <si>
    <t>Unweighted Avg. F1</t>
  </si>
  <si>
    <t>Emotion Recognition with Conversational Generation Transfer</t>
  </si>
  <si>
    <t>Scopus/Google Scholar (ACM)</t>
  </si>
  <si>
    <t>MELD,IEMOCAP,DailyDialog</t>
  </si>
  <si>
    <t>Alhussein, Ghada</t>
  </si>
  <si>
    <t>Emotional Climate Recognition in Interactive Conversational Speech Using Deep Learning</t>
  </si>
  <si>
    <t>CNN, Bi-LSTM,CNN-BiLSTM</t>
  </si>
  <si>
    <t>20M,12F</t>
  </si>
  <si>
    <t>23-36</t>
  </si>
  <si>
    <t>Categorical Dimensional: High/Low Arousal &amp; Valence (High &gt;= 2.5,Low &lt;2.5) - 1-5 scale</t>
  </si>
  <si>
    <t>does not have distinction between high/low valenced emotion</t>
  </si>
  <si>
    <t>Method</t>
  </si>
  <si>
    <t>Sens.</t>
  </si>
  <si>
    <t>Spec.</t>
  </si>
  <si>
    <t>Song, Xiaohui</t>
  </si>
  <si>
    <t>EMOTIONFLOW: Capture the Dialogue Level Emotion Transitions</t>
  </si>
  <si>
    <t>Deschamps-Berger, Theo</t>
  </si>
  <si>
    <t>End-to-End Speech Emotion Recognition: Challenges of Real-Life Emergency Call Centers Data Recordings</t>
  </si>
  <si>
    <t>Temporal CNN-BiLSTM</t>
  </si>
  <si>
    <t>French,English</t>
  </si>
  <si>
    <t>IEMOCAP:2280 utt., CEMO: 4825</t>
  </si>
  <si>
    <t xml:space="preserve">CEMO - Medical emergency center, IEMOCAP </t>
  </si>
  <si>
    <t>CEMO: 159M,326F, IEMOCAP:5F,5M</t>
  </si>
  <si>
    <t>IEMOCAP: 4 categories - happy,sad,anger,neutral. CEMO: 4 categories - neutral, anger(annoyance,impatience,hot anger,cold anger), positive(interest,compassion,amusement,relief), fear(fear,anxiety,stress,panic,embarassment,dismay)</t>
  </si>
  <si>
    <t>4 categories - IEMOCAP: 2280 utt. (happy,sad,angry,neutral)</t>
  </si>
  <si>
    <t>UA Recall (Unweighted Accuracy Recall)</t>
  </si>
  <si>
    <t>WA Recall (Unweighted Accuracy Recall)</t>
  </si>
  <si>
    <t>2 categories - IEMOCAP: utt. (angry,neutral)</t>
  </si>
  <si>
    <t>4 categories - CEMO: 4825 (fear,anger,positive,neutral)</t>
  </si>
  <si>
    <t>UA Recall</t>
  </si>
  <si>
    <t>WA Recall</t>
  </si>
  <si>
    <t>3 categories - CEMO (anger,positive,neutral)</t>
  </si>
  <si>
    <t>3 categories - CEMO (negative(anger+fear) ,positive,neutral)</t>
  </si>
  <si>
    <t>2 categories - CEMO (anger, neutral)</t>
  </si>
  <si>
    <t>2 categories - CEMO (negative (anger+fear), neutral)</t>
  </si>
  <si>
    <t>2 categories - CEMO (positive, neutral)</t>
  </si>
  <si>
    <t>2 categories - Trained on IEMOCAP, test on CEMO (angry, neutral)</t>
  </si>
  <si>
    <t>Zhong, Zebin</t>
  </si>
  <si>
    <t>Environment and Speaker Related Emotion Recognition in Conversations</t>
  </si>
  <si>
    <t>Scopus/GoogleScholar (ACM)</t>
  </si>
  <si>
    <t>Wei,Wen-Li</t>
  </si>
  <si>
    <t>Exploiting Psychological Factors for Interaction Style Recognition in Spoken Conversation</t>
  </si>
  <si>
    <t xml:space="preserve">Fused Cross-Correlation Model </t>
  </si>
  <si>
    <t>NCKU-CASC: National Cheng Kung University</t>
  </si>
  <si>
    <t>Categorical: 4 - happy,angry,sad,neutral. 2 - High/low Arousal: happy,angry / sad, neutral</t>
  </si>
  <si>
    <t>4 categories - Happy,Sad,Neutral,Angry</t>
  </si>
  <si>
    <t>Avg.Accuracy</t>
  </si>
  <si>
    <t>HV/LV Acc.</t>
  </si>
  <si>
    <t>Sum</t>
  </si>
  <si>
    <t>2 categories - High / Low Arousal (high:happy,angry, low:sad,neutral))</t>
  </si>
  <si>
    <t>Han, Jing</t>
  </si>
  <si>
    <t>Exploring Perception Uncertainty for Emotion Recognition in Dyadic Conversation and Music Listening</t>
  </si>
  <si>
    <t>Continuous Arousal/Valence prediction with RNN w GRU</t>
  </si>
  <si>
    <t>RECOLA: French,Italian,German</t>
  </si>
  <si>
    <t>16F,11M</t>
  </si>
  <si>
    <t>Mean age: 21.4</t>
  </si>
  <si>
    <t>Continuous Arousal/Valence</t>
  </si>
  <si>
    <t>maybe exclude bcs of continuous targets</t>
  </si>
  <si>
    <t>CCC- Audio</t>
  </si>
  <si>
    <t>CCC- Video 1 (appearance)</t>
  </si>
  <si>
    <t>CCC- Video 2 (geometric)</t>
  </si>
  <si>
    <t>Guibon, Gael</t>
  </si>
  <si>
    <t>Few-Shot Emotion Recognition in Conversation with Sequential Prototypical Networks</t>
  </si>
  <si>
    <t>Xu, Hua</t>
  </si>
  <si>
    <t>GAR-Net: A Graph Attention Reasoning Network for Conversation Understanding</t>
  </si>
  <si>
    <t>Graph Attention Reasoning Network</t>
  </si>
  <si>
    <t>IEMOCAP: 10037, MELD: 13000</t>
  </si>
  <si>
    <t>IEMOCAP,MELD, DailyDialog, MultiWOZ</t>
  </si>
  <si>
    <t xml:space="preserve">categorical: IEMOCAP: 6-way (happy, sad, neutral, angry, excited, frustrated) / MELD: angry, joy, sad, neutral, disgust, fear,  surprise </t>
  </si>
  <si>
    <t>Text + Audio</t>
  </si>
  <si>
    <t>W-Avg F1</t>
  </si>
  <si>
    <t>Text-Only IEMOCAP 6 (Happy,sad,neutral,angry,excited,frustrated)</t>
  </si>
  <si>
    <t>Text-Only</t>
  </si>
  <si>
    <t>Ruan, Yu-Ping</t>
  </si>
  <si>
    <t>Hierarchical and Multi-View Dependency Modelling Network for Conversational Emotion Recognition</t>
  </si>
  <si>
    <t>not accessible</t>
  </si>
  <si>
    <t>Jin Xiao</t>
  </si>
  <si>
    <t>Hierarchical Multimodal Transformer with Localness and Speaker Aware Attention for Emotion Recognition in Conversations</t>
  </si>
  <si>
    <t>HMT-LSA</t>
  </si>
  <si>
    <t>MELD: angry, joy, sad, neutral, disgust, fear, surprise</t>
  </si>
  <si>
    <t>Liu, Jiaxing</t>
  </si>
  <si>
    <t>Time-Frequency Representation Learning with Graph Convolutional Network
for Dialogue-level Speech Emotion Recognition</t>
  </si>
  <si>
    <t>InterSpeech 2021</t>
  </si>
  <si>
    <t>Excluded: Sample size of each emotion category does not agree with other works. Confusion matrix numbers do not add up to 1 in rows. In general, spurious numbers, so better exlude instead of including inaccurate result</t>
  </si>
  <si>
    <t>IEMOCAP - 5531 utt.</t>
  </si>
  <si>
    <t>Predicted Class</t>
  </si>
  <si>
    <t>TP</t>
  </si>
  <si>
    <t>TN</t>
  </si>
  <si>
    <t>FP</t>
  </si>
  <si>
    <t>FN</t>
  </si>
  <si>
    <t>TP+FN</t>
  </si>
  <si>
    <t>Recall / Sens.</t>
  </si>
  <si>
    <t>Actual Class</t>
  </si>
  <si>
    <t>F1-Score</t>
  </si>
  <si>
    <t>Recall/Sensitivity</t>
  </si>
  <si>
    <t>Macro F1 (Unweighted)</t>
  </si>
  <si>
    <t>Weighted F1</t>
  </si>
  <si>
    <t>Unw. Avg. Acc.</t>
  </si>
  <si>
    <t>Unw. Avg. Rec.</t>
  </si>
  <si>
    <t>Unw. Avg.Prec.</t>
  </si>
  <si>
    <t>Unw. Avg. Spec.</t>
  </si>
  <si>
    <t>Zhang, Yuxin</t>
  </si>
  <si>
    <t>An Effective Deep Learning Approach for Dialogue Emotion Recognition in Car-hailing Platform</t>
  </si>
  <si>
    <t>MFCCs, CNN</t>
  </si>
  <si>
    <t>mix-gender (2F,5M)</t>
  </si>
  <si>
    <t>Categorical(3):happy,angry,neutral</t>
  </si>
  <si>
    <t>Recall.</t>
  </si>
  <si>
    <t>Prec.</t>
  </si>
  <si>
    <t>High-valenced</t>
  </si>
  <si>
    <t>Low-valenced (anger)</t>
  </si>
  <si>
    <t>Unweighted F1</t>
  </si>
  <si>
    <t>Unweighted Recall</t>
  </si>
  <si>
    <t>Unweighted Precision</t>
  </si>
  <si>
    <t>Andayani, Felicia</t>
  </si>
  <si>
    <t>Recognition of Emotion in Speech-related Audio Files with LSTM-Transformer</t>
  </si>
  <si>
    <t>MFCCs,LSTM-Transformer</t>
  </si>
  <si>
    <t xml:space="preserve">1440 utt. </t>
  </si>
  <si>
    <t xml:space="preserve">mix-gender </t>
  </si>
  <si>
    <t>Categorical (8): anger, calm, disgust, fear, happiness, sadness, surprised, neutral</t>
  </si>
  <si>
    <t>Sample size</t>
  </si>
  <si>
    <t>surprised</t>
  </si>
  <si>
    <t>High-Valenced Sample Size</t>
  </si>
  <si>
    <t>calm</t>
  </si>
  <si>
    <t>Low-Valenced Sample Size</t>
  </si>
  <si>
    <t>Jamil, Nursuriati</t>
  </si>
  <si>
    <t>Influences of Age in Emotion Recognition of Spontaneous Speech</t>
  </si>
  <si>
    <t>Prosodic features, Random Forest</t>
  </si>
  <si>
    <t>mix-gender: 15M,15F</t>
  </si>
  <si>
    <t>Age 6-12: 5M,5F / 18-35: 5M,5F / 36-55: 5M,5F</t>
  </si>
  <si>
    <t>Arumugam, Balaji</t>
  </si>
  <si>
    <t xml:space="preserve">Multimodal Attentive Learning for Real-time
Explainable Emotion Recognition in Conversations
</t>
  </si>
  <si>
    <t>Audio, video (,text)</t>
  </si>
  <si>
    <t>7433 utt. / 13700 utt.</t>
  </si>
  <si>
    <t>Categorical (6 &amp; 7)</t>
  </si>
  <si>
    <t>audio + video</t>
  </si>
  <si>
    <t>Nahar, Mahjabin</t>
  </si>
  <si>
    <t>A Deep Ensemble Approach of Anger Detection from Audio-Textual Conversations</t>
  </si>
  <si>
    <t>OpenSMILE &amp; raw audio features with Sinc-Net, Gender CNN classifier, Offline: CNN &amp; attention classifier, Online: Spatio-temporal transformer, Both: XGBoost as final classifier</t>
  </si>
  <si>
    <t>Beng: 23766, IE: 10039</t>
  </si>
  <si>
    <t>Categorical (2): anger, other</t>
  </si>
  <si>
    <t>Other</t>
  </si>
  <si>
    <t>Data preparation (1/0)</t>
  </si>
  <si>
    <t>Data size (1-5)</t>
  </si>
  <si>
    <t>Performance evaluation 1-5</t>
  </si>
  <si>
    <t>Zhang et al.(2022)</t>
  </si>
  <si>
    <t>Xie et al.(2021)</t>
  </si>
  <si>
    <t>Zou et al.(2022)</t>
  </si>
  <si>
    <t>Wang et al.(2023)</t>
  </si>
  <si>
    <t>Fan et al. (2021)</t>
  </si>
  <si>
    <t>Fan et al. (2022)</t>
  </si>
  <si>
    <t>verbal, nonverbal speech</t>
  </si>
  <si>
    <t>SVM, ResNets, LSTM based sequence to sequence model</t>
  </si>
  <si>
    <t>Features extracted using open smile</t>
  </si>
  <si>
    <t>GRU, LSTM and attention</t>
  </si>
  <si>
    <t>Hazarika (2018)</t>
  </si>
  <si>
    <t>ICON:Interactive Conversational Memory Network for Multimodal Emotion Detection</t>
  </si>
  <si>
    <t>language (trasnscripts), audio, video</t>
  </si>
  <si>
    <t>multimodal features from video</t>
  </si>
  <si>
    <t>GRU(feature extraction: text:CNN, Audio:open smile, Video:3D-CNN)</t>
  </si>
  <si>
    <t>audio, context- multimodal</t>
  </si>
  <si>
    <t>audio features, conversational context, speakers context</t>
  </si>
  <si>
    <t>Hu(2022)</t>
  </si>
  <si>
    <t>MM_DFN: Multimodal dynamic fusion network for emotion recognition in convesations</t>
  </si>
  <si>
    <t>audio, text, video</t>
  </si>
  <si>
    <t>Graph based dynamic fusion model-MM-DFN</t>
  </si>
  <si>
    <t>7433 utterances</t>
  </si>
  <si>
    <t>13708 utterances</t>
  </si>
  <si>
    <t>Lian(2022)</t>
  </si>
  <si>
    <t>IEEE</t>
  </si>
  <si>
    <t>PIRNET: Personality enhanced iterative refinement network for emotion recognition in conversation</t>
  </si>
  <si>
    <t>Bidirectional gated recurrent unit (GRU)</t>
  </si>
  <si>
    <t>Excluded from meta-analysis</t>
  </si>
  <si>
    <t>Zhang (2022)</t>
  </si>
  <si>
    <t>IEMOCAP dataset</t>
  </si>
  <si>
    <r>
      <rPr>
        <sz val="11"/>
        <color rgb="FF000000"/>
        <rFont val="Calibri"/>
        <family val="2"/>
      </rPr>
      <t xml:space="preserve">Model: </t>
    </r>
    <r>
      <rPr>
        <b/>
        <sz val="11"/>
        <color rgb="FF000000"/>
        <rFont val="Calibri"/>
        <family val="2"/>
      </rPr>
      <t>DAG+Bi-C3ER</t>
    </r>
  </si>
  <si>
    <t xml:space="preserve">Excited </t>
  </si>
  <si>
    <t>MELD dataset</t>
  </si>
  <si>
    <r>
      <rPr>
        <sz val="11"/>
        <color rgb="FF000000"/>
        <rFont val="Calibri"/>
        <family val="2"/>
      </rPr>
      <t>Model:</t>
    </r>
    <r>
      <rPr>
        <b/>
        <sz val="11"/>
        <color rgb="FF000000"/>
        <rFont val="Calibri"/>
        <family val="2"/>
      </rPr>
      <t>DAG+Bi+C3ER</t>
    </r>
  </si>
  <si>
    <t>Joy</t>
  </si>
  <si>
    <t>Fear</t>
  </si>
  <si>
    <t>Disgust</t>
  </si>
  <si>
    <t>Average</t>
  </si>
  <si>
    <t>Hsu(2021)</t>
  </si>
  <si>
    <t>Number</t>
  </si>
  <si>
    <t>Digust</t>
  </si>
  <si>
    <t>subset of dataset: conversation to conversation (C to C)</t>
  </si>
  <si>
    <t>model:GRU</t>
  </si>
  <si>
    <t>Unweighted average recall (UAR)</t>
  </si>
  <si>
    <t>speaking turns</t>
  </si>
  <si>
    <t>Zou(2022)</t>
  </si>
  <si>
    <t>Video</t>
  </si>
  <si>
    <t>ICON model</t>
  </si>
  <si>
    <t>Total number</t>
  </si>
  <si>
    <t>Wang(2023)</t>
  </si>
  <si>
    <t>Multimodal</t>
  </si>
  <si>
    <t>Voice only</t>
  </si>
  <si>
    <t>Model: MM-DFN</t>
  </si>
  <si>
    <t>Fan (2021)</t>
  </si>
  <si>
    <t>Saffaryazdi et al.</t>
  </si>
  <si>
    <t>Tian et al.</t>
  </si>
  <si>
    <t>Kharat et al.</t>
  </si>
  <si>
    <t>Alhussein et al.</t>
  </si>
  <si>
    <t>Jin et al.</t>
  </si>
  <si>
    <t>Scoring Instructions</t>
  </si>
  <si>
    <t>Data size (#samples): 0-500 (1), 500-1000(2), 1000-2000 (3), 2000-5000(4), &gt;5000 (5)</t>
  </si>
  <si>
    <t>For scores that are binary: was done (1) / not done (0)</t>
  </si>
  <si>
    <t>Benchmarking (baseline methods) - 1: Poor (incomplete or unreliable process), 2: Fair (established best practices but some limitations), 3: Good (comprehensive and rigorous process), 4: Very good (comprehensive with additional features), and 5: Outstanding (exemplary with valuable insights and contributions).</t>
  </si>
  <si>
    <t>Complexity of implementation -  1:  svm, knn, or any ML/ 2: DNN such as CNN, RNN, /3: advanced DNN such as Renet, Densnet, /4:Hybrid model: multimodal with more than 2 inputs or with attention, /5: transformers</t>
  </si>
  <si>
    <t>Performance evaluation - 1: Poor performance (accuracy, precision, and recall metrics &lt;50%), 2: Fair performance (accuracy, precision, and recall metrics 50%-70%), 3: Good performance (accuracy, precision, and recall metrics 70%-85%), 4: Very good performance (accuracy, precision, and recall metrics 85%-95%), and 5: Outstanding performance (accuracy, precision, and recall metrics &gt;95%).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</si>
</sst>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Calibri"/>
      <family val="2"/>
      <scheme val="minor"/>
    </font>
    <font>
      <sz val="9.6"/>
      <color rgb="FF374151"/>
      <name val="Segoe UI"/>
      <family val="2"/>
    </font>
    <font>
      <sz val="11"/>
      <color theme="1"/>
      <name val="Calibri Light"/>
      <family val="2"/>
      <scheme val="major"/>
    </font>
    <font>
      <sz val="11"/>
      <color rgb="FF374151"/>
      <name val="Calibri Light"/>
      <family val="2"/>
      <scheme val="major"/>
    </font>
    <font>
      <sz val="11"/>
      <color rgb="FF000000"/>
      <name val="Calibri"/>
      <family val="2"/>
    </font>
    <font>
      <b/>
      <sz val="11"/>
      <color rgb="FF000000"/>
      <name val="Calibri"/>
      <family val="2"/>
    </font>
    <font>
      <sz val="11"/>
      <color rgb="FF595959"/>
      <name val="Calibri"/>
      <family val="2"/>
      <scheme val="minor"/>
    </font>
    <font>
      <sz val="8"/>
      <name val="Calibri"/>
      <family val="2"/>
      <scheme val="minor"/>
    </font>
    <font>
      <sz val="8"/>
      <color rgb="FF374151"/>
      <name val="Segoe UI"/>
      <family val="2"/>
    </font>
    <font>
      <b/>
      <sz val="9.6"/>
      <color rgb="FF374151"/>
      <name val="Segoe UI"/>
      <family val="2"/>
    </font>
    <font>
      <sz val="11"/>
      <color rgb="FFFF0000"/>
      <name val="Calibri"/>
      <family val="2"/>
      <scheme val="minor"/>
    </font>
    <font>
      <sz val="8"/>
      <color theme="1"/>
      <name val="Arial"/>
      <family val="2"/>
    </font>
    <font>
      <b/>
      <sz val="9.6"/>
      <color rgb="FF374151"/>
      <name val="Segoe UI"/>
    </font>
    <font>
      <sz val="9.6"/>
      <color rgb="FF374151"/>
      <name val="Segoe UI"/>
    </font>
    <font>
      <sz val="8"/>
      <color rgb="FF374151"/>
      <name val="Segoe UI"/>
    </font>
    <font>
      <sz val="11"/>
      <color rgb="FF000000"/>
      <name val="Calibri"/>
    </font>
    <font>
      <b/>
      <sz val="10"/>
      <color theme="1"/>
      <name val="Calibri"/>
      <family val="2"/>
      <scheme val="minor"/>
    </font>
    <font>
      <i/>
      <sz val="11"/>
      <color rgb="FF000000"/>
      <name val="Calibri"/>
    </font>
    <font>
      <sz val="11"/>
      <color rgb="FF000000"/>
      <name val="Calibri"/>
      <charset val="1"/>
    </font>
    <font>
      <sz val="11"/>
      <color rgb="FF000000"/>
      <name val="Calibri"/>
      <family val="2"/>
      <scheme val="minor"/>
    </font>
    <font>
      <b/>
      <sz val="9.6"/>
      <color theme="1"/>
      <name val="Segoe UI"/>
      <family val="2"/>
    </font>
    <font>
      <sz val="9.6"/>
      <color theme="1"/>
      <name val="Segoe UI"/>
      <family val="2"/>
    </font>
    <font>
      <sz val="9.6"/>
      <color theme="1"/>
      <name val="Segoe UI"/>
    </font>
    <font>
      <sz val="36"/>
      <color rgb="FF000000"/>
      <name val="Calibri"/>
    </font>
    <font>
      <sz val="11"/>
      <color theme="5" tint="0.59999389629810485"/>
      <name val="Calibri"/>
      <family val="2"/>
      <scheme val="minor"/>
    </font>
    <font>
      <i/>
      <sz val="11"/>
      <color theme="1"/>
      <name val="Calibri"/>
    </font>
    <font>
      <sz val="11"/>
      <color theme="1"/>
      <name val="Calibri"/>
    </font>
    <font>
      <i/>
      <sz val="11"/>
      <color rgb="FF000000"/>
      <name val="Calibri"/>
      <family val="2"/>
    </font>
    <font>
      <sz val="11"/>
      <color rgb="FF111827"/>
      <name val="Ubuntu Mono"/>
      <family val="3"/>
    </font>
    <font>
      <b/>
      <sz val="11"/>
      <color rgb="FF111827"/>
      <name val="Ubuntu Mono"/>
      <family val="3"/>
    </font>
    <font>
      <sz val="11"/>
      <color rgb="FF444444"/>
      <name val="Calibri"/>
      <charset val="1"/>
    </font>
    <font>
      <b/>
      <sz val="11"/>
      <color rgb="FF374151"/>
      <name val="Calibri"/>
      <family val="2"/>
      <scheme val="minor"/>
    </font>
  </fonts>
  <fills count="32">
    <fill>
      <patternFill patternType="none"/>
    </fill>
    <fill>
      <patternFill patternType="gray125"/>
    </fill>
    <fill>
      <patternFill patternType="solid">
        <fgColor theme="5" tint="0.39997558519241921"/>
        <bgColor indexed="64"/>
      </patternFill>
    </fill>
    <fill>
      <patternFill patternType="solid">
        <fgColor rgb="FFF7F7F8"/>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808080"/>
        <bgColor indexed="64"/>
      </patternFill>
    </fill>
    <fill>
      <patternFill patternType="solid">
        <fgColor rgb="FFFFFFFF"/>
        <bgColor indexed="64"/>
      </patternFill>
    </fill>
    <fill>
      <patternFill patternType="solid">
        <fgColor rgb="FFAEAAAA"/>
        <bgColor indexed="64"/>
      </patternFill>
    </fill>
    <fill>
      <patternFill patternType="solid">
        <fgColor theme="7" tint="0.59999389629810485"/>
        <bgColor indexed="64"/>
      </patternFill>
    </fill>
    <fill>
      <patternFill patternType="solid">
        <fgColor theme="3"/>
        <bgColor indexed="64"/>
      </patternFill>
    </fill>
    <fill>
      <patternFill patternType="solid">
        <fgColor rgb="FFFCE4D6"/>
        <bgColor indexed="64"/>
      </patternFill>
    </fill>
    <fill>
      <patternFill patternType="solid">
        <fgColor rgb="FFF8CBAD"/>
        <bgColor indexed="64"/>
      </patternFill>
    </fill>
    <fill>
      <patternFill patternType="solid">
        <fgColor rgb="FFFF0000"/>
        <bgColor rgb="FF000000"/>
      </patternFill>
    </fill>
    <fill>
      <patternFill patternType="solid">
        <fgColor rgb="FFFFFF00"/>
        <bgColor rgb="FF000000"/>
      </patternFill>
    </fill>
    <fill>
      <patternFill patternType="solid">
        <fgColor rgb="FF00B050"/>
        <bgColor rgb="FF000000"/>
      </patternFill>
    </fill>
    <fill>
      <patternFill patternType="solid">
        <fgColor rgb="FF7030A0"/>
        <bgColor rgb="FF000000"/>
      </patternFill>
    </fill>
    <fill>
      <patternFill patternType="solid">
        <fgColor rgb="FF00B0F0"/>
        <bgColor indexed="64"/>
      </patternFill>
    </fill>
    <fill>
      <patternFill patternType="solid">
        <fgColor rgb="FFD0CECE"/>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bgColor indexed="64"/>
      </patternFill>
    </fill>
    <fill>
      <patternFill patternType="solid">
        <fgColor rgb="FFE67300"/>
        <bgColor indexed="64"/>
      </patternFill>
    </fill>
    <fill>
      <patternFill patternType="solid">
        <fgColor rgb="FF7030A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C0000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s>
  <borders count="7">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medium">
        <color rgb="FFD9D9E3"/>
      </left>
      <right/>
      <top/>
      <bottom/>
      <diagonal/>
    </border>
    <border>
      <left style="medium">
        <color rgb="FFD9D9E3"/>
      </left>
      <right style="medium">
        <color rgb="FFD9D9E3"/>
      </right>
      <top/>
      <bottom/>
      <diagonal/>
    </border>
  </borders>
  <cellStyleXfs count="1">
    <xf numFmtId="0" fontId="0" fillId="0" borderId="0"/>
  </cellStyleXfs>
  <cellXfs count="136">
    <xf numFmtId="0" fontId="0" fillId="0" borderId="0" xfId="0"/>
    <xf numFmtId="0" fontId="1" fillId="0" borderId="0" xfId="0" applyFont="1"/>
    <xf numFmtId="0" fontId="0" fillId="0" borderId="0" xfId="0" applyAlignment="1">
      <alignment horizontal="center"/>
    </xf>
    <xf numFmtId="0" fontId="0" fillId="2" borderId="0" xfId="0" applyFill="1"/>
    <xf numFmtId="3" fontId="0" fillId="0" borderId="0" xfId="0" applyNumberFormat="1"/>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0" fillId="4" borderId="0" xfId="0" applyFill="1"/>
    <xf numFmtId="0" fontId="2" fillId="4" borderId="3" xfId="0" applyFont="1" applyFill="1" applyBorder="1" applyAlignment="1">
      <alignment vertical="center" wrapText="1"/>
    </xf>
    <xf numFmtId="3" fontId="2" fillId="4" borderId="4" xfId="0" applyNumberFormat="1" applyFont="1" applyFill="1" applyBorder="1" applyAlignment="1">
      <alignment vertical="center" wrapText="1"/>
    </xf>
    <xf numFmtId="0" fontId="3" fillId="0" borderId="0" xfId="0" applyFont="1"/>
    <xf numFmtId="3" fontId="4" fillId="0" borderId="0" xfId="0" applyNumberFormat="1" applyFont="1"/>
    <xf numFmtId="3" fontId="3" fillId="0" borderId="0" xfId="0" applyNumberFormat="1" applyFont="1"/>
    <xf numFmtId="0" fontId="0" fillId="5" borderId="0" xfId="0" applyFill="1"/>
    <xf numFmtId="0" fontId="0" fillId="0" borderId="0" xfId="0" applyAlignment="1">
      <alignment wrapText="1"/>
    </xf>
    <xf numFmtId="0" fontId="5" fillId="0" borderId="0" xfId="0" applyFont="1"/>
    <xf numFmtId="0" fontId="0" fillId="6" borderId="0" xfId="0" applyFill="1"/>
    <xf numFmtId="0" fontId="0" fillId="0" borderId="0" xfId="0" applyAlignment="1">
      <alignment horizontal="center" wrapText="1"/>
    </xf>
    <xf numFmtId="3" fontId="0" fillId="0" borderId="0" xfId="0" applyNumberFormat="1" applyAlignment="1">
      <alignment wrapText="1"/>
    </xf>
    <xf numFmtId="0" fontId="5" fillId="7" borderId="0" xfId="0" applyFont="1" applyFill="1"/>
    <xf numFmtId="0" fontId="1" fillId="5" borderId="0" xfId="0" applyFont="1" applyFill="1"/>
    <xf numFmtId="0" fontId="5" fillId="7" borderId="0" xfId="0" applyFont="1" applyFill="1" applyAlignment="1">
      <alignment wrapText="1"/>
    </xf>
    <xf numFmtId="0" fontId="2" fillId="3" borderId="3" xfId="0" applyFont="1" applyFill="1" applyBorder="1" applyAlignment="1">
      <alignment vertical="center" wrapText="1"/>
    </xf>
    <xf numFmtId="3" fontId="2" fillId="3" borderId="4" xfId="0" applyNumberFormat="1" applyFont="1" applyFill="1" applyBorder="1" applyAlignment="1">
      <alignment vertical="center" wrapText="1"/>
    </xf>
    <xf numFmtId="0" fontId="2" fillId="3" borderId="0" xfId="0" applyFont="1" applyFill="1" applyAlignment="1">
      <alignment vertical="center" wrapText="1"/>
    </xf>
    <xf numFmtId="0" fontId="7" fillId="8" borderId="0" xfId="0" applyFont="1" applyFill="1"/>
    <xf numFmtId="0" fontId="5" fillId="0" borderId="0" xfId="0" applyFont="1" applyAlignment="1">
      <alignment wrapText="1"/>
    </xf>
    <xf numFmtId="0" fontId="0" fillId="8" borderId="0" xfId="0" applyFill="1"/>
    <xf numFmtId="0" fontId="10" fillId="3" borderId="1" xfId="0" applyFont="1" applyFill="1" applyBorder="1" applyAlignment="1">
      <alignment horizontal="center" wrapText="1"/>
    </xf>
    <xf numFmtId="0" fontId="11" fillId="0" borderId="0" xfId="0" applyFont="1"/>
    <xf numFmtId="0" fontId="0" fillId="9" borderId="0" xfId="0" applyFill="1"/>
    <xf numFmtId="0" fontId="0" fillId="9" borderId="0" xfId="0" applyFill="1" applyAlignment="1">
      <alignment wrapText="1"/>
    </xf>
    <xf numFmtId="3" fontId="0" fillId="9" borderId="0" xfId="0" applyNumberFormat="1" applyFill="1"/>
    <xf numFmtId="0" fontId="0" fillId="10" borderId="0" xfId="0" applyFill="1"/>
    <xf numFmtId="0" fontId="0" fillId="11" borderId="0" xfId="0" applyFill="1"/>
    <xf numFmtId="0" fontId="0" fillId="12" borderId="0" xfId="0" applyFill="1"/>
    <xf numFmtId="0" fontId="0" fillId="12" borderId="0" xfId="0" applyFill="1" applyAlignment="1">
      <alignment horizontal="center"/>
    </xf>
    <xf numFmtId="0" fontId="5" fillId="13" borderId="0" xfId="0" applyFont="1" applyFill="1"/>
    <xf numFmtId="0" fontId="5" fillId="14" borderId="0" xfId="0" applyFont="1" applyFill="1"/>
    <xf numFmtId="0" fontId="5" fillId="15" borderId="0" xfId="0" applyFont="1" applyFill="1"/>
    <xf numFmtId="0" fontId="5" fillId="16" borderId="0" xfId="0" applyFont="1" applyFill="1"/>
    <xf numFmtId="0" fontId="6" fillId="0" borderId="0" xfId="0" applyFont="1"/>
    <xf numFmtId="0" fontId="5" fillId="13" borderId="0" xfId="0" quotePrefix="1" applyFont="1" applyFill="1"/>
    <xf numFmtId="0" fontId="5" fillId="16" borderId="0" xfId="0" quotePrefix="1" applyFont="1" applyFill="1"/>
    <xf numFmtId="0" fontId="5" fillId="0" borderId="0" xfId="0" quotePrefix="1" applyFont="1"/>
    <xf numFmtId="0" fontId="5" fillId="14" borderId="0" xfId="0" quotePrefix="1" applyFont="1" applyFill="1"/>
    <xf numFmtId="0" fontId="5" fillId="15" borderId="0" xfId="0" quotePrefix="1" applyFont="1" applyFill="1"/>
    <xf numFmtId="0" fontId="0" fillId="17" borderId="0" xfId="0" applyFill="1"/>
    <xf numFmtId="0" fontId="5" fillId="17" borderId="0" xfId="0" applyFont="1" applyFill="1"/>
    <xf numFmtId="0" fontId="13" fillId="3" borderId="1" xfId="0" applyFont="1" applyFill="1" applyBorder="1" applyAlignment="1">
      <alignment horizontal="center" wrapText="1"/>
    </xf>
    <xf numFmtId="0" fontId="14" fillId="3" borderId="2" xfId="0" applyFont="1" applyFill="1" applyBorder="1" applyAlignment="1">
      <alignment horizontal="center" wrapText="1"/>
    </xf>
    <xf numFmtId="0" fontId="14" fillId="3" borderId="3" xfId="0" applyFont="1" applyFill="1" applyBorder="1" applyAlignment="1">
      <alignment vertical="center" wrapText="1"/>
    </xf>
    <xf numFmtId="0" fontId="14" fillId="3" borderId="4" xfId="0" applyFont="1" applyFill="1" applyBorder="1" applyAlignment="1">
      <alignment vertical="center" wrapText="1"/>
    </xf>
    <xf numFmtId="0" fontId="15" fillId="0" borderId="0" xfId="0" applyFont="1"/>
    <xf numFmtId="0" fontId="14" fillId="3" borderId="5" xfId="0" applyFont="1" applyFill="1" applyBorder="1" applyAlignment="1">
      <alignment vertical="center" wrapText="1"/>
    </xf>
    <xf numFmtId="0" fontId="14" fillId="3" borderId="6" xfId="0" applyFont="1" applyFill="1" applyBorder="1" applyAlignment="1">
      <alignment vertical="center" wrapText="1"/>
    </xf>
    <xf numFmtId="0" fontId="16" fillId="0" borderId="0" xfId="0" applyFont="1"/>
    <xf numFmtId="0" fontId="0" fillId="18" borderId="0" xfId="0" applyFill="1"/>
    <xf numFmtId="0" fontId="1" fillId="19" borderId="0" xfId="0" applyFont="1" applyFill="1"/>
    <xf numFmtId="0" fontId="17" fillId="0" borderId="0" xfId="0" applyFont="1" applyAlignment="1">
      <alignment horizontal="right"/>
    </xf>
    <xf numFmtId="0" fontId="1" fillId="0" borderId="0" xfId="0" applyFont="1" applyAlignment="1">
      <alignment horizontal="right"/>
    </xf>
    <xf numFmtId="0" fontId="1" fillId="20" borderId="0" xfId="0" applyFont="1" applyFill="1"/>
    <xf numFmtId="0" fontId="0" fillId="20" borderId="0" xfId="0" applyFill="1" applyAlignment="1">
      <alignment wrapText="1"/>
    </xf>
    <xf numFmtId="0" fontId="0" fillId="20" borderId="0" xfId="0" applyFill="1"/>
    <xf numFmtId="0" fontId="1" fillId="21" borderId="0" xfId="0" applyFont="1" applyFill="1"/>
    <xf numFmtId="0" fontId="0" fillId="21" borderId="0" xfId="0" applyFill="1" applyAlignment="1">
      <alignment wrapText="1"/>
    </xf>
    <xf numFmtId="0" fontId="0" fillId="21" borderId="0" xfId="0" applyFill="1"/>
    <xf numFmtId="0" fontId="19" fillId="0" borderId="0" xfId="0" applyFont="1"/>
    <xf numFmtId="0" fontId="12" fillId="21" borderId="0" xfId="0" applyFont="1" applyFill="1"/>
    <xf numFmtId="0" fontId="21" fillId="3" borderId="1" xfId="0" applyFont="1" applyFill="1" applyBorder="1" applyAlignment="1">
      <alignment horizontal="center" wrapText="1"/>
    </xf>
    <xf numFmtId="0" fontId="16" fillId="7" borderId="0" xfId="0" applyFont="1" applyFill="1"/>
    <xf numFmtId="0" fontId="16" fillId="7" borderId="0" xfId="0" applyFont="1" applyFill="1" applyAlignment="1">
      <alignment wrapText="1"/>
    </xf>
    <xf numFmtId="0" fontId="16" fillId="0" borderId="0" xfId="0" applyFont="1" applyAlignment="1">
      <alignment wrapText="1"/>
    </xf>
    <xf numFmtId="0" fontId="20" fillId="0" borderId="0" xfId="0" applyFont="1"/>
    <xf numFmtId="0" fontId="0" fillId="22" borderId="0" xfId="0" applyFill="1"/>
    <xf numFmtId="0" fontId="0" fillId="23" borderId="0" xfId="0" applyFill="1"/>
    <xf numFmtId="0" fontId="16" fillId="25" borderId="0" xfId="0" applyFont="1" applyFill="1"/>
    <xf numFmtId="0" fontId="0" fillId="25" borderId="0" xfId="0" applyFill="1"/>
    <xf numFmtId="0" fontId="16" fillId="26" borderId="0" xfId="0" applyFont="1" applyFill="1"/>
    <xf numFmtId="0" fontId="16" fillId="27" borderId="0" xfId="0" applyFont="1" applyFill="1"/>
    <xf numFmtId="0" fontId="20" fillId="27" borderId="0" xfId="0" applyFont="1" applyFill="1"/>
    <xf numFmtId="0" fontId="19" fillId="27" borderId="0" xfId="0" applyFont="1" applyFill="1" applyAlignment="1">
      <alignment wrapText="1"/>
    </xf>
    <xf numFmtId="0" fontId="16" fillId="27" borderId="0" xfId="0" quotePrefix="1" applyFont="1" applyFill="1"/>
    <xf numFmtId="0" fontId="16" fillId="0" borderId="0" xfId="0" applyFont="1" applyAlignment="1">
      <alignment horizontal="center" vertical="center" textRotation="90"/>
    </xf>
    <xf numFmtId="0" fontId="16" fillId="29" borderId="0" xfId="0" applyFont="1" applyFill="1"/>
    <xf numFmtId="0" fontId="16" fillId="0" borderId="0" xfId="0" applyFont="1" applyAlignment="1">
      <alignment vertical="center" textRotation="90"/>
    </xf>
    <xf numFmtId="0" fontId="0" fillId="25" borderId="0" xfId="0" applyFill="1" applyAlignment="1">
      <alignment vertical="top" wrapText="1"/>
    </xf>
    <xf numFmtId="0" fontId="25" fillId="30" borderId="0" xfId="0" applyFont="1" applyFill="1"/>
    <xf numFmtId="0" fontId="0" fillId="27" borderId="0" xfId="0" applyFill="1"/>
    <xf numFmtId="0" fontId="19" fillId="27" borderId="0" xfId="0" applyFont="1" applyFill="1"/>
    <xf numFmtId="0" fontId="0" fillId="31" borderId="0" xfId="0" applyFill="1"/>
    <xf numFmtId="0" fontId="20" fillId="31" borderId="0" xfId="0" applyFont="1" applyFill="1"/>
    <xf numFmtId="0" fontId="16" fillId="31" borderId="0" xfId="0" applyFont="1" applyFill="1"/>
    <xf numFmtId="0" fontId="0" fillId="24" borderId="0" xfId="0" applyFill="1"/>
    <xf numFmtId="0" fontId="29" fillId="0" borderId="0" xfId="0" applyFont="1"/>
    <xf numFmtId="0" fontId="30" fillId="0" borderId="0" xfId="0" applyFont="1"/>
    <xf numFmtId="0" fontId="19" fillId="31" borderId="0" xfId="0" applyFont="1" applyFill="1"/>
    <xf numFmtId="0" fontId="5" fillId="27" borderId="0" xfId="0" applyFont="1" applyFill="1"/>
    <xf numFmtId="0" fontId="0" fillId="27" borderId="0" xfId="0" applyFill="1" applyAlignment="1">
      <alignment wrapText="1"/>
    </xf>
    <xf numFmtId="0" fontId="14" fillId="27" borderId="3" xfId="0" applyFont="1" applyFill="1" applyBorder="1" applyAlignment="1">
      <alignment vertical="center" wrapText="1"/>
    </xf>
    <xf numFmtId="0" fontId="23" fillId="27" borderId="3" xfId="0" applyFont="1" applyFill="1" applyBorder="1" applyAlignment="1">
      <alignment vertical="center" wrapText="1"/>
    </xf>
    <xf numFmtId="0" fontId="5" fillId="31" borderId="0" xfId="0" applyFont="1" applyFill="1"/>
    <xf numFmtId="0" fontId="27" fillId="0" borderId="0" xfId="0" applyFont="1"/>
    <xf numFmtId="0" fontId="14" fillId="0" borderId="3" xfId="0" applyFont="1" applyBorder="1" applyAlignment="1">
      <alignment vertical="center" wrapText="1"/>
    </xf>
    <xf numFmtId="0" fontId="23" fillId="0" borderId="3" xfId="0" applyFont="1" applyBorder="1" applyAlignment="1">
      <alignment vertical="center" wrapText="1"/>
    </xf>
    <xf numFmtId="0" fontId="14" fillId="0" borderId="5" xfId="0" applyFont="1" applyBorder="1" applyAlignment="1">
      <alignment vertical="center" wrapText="1"/>
    </xf>
    <xf numFmtId="0" fontId="23" fillId="0" borderId="5" xfId="0" applyFont="1" applyBorder="1" applyAlignment="1">
      <alignment vertical="center" wrapText="1"/>
    </xf>
    <xf numFmtId="0" fontId="2" fillId="0" borderId="5" xfId="0" applyFont="1" applyBorder="1" applyAlignment="1">
      <alignment vertical="center" wrapText="1"/>
    </xf>
    <xf numFmtId="0" fontId="22" fillId="0" borderId="5" xfId="0" applyFont="1" applyBorder="1" applyAlignment="1">
      <alignment vertical="center" wrapText="1"/>
    </xf>
    <xf numFmtId="0" fontId="2" fillId="0" borderId="3" xfId="0" applyFont="1" applyBorder="1" applyAlignment="1">
      <alignment vertical="center" wrapText="1"/>
    </xf>
    <xf numFmtId="0" fontId="22" fillId="0" borderId="3" xfId="0" applyFont="1" applyBorder="1" applyAlignment="1">
      <alignment vertical="center" wrapText="1"/>
    </xf>
    <xf numFmtId="0" fontId="9" fillId="0" borderId="0" xfId="0" applyFont="1"/>
    <xf numFmtId="0" fontId="6" fillId="0" borderId="0" xfId="0" applyFont="1" applyAlignment="1">
      <alignment horizontal="right"/>
    </xf>
    <xf numFmtId="0" fontId="0" fillId="26" borderId="0" xfId="0" applyFill="1"/>
    <xf numFmtId="0" fontId="20" fillId="26" borderId="0" xfId="0" applyFont="1" applyFill="1"/>
    <xf numFmtId="0" fontId="31" fillId="0" borderId="0" xfId="0" applyFont="1"/>
    <xf numFmtId="0" fontId="0" fillId="0" borderId="0" xfId="0" applyAlignment="1">
      <alignment horizontal="center"/>
    </xf>
    <xf numFmtId="0" fontId="16" fillId="0" borderId="0" xfId="0" applyFont="1" applyAlignment="1">
      <alignment horizontal="center"/>
    </xf>
    <xf numFmtId="0" fontId="0" fillId="25" borderId="0" xfId="0" applyFill="1" applyAlignment="1">
      <alignment horizontal="center"/>
    </xf>
    <xf numFmtId="0" fontId="16" fillId="25" borderId="0" xfId="0" applyFont="1" applyFill="1" applyAlignment="1">
      <alignment horizontal="center"/>
    </xf>
    <xf numFmtId="0" fontId="16" fillId="25" borderId="0" xfId="0" applyFont="1" applyFill="1"/>
    <xf numFmtId="0" fontId="16" fillId="0" borderId="0" xfId="0" applyFont="1"/>
    <xf numFmtId="0" fontId="16" fillId="0" borderId="0" xfId="0" applyFont="1" applyAlignment="1">
      <alignment horizontal="center" vertical="center" textRotation="90"/>
    </xf>
    <xf numFmtId="0" fontId="5" fillId="0" borderId="0" xfId="0" applyFont="1"/>
    <xf numFmtId="0" fontId="5" fillId="0" borderId="0" xfId="0" quotePrefix="1" applyFont="1"/>
    <xf numFmtId="0" fontId="5" fillId="14" borderId="0" xfId="0" applyFont="1" applyFill="1"/>
    <xf numFmtId="0" fontId="5" fillId="16" borderId="0" xfId="0" applyFont="1" applyFill="1" applyAlignment="1">
      <alignment horizontal="center"/>
    </xf>
    <xf numFmtId="0" fontId="24" fillId="28" borderId="0" xfId="0" applyFont="1" applyFill="1" applyAlignment="1">
      <alignment horizontal="center" vertical="center" wrapText="1"/>
    </xf>
    <xf numFmtId="0" fontId="16" fillId="0" borderId="0" xfId="0" applyFont="1" applyAlignment="1">
      <alignment horizontal="center" textRotation="90"/>
    </xf>
    <xf numFmtId="0" fontId="16" fillId="26" borderId="0" xfId="0" applyFont="1" applyFill="1" applyAlignment="1">
      <alignment horizontal="center"/>
    </xf>
    <xf numFmtId="0" fontId="1" fillId="0" borderId="0" xfId="0" applyFont="1" applyAlignment="1">
      <alignment horizontal="center" vertical="center"/>
    </xf>
    <xf numFmtId="0" fontId="10" fillId="3" borderId="2" xfId="0" applyFont="1" applyFill="1" applyBorder="1" applyAlignment="1">
      <alignment horizontal="center" vertical="center" wrapText="1"/>
    </xf>
    <xf numFmtId="0" fontId="32" fillId="0" borderId="5" xfId="0" applyFont="1" applyBorder="1" applyAlignment="1">
      <alignment vertical="center" wrapText="1"/>
    </xf>
    <xf numFmtId="0" fontId="1" fillId="0" borderId="5" xfId="0" applyFont="1" applyBorder="1" applyAlignment="1">
      <alignment vertical="center" wrapText="1"/>
    </xf>
    <xf numFmtId="0" fontId="32" fillId="0" borderId="3" xfId="0" applyFont="1" applyBorder="1" applyAlignment="1">
      <alignment vertical="center" wrapText="1"/>
    </xf>
    <xf numFmtId="0" fontId="1"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E67300"/>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Languages of selected papers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'updated summary table'!$F$55</c:f>
              <c:strCache>
                <c:ptCount val="1"/>
                <c:pt idx="0">
                  <c:v>Number of papers</c:v>
                </c:pt>
              </c:strCache>
            </c:strRef>
          </c:tx>
          <c:spPr>
            <a:solidFill>
              <a:schemeClr val="accent1"/>
            </a:solidFill>
            <a:ln>
              <a:noFill/>
            </a:ln>
            <a:effectLst/>
          </c:spPr>
          <c:invertIfNegative val="0"/>
          <c:cat>
            <c:strRef>
              <c:f>'updated summary table'!$E$56:$E$65</c:f>
              <c:strCache>
                <c:ptCount val="10"/>
                <c:pt idx="0">
                  <c:v>English</c:v>
                </c:pt>
                <c:pt idx="1">
                  <c:v>Chinese</c:v>
                </c:pt>
                <c:pt idx="2">
                  <c:v>French</c:v>
                </c:pt>
                <c:pt idx="3">
                  <c:v>Dutch</c:v>
                </c:pt>
                <c:pt idx="4">
                  <c:v>Bengali</c:v>
                </c:pt>
                <c:pt idx="5">
                  <c:v>Greek</c:v>
                </c:pt>
                <c:pt idx="6">
                  <c:v>Malay</c:v>
                </c:pt>
                <c:pt idx="7">
                  <c:v>Indonesian</c:v>
                </c:pt>
                <c:pt idx="8">
                  <c:v>Hungarian</c:v>
                </c:pt>
                <c:pt idx="9">
                  <c:v>Not given</c:v>
                </c:pt>
              </c:strCache>
            </c:strRef>
          </c:cat>
          <c:val>
            <c:numRef>
              <c:f>'updated summary table'!$F$56:$F$65</c:f>
              <c:numCache>
                <c:formatCode>General</c:formatCode>
                <c:ptCount val="10"/>
                <c:pt idx="0">
                  <c:v>39</c:v>
                </c:pt>
                <c:pt idx="1">
                  <c:v>6</c:v>
                </c:pt>
                <c:pt idx="2">
                  <c:v>2</c:v>
                </c:pt>
                <c:pt idx="3">
                  <c:v>2</c:v>
                </c:pt>
                <c:pt idx="4">
                  <c:v>1</c:v>
                </c:pt>
                <c:pt idx="5">
                  <c:v>1</c:v>
                </c:pt>
                <c:pt idx="6">
                  <c:v>1</c:v>
                </c:pt>
                <c:pt idx="7">
                  <c:v>1</c:v>
                </c:pt>
                <c:pt idx="8">
                  <c:v>1</c:v>
                </c:pt>
                <c:pt idx="9">
                  <c:v>2</c:v>
                </c:pt>
              </c:numCache>
            </c:numRef>
          </c:val>
          <c:extLst>
            <c:ext xmlns:c16="http://schemas.microsoft.com/office/drawing/2014/chart" uri="{C3380CC4-5D6E-409C-BE32-E72D297353CC}">
              <c16:uniqueId val="{00000000-CA92-4280-8070-390AAFC57629}"/>
            </c:ext>
          </c:extLst>
        </c:ser>
        <c:dLbls>
          <c:showLegendKey val="0"/>
          <c:showVal val="0"/>
          <c:showCatName val="0"/>
          <c:showSerName val="0"/>
          <c:showPercent val="0"/>
          <c:showBubbleSize val="0"/>
        </c:dLbls>
        <c:gapWidth val="182"/>
        <c:axId val="378267824"/>
        <c:axId val="378263024"/>
      </c:barChart>
      <c:catAx>
        <c:axId val="37826782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Language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8263024"/>
        <c:crosses val="autoZero"/>
        <c:auto val="1"/>
        <c:lblAlgn val="ctr"/>
        <c:lblOffset val="100"/>
        <c:noMultiLvlLbl val="0"/>
      </c:catAx>
      <c:valAx>
        <c:axId val="378263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Number of papers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8267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Datasets used in selected papers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'updated summary table'!$H$55</c:f>
              <c:strCache>
                <c:ptCount val="1"/>
                <c:pt idx="0">
                  <c:v>Number of papers</c:v>
                </c:pt>
              </c:strCache>
            </c:strRef>
          </c:tx>
          <c:spPr>
            <a:solidFill>
              <a:schemeClr val="accent1"/>
            </a:solidFill>
            <a:ln>
              <a:noFill/>
            </a:ln>
            <a:effectLst/>
          </c:spPr>
          <c:invertIfNegative val="0"/>
          <c:cat>
            <c:strRef>
              <c:f>'updated summary table'!$G$56:$G$75</c:f>
              <c:strCache>
                <c:ptCount val="20"/>
                <c:pt idx="0">
                  <c:v>IEMOCAP</c:v>
                </c:pt>
                <c:pt idx="1">
                  <c:v>MELD</c:v>
                </c:pt>
                <c:pt idx="2">
                  <c:v>Custom datasets</c:v>
                </c:pt>
                <c:pt idx="3">
                  <c:v>Call center datasets</c:v>
                </c:pt>
                <c:pt idx="4">
                  <c:v>NNIME</c:v>
                </c:pt>
                <c:pt idx="5">
                  <c:v>K-EmoCon</c:v>
                </c:pt>
                <c:pt idx="6">
                  <c:v>MSP-IMPROV</c:v>
                </c:pt>
                <c:pt idx="7">
                  <c:v>TV shows</c:v>
                </c:pt>
                <c:pt idx="8">
                  <c:v>Youtube Videos</c:v>
                </c:pt>
                <c:pt idx="9">
                  <c:v>MUStARD_ext</c:v>
                </c:pt>
                <c:pt idx="10">
                  <c:v>NCKU-CASC</c:v>
                </c:pt>
                <c:pt idx="11">
                  <c:v>NCKU-ES</c:v>
                </c:pt>
                <c:pt idx="12">
                  <c:v>IDESC</c:v>
                </c:pt>
                <c:pt idx="13">
                  <c:v>VAM</c:v>
                </c:pt>
                <c:pt idx="14">
                  <c:v>CMU-MOSEI</c:v>
                </c:pt>
                <c:pt idx="15">
                  <c:v>HuComTech Corpus</c:v>
                </c:pt>
                <c:pt idx="16">
                  <c:v>CEMO</c:v>
                </c:pt>
                <c:pt idx="17">
                  <c:v>MSP-PODCAST</c:v>
                </c:pt>
                <c:pt idx="18">
                  <c:v>RECOLA</c:v>
                </c:pt>
                <c:pt idx="19">
                  <c:v>D80</c:v>
                </c:pt>
              </c:strCache>
            </c:strRef>
          </c:cat>
          <c:val>
            <c:numRef>
              <c:f>'updated summary table'!$H$56:$H$75</c:f>
              <c:numCache>
                <c:formatCode>General</c:formatCode>
                <c:ptCount val="20"/>
                <c:pt idx="0">
                  <c:v>30</c:v>
                </c:pt>
                <c:pt idx="1">
                  <c:v>10</c:v>
                </c:pt>
                <c:pt idx="2">
                  <c:v>6</c:v>
                </c:pt>
                <c:pt idx="3">
                  <c:v>5</c:v>
                </c:pt>
                <c:pt idx="4">
                  <c:v>3</c:v>
                </c:pt>
                <c:pt idx="5">
                  <c:v>2</c:v>
                </c:pt>
                <c:pt idx="6">
                  <c:v>2</c:v>
                </c:pt>
                <c:pt idx="7">
                  <c:v>2</c:v>
                </c:pt>
                <c:pt idx="8">
                  <c:v>2</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3467-43F7-91FF-2A12AD8AAFAB}"/>
            </c:ext>
          </c:extLst>
        </c:ser>
        <c:dLbls>
          <c:showLegendKey val="0"/>
          <c:showVal val="0"/>
          <c:showCatName val="0"/>
          <c:showSerName val="0"/>
          <c:showPercent val="0"/>
          <c:showBubbleSize val="0"/>
        </c:dLbls>
        <c:gapWidth val="182"/>
        <c:axId val="768503024"/>
        <c:axId val="768500144"/>
      </c:barChart>
      <c:catAx>
        <c:axId val="76850302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Datasets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8500144"/>
        <c:crosses val="autoZero"/>
        <c:auto val="1"/>
        <c:lblAlgn val="ctr"/>
        <c:lblOffset val="100"/>
        <c:noMultiLvlLbl val="0"/>
      </c:catAx>
      <c:valAx>
        <c:axId val="768500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Number of papers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850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Selected papers per year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'updated summary table'!$C$55</c:f>
              <c:strCache>
                <c:ptCount val="1"/>
                <c:pt idx="0">
                  <c:v>Number </c:v>
                </c:pt>
              </c:strCache>
            </c:strRef>
          </c:tx>
          <c:spPr>
            <a:solidFill>
              <a:schemeClr val="accent1"/>
            </a:solidFill>
            <a:ln>
              <a:noFill/>
            </a:ln>
            <a:effectLst/>
          </c:spPr>
          <c:invertIfNegative val="0"/>
          <c:cat>
            <c:numRef>
              <c:f>'updated summary table'!$A$56:$A$66</c:f>
              <c:numCache>
                <c:formatCode>General</c:formatCode>
                <c:ptCount val="11"/>
                <c:pt idx="0">
                  <c:v>2023</c:v>
                </c:pt>
                <c:pt idx="1">
                  <c:v>2022</c:v>
                </c:pt>
                <c:pt idx="2">
                  <c:v>2021</c:v>
                </c:pt>
                <c:pt idx="3">
                  <c:v>2020</c:v>
                </c:pt>
                <c:pt idx="4">
                  <c:v>2019</c:v>
                </c:pt>
                <c:pt idx="5">
                  <c:v>2018</c:v>
                </c:pt>
                <c:pt idx="6">
                  <c:v>2017</c:v>
                </c:pt>
                <c:pt idx="7">
                  <c:v>2016</c:v>
                </c:pt>
                <c:pt idx="8">
                  <c:v>2015</c:v>
                </c:pt>
                <c:pt idx="9">
                  <c:v>2014</c:v>
                </c:pt>
                <c:pt idx="10">
                  <c:v>2013</c:v>
                </c:pt>
              </c:numCache>
            </c:numRef>
          </c:cat>
          <c:val>
            <c:numRef>
              <c:f>'updated summary table'!$C$56:$C$66</c:f>
              <c:numCache>
                <c:formatCode>General</c:formatCode>
                <c:ptCount val="11"/>
                <c:pt idx="0">
                  <c:v>2</c:v>
                </c:pt>
                <c:pt idx="1">
                  <c:v>12</c:v>
                </c:pt>
                <c:pt idx="2">
                  <c:v>15</c:v>
                </c:pt>
                <c:pt idx="3">
                  <c:v>5</c:v>
                </c:pt>
                <c:pt idx="4">
                  <c:v>3</c:v>
                </c:pt>
                <c:pt idx="5">
                  <c:v>6</c:v>
                </c:pt>
                <c:pt idx="6">
                  <c:v>1</c:v>
                </c:pt>
                <c:pt idx="7">
                  <c:v>2</c:v>
                </c:pt>
                <c:pt idx="8">
                  <c:v>1</c:v>
                </c:pt>
                <c:pt idx="9">
                  <c:v>1</c:v>
                </c:pt>
                <c:pt idx="10">
                  <c:v>2</c:v>
                </c:pt>
              </c:numCache>
            </c:numRef>
          </c:val>
          <c:extLst>
            <c:ext xmlns:c16="http://schemas.microsoft.com/office/drawing/2014/chart" uri="{C3380CC4-5D6E-409C-BE32-E72D297353CC}">
              <c16:uniqueId val="{00000000-B061-44E1-AB8D-56785A5B58B8}"/>
            </c:ext>
          </c:extLst>
        </c:ser>
        <c:dLbls>
          <c:showLegendKey val="0"/>
          <c:showVal val="0"/>
          <c:showCatName val="0"/>
          <c:showSerName val="0"/>
          <c:showPercent val="0"/>
          <c:showBubbleSize val="0"/>
        </c:dLbls>
        <c:gapWidth val="182"/>
        <c:axId val="766250096"/>
        <c:axId val="766251536"/>
      </c:barChart>
      <c:catAx>
        <c:axId val="76625009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Year</a:t>
                </a:r>
              </a:p>
              <a:p>
                <a:pPr>
                  <a:defRPr/>
                </a:pPr>
                <a:endParaRPr lang="en-US"/>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6251536"/>
        <c:crosses val="autoZero"/>
        <c:auto val="1"/>
        <c:lblAlgn val="ctr"/>
        <c:lblOffset val="100"/>
        <c:noMultiLvlLbl val="0"/>
      </c:catAx>
      <c:valAx>
        <c:axId val="76625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Number of papers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6250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Final_Summary_Table!$F$61</c:f>
              <c:strCache>
                <c:ptCount val="1"/>
                <c:pt idx="0">
                  <c:v>Number of papers</c:v>
                </c:pt>
              </c:strCache>
            </c:strRef>
          </c:tx>
          <c:spPr>
            <a:solidFill>
              <a:schemeClr val="accent1"/>
            </a:solidFill>
            <a:ln>
              <a:noFill/>
            </a:ln>
            <a:effectLst/>
          </c:spPr>
          <c:invertIfNegative val="0"/>
          <c:cat>
            <c:strRef>
              <c:f>Final_Summary_Table!$E$62:$E$71</c:f>
              <c:strCache>
                <c:ptCount val="10"/>
                <c:pt idx="0">
                  <c:v>English</c:v>
                </c:pt>
                <c:pt idx="1">
                  <c:v>French</c:v>
                </c:pt>
                <c:pt idx="2">
                  <c:v>Chinese</c:v>
                </c:pt>
                <c:pt idx="3">
                  <c:v>Dutch</c:v>
                </c:pt>
                <c:pt idx="4">
                  <c:v>Bengali</c:v>
                </c:pt>
                <c:pt idx="5">
                  <c:v>German</c:v>
                </c:pt>
                <c:pt idx="6">
                  <c:v>Greek</c:v>
                </c:pt>
                <c:pt idx="7">
                  <c:v>Malay</c:v>
                </c:pt>
                <c:pt idx="8">
                  <c:v>Indonesian</c:v>
                </c:pt>
                <c:pt idx="9">
                  <c:v>Hungarian</c:v>
                </c:pt>
              </c:strCache>
            </c:strRef>
          </c:cat>
          <c:val>
            <c:numRef>
              <c:f>Final_Summary_Table!$F$62:$F$71</c:f>
              <c:numCache>
                <c:formatCode>General</c:formatCode>
                <c:ptCount val="10"/>
                <c:pt idx="0">
                  <c:v>42</c:v>
                </c:pt>
                <c:pt idx="1">
                  <c:v>2</c:v>
                </c:pt>
                <c:pt idx="2">
                  <c:v>6</c:v>
                </c:pt>
                <c:pt idx="3">
                  <c:v>2</c:v>
                </c:pt>
                <c:pt idx="4">
                  <c:v>1</c:v>
                </c:pt>
                <c:pt idx="5">
                  <c:v>2</c:v>
                </c:pt>
                <c:pt idx="6">
                  <c:v>1</c:v>
                </c:pt>
                <c:pt idx="7">
                  <c:v>1</c:v>
                </c:pt>
                <c:pt idx="8">
                  <c:v>1</c:v>
                </c:pt>
                <c:pt idx="9">
                  <c:v>1</c:v>
                </c:pt>
              </c:numCache>
            </c:numRef>
          </c:val>
          <c:extLst>
            <c:ext xmlns:c16="http://schemas.microsoft.com/office/drawing/2014/chart" uri="{C3380CC4-5D6E-409C-BE32-E72D297353CC}">
              <c16:uniqueId val="{00000000-06E2-4D08-A83C-76F46E804750}"/>
            </c:ext>
          </c:extLst>
        </c:ser>
        <c:dLbls>
          <c:showLegendKey val="0"/>
          <c:showVal val="0"/>
          <c:showCatName val="0"/>
          <c:showSerName val="0"/>
          <c:showPercent val="0"/>
          <c:showBubbleSize val="0"/>
        </c:dLbls>
        <c:gapWidth val="182"/>
        <c:axId val="375373392"/>
        <c:axId val="770124816"/>
      </c:barChart>
      <c:catAx>
        <c:axId val="3753733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Language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0124816"/>
        <c:crosses val="autoZero"/>
        <c:auto val="1"/>
        <c:lblAlgn val="ctr"/>
        <c:lblOffset val="100"/>
        <c:noMultiLvlLbl val="0"/>
      </c:catAx>
      <c:valAx>
        <c:axId val="770124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Number of papers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537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Datasets used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Final_Summary_Table!$H$61</c:f>
              <c:strCache>
                <c:ptCount val="1"/>
                <c:pt idx="0">
                  <c:v>Number of papers</c:v>
                </c:pt>
              </c:strCache>
            </c:strRef>
          </c:tx>
          <c:spPr>
            <a:solidFill>
              <a:schemeClr val="accent1"/>
            </a:solidFill>
            <a:ln>
              <a:noFill/>
            </a:ln>
            <a:effectLst/>
          </c:spPr>
          <c:invertIfNegative val="0"/>
          <c:cat>
            <c:strRef>
              <c:f>Final_Summary_Table!$G$62:$G$75</c:f>
              <c:strCache>
                <c:ptCount val="14"/>
                <c:pt idx="0">
                  <c:v>IEMOCAP</c:v>
                </c:pt>
                <c:pt idx="1">
                  <c:v>MELD</c:v>
                </c:pt>
                <c:pt idx="2">
                  <c:v>MSP</c:v>
                </c:pt>
                <c:pt idx="3">
                  <c:v>NNIME</c:v>
                </c:pt>
                <c:pt idx="4">
                  <c:v>LSSED</c:v>
                </c:pt>
                <c:pt idx="5">
                  <c:v>Call center</c:v>
                </c:pt>
                <c:pt idx="6">
                  <c:v>Interview</c:v>
                </c:pt>
                <c:pt idx="7">
                  <c:v>TV</c:v>
                </c:pt>
                <c:pt idx="8">
                  <c:v>RECOLA</c:v>
                </c:pt>
                <c:pt idx="9">
                  <c:v>lab-study</c:v>
                </c:pt>
                <c:pt idx="10">
                  <c:v>VAM</c:v>
                </c:pt>
                <c:pt idx="11">
                  <c:v>Natural conversation</c:v>
                </c:pt>
                <c:pt idx="12">
                  <c:v>K-EmoCon</c:v>
                </c:pt>
                <c:pt idx="13">
                  <c:v>Others</c:v>
                </c:pt>
              </c:strCache>
            </c:strRef>
          </c:cat>
          <c:val>
            <c:numRef>
              <c:f>Final_Summary_Table!$H$62:$H$75</c:f>
              <c:numCache>
                <c:formatCode>General</c:formatCode>
                <c:ptCount val="14"/>
                <c:pt idx="0">
                  <c:v>31</c:v>
                </c:pt>
                <c:pt idx="1">
                  <c:v>11</c:v>
                </c:pt>
                <c:pt idx="2">
                  <c:v>3</c:v>
                </c:pt>
                <c:pt idx="3">
                  <c:v>3</c:v>
                </c:pt>
                <c:pt idx="4">
                  <c:v>1</c:v>
                </c:pt>
                <c:pt idx="5">
                  <c:v>4</c:v>
                </c:pt>
                <c:pt idx="6">
                  <c:v>1</c:v>
                </c:pt>
                <c:pt idx="7">
                  <c:v>2</c:v>
                </c:pt>
                <c:pt idx="8">
                  <c:v>1</c:v>
                </c:pt>
                <c:pt idx="9">
                  <c:v>1</c:v>
                </c:pt>
                <c:pt idx="10">
                  <c:v>1</c:v>
                </c:pt>
                <c:pt idx="11">
                  <c:v>1</c:v>
                </c:pt>
                <c:pt idx="12">
                  <c:v>2</c:v>
                </c:pt>
                <c:pt idx="13">
                  <c:v>3</c:v>
                </c:pt>
              </c:numCache>
            </c:numRef>
          </c:val>
          <c:extLst>
            <c:ext xmlns:c16="http://schemas.microsoft.com/office/drawing/2014/chart" uri="{C3380CC4-5D6E-409C-BE32-E72D297353CC}">
              <c16:uniqueId val="{00000000-8FAC-46FA-A5BB-BEFFF5DB2BD7}"/>
            </c:ext>
          </c:extLst>
        </c:ser>
        <c:dLbls>
          <c:showLegendKey val="0"/>
          <c:showVal val="0"/>
          <c:showCatName val="0"/>
          <c:showSerName val="0"/>
          <c:showPercent val="0"/>
          <c:showBubbleSize val="0"/>
        </c:dLbls>
        <c:gapWidth val="182"/>
        <c:axId val="253382656"/>
        <c:axId val="253382176"/>
      </c:barChart>
      <c:catAx>
        <c:axId val="2533826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Datasets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53382176"/>
        <c:crosses val="autoZero"/>
        <c:auto val="1"/>
        <c:lblAlgn val="ctr"/>
        <c:lblOffset val="100"/>
        <c:noMultiLvlLbl val="0"/>
      </c:catAx>
      <c:valAx>
        <c:axId val="253382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number of Papers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53382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Pareto chart</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Pareto chart</a:t>
          </a:r>
        </a:p>
      </cx:txPr>
    </cx:title>
    <cx:plotArea>
      <cx:plotAreaRegion>
        <cx:plotSurface>
          <cx:spPr>
            <a:ln>
              <a:noFill/>
            </a:ln>
          </cx:spPr>
        </cx:plotSurface>
        <cx:series layoutId="clusteredColumn" uniqueId="{9DD38F52-FC18-4CA8-827C-E98EBC6D5D7A}">
          <cx:tx>
            <cx:txData>
              <cx:f>_xlchart.v1.1</cx:f>
              <cx:v>Total Score (out of 5)</cx:v>
            </cx:txData>
          </cx:tx>
          <cx:dataId val="0"/>
          <cx:layoutPr>
            <cx:aggregation/>
          </cx:layoutPr>
          <cx:axisId val="1"/>
        </cx:series>
        <cx:series layoutId="paretoLine" ownerIdx="0" uniqueId="{EC6A3832-47FC-49B3-A412-07BBCE7401FF}">
          <cx:axisId val="2"/>
        </cx:series>
      </cx:plotAreaRegion>
      <cx:axis id="0">
        <cx:catScaling gapWidth="0"/>
        <cx:title>
          <cx:tx>
            <cx:txData>
              <cx:v>Papers</cx:v>
            </cx:txData>
          </cx:tx>
          <cx:txPr>
            <a:bodyPr spcFirstLastPara="1" vertOverflow="ellipsis" horzOverflow="overflow" wrap="square" lIns="0" tIns="0" rIns="0" bIns="0" anchor="ctr" anchorCtr="1"/>
            <a:lstStyle/>
            <a:p>
              <a:pPr algn="ctr" rtl="0">
                <a:defRPr b="1">
                  <a:solidFill>
                    <a:schemeClr val="tx1"/>
                  </a:solidFill>
                </a:defRPr>
              </a:pPr>
              <a:r>
                <a:rPr lang="en-US" sz="900" b="1" i="0" u="none" strike="noStrike" baseline="0">
                  <a:solidFill>
                    <a:schemeClr val="tx1"/>
                  </a:solidFill>
                  <a:latin typeface="Calibri" panose="020F0502020204030204"/>
                </a:rPr>
                <a:t>Papers</a:t>
              </a:r>
            </a:p>
          </cx:txPr>
        </cx:title>
        <cx:tickLabels/>
        <cx:txPr>
          <a:bodyPr vertOverflow="overflow" horzOverflow="overflow" wrap="square" lIns="0" tIns="0" rIns="0" bIns="0"/>
          <a:lstStyle/>
          <a:p>
            <a:pPr algn="ctr" rtl="0">
              <a:defRPr sz="900" b="1"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AE" b="1">
              <a:solidFill>
                <a:schemeClr val="tx1"/>
              </a:solidFill>
            </a:endParaRPr>
          </a:p>
        </cx:txPr>
      </cx:axis>
      <cx:axis id="1">
        <cx:valScaling/>
        <cx:title>
          <cx:tx>
            <cx:txData>
              <cx:v>Score out of 5</cx:v>
            </cx:txData>
          </cx:tx>
          <cx:txPr>
            <a:bodyPr spcFirstLastPara="1" vertOverflow="ellipsis" horzOverflow="overflow" wrap="square" lIns="0" tIns="0" rIns="0" bIns="0" anchor="ctr" anchorCtr="1"/>
            <a:lstStyle/>
            <a:p>
              <a:pPr algn="ctr" rtl="0">
                <a:defRPr b="1">
                  <a:solidFill>
                    <a:schemeClr val="tx1"/>
                  </a:solidFill>
                </a:defRPr>
              </a:pPr>
              <a:r>
                <a:rPr lang="en-US" sz="900" b="1" i="0" u="none" strike="noStrike" baseline="0">
                  <a:solidFill>
                    <a:schemeClr val="tx1"/>
                  </a:solidFill>
                  <a:latin typeface="Calibri" panose="020F0502020204030204"/>
                </a:rPr>
                <a:t>Score out of 5</a:t>
              </a:r>
            </a:p>
          </cx:txPr>
        </cx:title>
        <cx:majorGridlines/>
        <cx:tickLabels/>
        <cx:txPr>
          <a:bodyPr vertOverflow="overflow" horzOverflow="overflow" wrap="square" lIns="0" tIns="0" rIns="0" bIns="0"/>
          <a:lstStyle/>
          <a:p>
            <a:pPr algn="ctr" rtl="0">
              <a:defRPr sz="900" b="1"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AE" b="1">
              <a:solidFill>
                <a:schemeClr val="tx1"/>
              </a:solidFill>
            </a:endParaRPr>
          </a:p>
        </cx:txPr>
      </cx:axis>
      <cx:axis id="2" hidden="1">
        <cx:valScaling max="1" min="0"/>
        <cx:units unit="percentage"/>
        <cx:tickLabels/>
        <cx:txPr>
          <a:bodyPr vertOverflow="overflow" horzOverflow="overflow" wrap="square" lIns="0" tIns="0" rIns="0" bIns="0"/>
          <a:lstStyle/>
          <a:p>
            <a:pPr algn="ctr" rtl="0">
              <a:defRPr sz="900" b="1"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AE" b="1">
              <a:solidFill>
                <a:schemeClr val="tx1"/>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2784474</xdr:colOff>
      <xdr:row>85</xdr:row>
      <xdr:rowOff>75140</xdr:rowOff>
    </xdr:from>
    <xdr:to>
      <xdr:col>4</xdr:col>
      <xdr:colOff>116417</xdr:colOff>
      <xdr:row>102</xdr:row>
      <xdr:rowOff>42334</xdr:rowOff>
    </xdr:to>
    <xdr:graphicFrame macro="">
      <xdr:nvGraphicFramePr>
        <xdr:cNvPr id="5" name="Chart 4">
          <a:extLst>
            <a:ext uri="{FF2B5EF4-FFF2-40B4-BE49-F238E27FC236}">
              <a16:creationId xmlns:a16="http://schemas.microsoft.com/office/drawing/2014/main" id="{5E75E128-5DF6-52DA-A17E-008F90427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1383241</xdr:colOff>
      <xdr:row>83</xdr:row>
      <xdr:rowOff>73023</xdr:rowOff>
    </xdr:from>
    <xdr:to>
      <xdr:col>7</xdr:col>
      <xdr:colOff>179917</xdr:colOff>
      <xdr:row>110</xdr:row>
      <xdr:rowOff>148166</xdr:rowOff>
    </xdr:to>
    <xdr:graphicFrame macro="">
      <xdr:nvGraphicFramePr>
        <xdr:cNvPr id="6" name="Chart 5">
          <a:extLst>
            <a:ext uri="{FF2B5EF4-FFF2-40B4-BE49-F238E27FC236}">
              <a16:creationId xmlns:a16="http://schemas.microsoft.com/office/drawing/2014/main" id="{F0F45464-5290-F2E5-C1F6-BB1FFEAF3AA8}"/>
            </a:ext>
            <a:ext uri="{147F2762-F138-4A5C-976F-8EAC2B608ADB}">
              <a16:predDERef xmlns:a16="http://schemas.microsoft.com/office/drawing/2014/main" pred="{5E75E128-5DF6-52DA-A17E-008F90427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210609</xdr:colOff>
      <xdr:row>85</xdr:row>
      <xdr:rowOff>15873</xdr:rowOff>
    </xdr:from>
    <xdr:to>
      <xdr:col>1</xdr:col>
      <xdr:colOff>2529417</xdr:colOff>
      <xdr:row>102</xdr:row>
      <xdr:rowOff>137584</xdr:rowOff>
    </xdr:to>
    <xdr:graphicFrame macro="">
      <xdr:nvGraphicFramePr>
        <xdr:cNvPr id="7" name="Chart 6">
          <a:extLst>
            <a:ext uri="{FF2B5EF4-FFF2-40B4-BE49-F238E27FC236}">
              <a16:creationId xmlns:a16="http://schemas.microsoft.com/office/drawing/2014/main" id="{F76EE105-DF79-A182-BE5B-8C1D708FF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790575</xdr:colOff>
      <xdr:row>74</xdr:row>
      <xdr:rowOff>3175</xdr:rowOff>
    </xdr:from>
    <xdr:to>
      <xdr:col>5</xdr:col>
      <xdr:colOff>695325</xdr:colOff>
      <xdr:row>88</xdr:row>
      <xdr:rowOff>168275</xdr:rowOff>
    </xdr:to>
    <xdr:graphicFrame macro="">
      <xdr:nvGraphicFramePr>
        <xdr:cNvPr id="2" name="Chart 1">
          <a:extLst>
            <a:ext uri="{FF2B5EF4-FFF2-40B4-BE49-F238E27FC236}">
              <a16:creationId xmlns:a16="http://schemas.microsoft.com/office/drawing/2014/main" id="{B188AA16-6F59-7423-84BE-C7E680CBD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1895475</xdr:colOff>
      <xdr:row>79</xdr:row>
      <xdr:rowOff>28574</xdr:rowOff>
    </xdr:from>
    <xdr:to>
      <xdr:col>8</xdr:col>
      <xdr:colOff>371475</xdr:colOff>
      <xdr:row>96</xdr:row>
      <xdr:rowOff>126999</xdr:rowOff>
    </xdr:to>
    <xdr:graphicFrame macro="">
      <xdr:nvGraphicFramePr>
        <xdr:cNvPr id="5" name="Chart 4">
          <a:extLst>
            <a:ext uri="{FF2B5EF4-FFF2-40B4-BE49-F238E27FC236}">
              <a16:creationId xmlns:a16="http://schemas.microsoft.com/office/drawing/2014/main" id="{3EDD5727-6DB0-1D32-702B-5DE154A2C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520700</xdr:colOff>
      <xdr:row>22</xdr:row>
      <xdr:rowOff>171450</xdr:rowOff>
    </xdr:from>
    <xdr:to>
      <xdr:col>14</xdr:col>
      <xdr:colOff>285750</xdr:colOff>
      <xdr:row>49</xdr:row>
      <xdr:rowOff>50800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30A1FB7-1925-CAEE-380A-F33BD89A95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25950" y="4222750"/>
              <a:ext cx="7810500" cy="4851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177A-7789-41F7-9F90-7297731ED6F5}">
  <dimension ref="A1:AO85"/>
  <sheetViews>
    <sheetView tabSelected="1" zoomScale="60" zoomScaleNormal="60" workbookViewId="0">
      <selection activeCell="F8" sqref="F8"/>
    </sheetView>
  </sheetViews>
  <sheetFormatPr defaultRowHeight="14.5" x14ac:dyDescent="0.35"/>
  <cols>
    <col min="1" max="1" width="33.26953125" customWidth="1"/>
    <col min="2" max="2" width="46.54296875" customWidth="1"/>
    <col min="3" max="3" width="27.26953125" customWidth="1"/>
    <col min="4" max="4" width="30.26953125" customWidth="1"/>
    <col min="5" max="5" width="36.54296875" customWidth="1"/>
    <col min="6" max="6" width="31.54296875" customWidth="1"/>
    <col min="7" max="7" width="20.54296875" customWidth="1"/>
    <col min="8" max="8" width="35.1796875" customWidth="1"/>
    <col min="9" max="9" width="93.7265625" customWidth="1"/>
    <col min="10" max="10" width="22.453125" customWidth="1"/>
    <col min="11" max="11" width="26.81640625" customWidth="1"/>
    <col min="16384" max="16384" width="9.1796875" bestFit="1" customWidth="1"/>
  </cols>
  <sheetData>
    <row r="1" spans="1:23" s="1" customFormat="1" x14ac:dyDescent="0.35">
      <c r="A1" s="1" t="s">
        <v>0</v>
      </c>
      <c r="B1" s="1" t="s">
        <v>1</v>
      </c>
      <c r="C1" s="1" t="s">
        <v>2</v>
      </c>
      <c r="D1" s="1" t="s">
        <v>3</v>
      </c>
      <c r="E1" s="1" t="s">
        <v>4</v>
      </c>
      <c r="F1" s="1" t="s">
        <v>5</v>
      </c>
      <c r="G1" s="1" t="s">
        <v>6</v>
      </c>
      <c r="H1" s="1" t="s">
        <v>7</v>
      </c>
      <c r="I1" s="1" t="s">
        <v>8</v>
      </c>
      <c r="J1" s="1" t="s">
        <v>9</v>
      </c>
    </row>
    <row r="2" spans="1:23" x14ac:dyDescent="0.35">
      <c r="A2" s="56" t="s">
        <v>10</v>
      </c>
      <c r="B2">
        <v>2013</v>
      </c>
      <c r="C2" t="s">
        <v>11</v>
      </c>
      <c r="D2" s="113" t="s">
        <v>12</v>
      </c>
      <c r="E2" t="s">
        <v>13</v>
      </c>
      <c r="F2" t="s">
        <v>14</v>
      </c>
      <c r="G2" t="s">
        <v>15</v>
      </c>
      <c r="H2" t="s">
        <v>16</v>
      </c>
      <c r="I2" t="s">
        <v>17</v>
      </c>
      <c r="J2" t="s">
        <v>18</v>
      </c>
    </row>
    <row r="3" spans="1:23" x14ac:dyDescent="0.35">
      <c r="A3" s="56" t="s">
        <v>19</v>
      </c>
      <c r="B3">
        <v>2013</v>
      </c>
      <c r="C3" t="s">
        <v>20</v>
      </c>
      <c r="D3" s="113" t="s">
        <v>21</v>
      </c>
      <c r="E3" t="s">
        <v>13</v>
      </c>
      <c r="F3" t="s">
        <v>22</v>
      </c>
      <c r="G3" s="113" t="s">
        <v>23</v>
      </c>
      <c r="H3" s="113" t="s">
        <v>24</v>
      </c>
      <c r="I3" t="s">
        <v>25</v>
      </c>
      <c r="J3" t="s">
        <v>18</v>
      </c>
    </row>
    <row r="4" spans="1:23" x14ac:dyDescent="0.35">
      <c r="A4" s="56" t="s">
        <v>26</v>
      </c>
      <c r="B4">
        <v>2014</v>
      </c>
      <c r="C4" t="s">
        <v>11</v>
      </c>
      <c r="D4" t="s">
        <v>27</v>
      </c>
      <c r="E4" t="s">
        <v>28</v>
      </c>
      <c r="F4" t="s">
        <v>29</v>
      </c>
      <c r="G4" t="s">
        <v>30</v>
      </c>
      <c r="H4" t="s">
        <v>31</v>
      </c>
      <c r="I4" t="s">
        <v>32</v>
      </c>
      <c r="J4" t="s">
        <v>33</v>
      </c>
    </row>
    <row r="5" spans="1:23" ht="12" customHeight="1" x14ac:dyDescent="0.35">
      <c r="A5" s="56" t="s">
        <v>34</v>
      </c>
      <c r="B5">
        <v>2015</v>
      </c>
      <c r="C5" t="s">
        <v>11</v>
      </c>
      <c r="D5" t="s">
        <v>35</v>
      </c>
      <c r="E5" t="s">
        <v>36</v>
      </c>
      <c r="F5" t="s">
        <v>37</v>
      </c>
      <c r="G5" s="113" t="s">
        <v>38</v>
      </c>
      <c r="H5" s="113" t="s">
        <v>39</v>
      </c>
      <c r="I5" s="113" t="s">
        <v>40</v>
      </c>
      <c r="J5" t="s">
        <v>41</v>
      </c>
    </row>
    <row r="6" spans="1:23" s="74" customFormat="1" ht="12.75" customHeight="1" x14ac:dyDescent="0.35">
      <c r="A6" s="56" t="s">
        <v>42</v>
      </c>
      <c r="B6">
        <v>2015</v>
      </c>
      <c r="C6" t="s">
        <v>11</v>
      </c>
      <c r="D6" t="s">
        <v>43</v>
      </c>
      <c r="E6" t="s">
        <v>44</v>
      </c>
      <c r="F6" t="s">
        <v>37</v>
      </c>
      <c r="G6" s="113" t="s">
        <v>45</v>
      </c>
      <c r="H6" t="s">
        <v>39</v>
      </c>
      <c r="I6" s="113" t="s">
        <v>46</v>
      </c>
      <c r="J6" s="113" t="s">
        <v>47</v>
      </c>
      <c r="K6"/>
      <c r="L6"/>
      <c r="M6"/>
      <c r="N6"/>
      <c r="O6"/>
      <c r="P6"/>
      <c r="Q6"/>
      <c r="R6"/>
      <c r="S6"/>
      <c r="T6"/>
      <c r="U6"/>
      <c r="V6"/>
      <c r="W6"/>
    </row>
    <row r="7" spans="1:23" ht="14.25" customHeight="1" x14ac:dyDescent="0.35">
      <c r="A7" s="56" t="s">
        <v>48</v>
      </c>
      <c r="B7" s="90">
        <v>2016</v>
      </c>
      <c r="C7" t="s">
        <v>49</v>
      </c>
      <c r="D7" t="s">
        <v>50</v>
      </c>
      <c r="E7" t="s">
        <v>51</v>
      </c>
      <c r="F7" t="s">
        <v>52</v>
      </c>
      <c r="G7" t="s">
        <v>53</v>
      </c>
      <c r="H7" t="s">
        <v>54</v>
      </c>
      <c r="I7" s="113" t="s">
        <v>55</v>
      </c>
      <c r="J7" t="s">
        <v>56</v>
      </c>
    </row>
    <row r="8" spans="1:23" x14ac:dyDescent="0.35">
      <c r="A8" s="56" t="s">
        <v>57</v>
      </c>
      <c r="B8">
        <v>2016</v>
      </c>
      <c r="C8" t="s">
        <v>58</v>
      </c>
      <c r="D8" t="s">
        <v>59</v>
      </c>
      <c r="E8" t="s">
        <v>60</v>
      </c>
      <c r="F8" s="113" t="s">
        <v>61</v>
      </c>
      <c r="G8" s="113" t="s">
        <v>62</v>
      </c>
      <c r="H8" s="113" t="s">
        <v>63</v>
      </c>
      <c r="I8" t="s">
        <v>64</v>
      </c>
      <c r="J8" t="s">
        <v>65</v>
      </c>
    </row>
    <row r="9" spans="1:23" x14ac:dyDescent="0.35">
      <c r="A9" s="56" t="s">
        <v>66</v>
      </c>
      <c r="B9">
        <v>2017</v>
      </c>
      <c r="C9" t="s">
        <v>11</v>
      </c>
      <c r="D9" t="s">
        <v>67</v>
      </c>
      <c r="E9" t="s">
        <v>68</v>
      </c>
      <c r="F9" t="s">
        <v>69</v>
      </c>
      <c r="G9" t="s">
        <v>70</v>
      </c>
      <c r="H9" s="113" t="s">
        <v>71</v>
      </c>
      <c r="I9" t="s">
        <v>72</v>
      </c>
      <c r="J9" t="s">
        <v>73</v>
      </c>
    </row>
    <row r="10" spans="1:23" x14ac:dyDescent="0.35">
      <c r="A10" s="56" t="s">
        <v>74</v>
      </c>
      <c r="B10">
        <v>2018</v>
      </c>
      <c r="C10" t="s">
        <v>75</v>
      </c>
      <c r="D10" t="s">
        <v>76</v>
      </c>
      <c r="E10" t="s">
        <v>77</v>
      </c>
      <c r="F10" t="s">
        <v>37</v>
      </c>
      <c r="G10" t="s">
        <v>78</v>
      </c>
      <c r="H10" t="s">
        <v>39</v>
      </c>
      <c r="I10" s="113" t="s">
        <v>79</v>
      </c>
      <c r="J10" s="73" t="s">
        <v>80</v>
      </c>
    </row>
    <row r="11" spans="1:23" x14ac:dyDescent="0.35">
      <c r="A11" s="56" t="s">
        <v>81</v>
      </c>
      <c r="B11">
        <v>2018</v>
      </c>
      <c r="C11" t="s">
        <v>75</v>
      </c>
      <c r="D11" t="s">
        <v>82</v>
      </c>
      <c r="E11" t="s">
        <v>83</v>
      </c>
      <c r="F11" t="s">
        <v>37</v>
      </c>
      <c r="G11" t="s">
        <v>84</v>
      </c>
      <c r="H11" t="s">
        <v>39</v>
      </c>
      <c r="I11" s="90" t="s">
        <v>85</v>
      </c>
      <c r="J11" t="s">
        <v>86</v>
      </c>
    </row>
    <row r="12" spans="1:23" ht="12" customHeight="1" x14ac:dyDescent="0.35">
      <c r="A12" s="56" t="s">
        <v>87</v>
      </c>
      <c r="B12">
        <v>2018</v>
      </c>
      <c r="C12" t="s">
        <v>11</v>
      </c>
      <c r="D12" t="s">
        <v>88</v>
      </c>
      <c r="E12" t="s">
        <v>89</v>
      </c>
      <c r="F12" t="s">
        <v>90</v>
      </c>
      <c r="G12" t="s">
        <v>91</v>
      </c>
      <c r="H12" t="s">
        <v>92</v>
      </c>
      <c r="I12" t="s">
        <v>93</v>
      </c>
      <c r="J12" t="s">
        <v>94</v>
      </c>
    </row>
    <row r="13" spans="1:23" ht="12.75" customHeight="1" x14ac:dyDescent="0.35">
      <c r="A13" s="56" t="s">
        <v>95</v>
      </c>
      <c r="B13">
        <v>2018</v>
      </c>
      <c r="C13" t="s">
        <v>11</v>
      </c>
      <c r="D13" t="s">
        <v>96</v>
      </c>
      <c r="E13" t="s">
        <v>97</v>
      </c>
      <c r="F13" t="s">
        <v>98</v>
      </c>
      <c r="G13" t="s">
        <v>99</v>
      </c>
      <c r="H13" t="s">
        <v>100</v>
      </c>
      <c r="I13" t="s">
        <v>101</v>
      </c>
      <c r="J13" t="s">
        <v>102</v>
      </c>
    </row>
    <row r="14" spans="1:23" x14ac:dyDescent="0.35">
      <c r="A14" s="56" t="s">
        <v>103</v>
      </c>
      <c r="B14">
        <v>2018</v>
      </c>
      <c r="C14" t="s">
        <v>11</v>
      </c>
      <c r="D14" t="s">
        <v>50</v>
      </c>
      <c r="E14" t="s">
        <v>104</v>
      </c>
      <c r="F14" t="s">
        <v>105</v>
      </c>
      <c r="G14" t="s">
        <v>106</v>
      </c>
      <c r="H14" t="s">
        <v>107</v>
      </c>
      <c r="I14" t="s">
        <v>108</v>
      </c>
      <c r="J14" t="s">
        <v>18</v>
      </c>
    </row>
    <row r="15" spans="1:23" x14ac:dyDescent="0.35">
      <c r="A15" s="56" t="s">
        <v>109</v>
      </c>
      <c r="B15">
        <v>2018</v>
      </c>
      <c r="C15" t="s">
        <v>11</v>
      </c>
      <c r="D15" s="67" t="s">
        <v>110</v>
      </c>
      <c r="E15" t="s">
        <v>111</v>
      </c>
      <c r="F15" t="s">
        <v>22</v>
      </c>
      <c r="G15" t="s">
        <v>112</v>
      </c>
      <c r="H15" t="s">
        <v>113</v>
      </c>
      <c r="I15" t="s">
        <v>114</v>
      </c>
      <c r="J15" t="s">
        <v>115</v>
      </c>
    </row>
    <row r="16" spans="1:23" x14ac:dyDescent="0.35">
      <c r="A16" s="56" t="s">
        <v>116</v>
      </c>
      <c r="B16">
        <v>2019</v>
      </c>
      <c r="C16" t="s">
        <v>11</v>
      </c>
      <c r="D16" t="s">
        <v>117</v>
      </c>
      <c r="E16" s="73" t="s">
        <v>111</v>
      </c>
      <c r="F16" t="s">
        <v>118</v>
      </c>
      <c r="G16" t="s">
        <v>119</v>
      </c>
      <c r="H16" t="s">
        <v>120</v>
      </c>
      <c r="I16" t="s">
        <v>121</v>
      </c>
      <c r="J16" t="s">
        <v>94</v>
      </c>
    </row>
    <row r="17" spans="1:41" ht="15" customHeight="1" x14ac:dyDescent="0.35">
      <c r="A17" s="56" t="s">
        <v>109</v>
      </c>
      <c r="B17">
        <v>2019</v>
      </c>
      <c r="C17" t="s">
        <v>11</v>
      </c>
      <c r="D17" t="s">
        <v>122</v>
      </c>
      <c r="E17" t="s">
        <v>123</v>
      </c>
      <c r="F17" t="s">
        <v>22</v>
      </c>
      <c r="G17" t="s">
        <v>124</v>
      </c>
      <c r="H17" s="14" t="s">
        <v>125</v>
      </c>
      <c r="I17" t="s">
        <v>126</v>
      </c>
      <c r="J17" t="s">
        <v>127</v>
      </c>
    </row>
    <row r="18" spans="1:41" x14ac:dyDescent="0.35">
      <c r="A18" s="56" t="s">
        <v>128</v>
      </c>
      <c r="B18" s="90">
        <v>2019</v>
      </c>
      <c r="C18" t="s">
        <v>11</v>
      </c>
      <c r="D18" t="s">
        <v>129</v>
      </c>
      <c r="E18" s="73" t="s">
        <v>130</v>
      </c>
      <c r="F18" t="s">
        <v>37</v>
      </c>
      <c r="G18" t="s">
        <v>131</v>
      </c>
      <c r="H18" t="s">
        <v>132</v>
      </c>
      <c r="I18" t="s">
        <v>133</v>
      </c>
      <c r="J18" t="s">
        <v>86</v>
      </c>
    </row>
    <row r="19" spans="1:41" x14ac:dyDescent="0.35">
      <c r="A19" s="56" t="s">
        <v>134</v>
      </c>
      <c r="B19">
        <v>2020</v>
      </c>
      <c r="C19" t="s">
        <v>135</v>
      </c>
      <c r="D19" s="67" t="s">
        <v>50</v>
      </c>
      <c r="E19" t="s">
        <v>136</v>
      </c>
      <c r="F19" t="s">
        <v>37</v>
      </c>
      <c r="G19" t="s">
        <v>137</v>
      </c>
      <c r="H19" t="s">
        <v>138</v>
      </c>
      <c r="I19" t="s">
        <v>139</v>
      </c>
      <c r="J19" t="s">
        <v>140</v>
      </c>
    </row>
    <row r="20" spans="1:41" x14ac:dyDescent="0.35">
      <c r="A20" s="56" t="s">
        <v>141</v>
      </c>
      <c r="B20">
        <v>2020</v>
      </c>
      <c r="C20" t="s">
        <v>11</v>
      </c>
      <c r="D20" t="s">
        <v>142</v>
      </c>
      <c r="E20" t="s">
        <v>143</v>
      </c>
      <c r="F20" t="s">
        <v>37</v>
      </c>
      <c r="G20" t="s">
        <v>144</v>
      </c>
      <c r="H20" t="s">
        <v>39</v>
      </c>
      <c r="I20" t="s">
        <v>145</v>
      </c>
      <c r="J20" t="s">
        <v>146</v>
      </c>
    </row>
    <row r="21" spans="1:41" x14ac:dyDescent="0.35">
      <c r="A21" s="56" t="s">
        <v>147</v>
      </c>
      <c r="B21">
        <v>2020</v>
      </c>
      <c r="C21" t="s">
        <v>11</v>
      </c>
      <c r="D21" t="s">
        <v>129</v>
      </c>
      <c r="E21" t="s">
        <v>148</v>
      </c>
      <c r="F21" t="s">
        <v>37</v>
      </c>
      <c r="G21" t="s">
        <v>149</v>
      </c>
      <c r="H21" t="s">
        <v>39</v>
      </c>
      <c r="I21" t="s">
        <v>150</v>
      </c>
      <c r="J21" t="s">
        <v>146</v>
      </c>
    </row>
    <row r="22" spans="1:41" ht="12" customHeight="1" x14ac:dyDescent="0.35">
      <c r="A22" s="56" t="s">
        <v>151</v>
      </c>
      <c r="B22">
        <v>2020</v>
      </c>
      <c r="C22" t="s">
        <v>11</v>
      </c>
      <c r="D22" s="14" t="s">
        <v>152</v>
      </c>
      <c r="E22" t="s">
        <v>13</v>
      </c>
      <c r="F22" t="s">
        <v>153</v>
      </c>
      <c r="G22" t="s">
        <v>154</v>
      </c>
      <c r="H22" t="s">
        <v>155</v>
      </c>
      <c r="I22" t="s">
        <v>156</v>
      </c>
      <c r="J22" t="s">
        <v>157</v>
      </c>
    </row>
    <row r="23" spans="1:41" ht="11.25" customHeight="1" x14ac:dyDescent="0.35">
      <c r="A23" s="56" t="s">
        <v>158</v>
      </c>
      <c r="B23" s="90">
        <v>2020</v>
      </c>
      <c r="C23" t="s">
        <v>11</v>
      </c>
      <c r="D23" t="s">
        <v>88</v>
      </c>
      <c r="E23" t="s">
        <v>159</v>
      </c>
      <c r="F23" t="s">
        <v>37</v>
      </c>
      <c r="G23" t="s">
        <v>160</v>
      </c>
      <c r="H23" t="s">
        <v>161</v>
      </c>
      <c r="I23" t="s">
        <v>162</v>
      </c>
      <c r="J23" s="113" t="s">
        <v>163</v>
      </c>
    </row>
    <row r="24" spans="1:41" x14ac:dyDescent="0.35">
      <c r="A24" s="56" t="s">
        <v>164</v>
      </c>
      <c r="B24" s="90">
        <v>2021</v>
      </c>
      <c r="C24" t="s">
        <v>11</v>
      </c>
      <c r="D24" s="56" t="s">
        <v>50</v>
      </c>
      <c r="E24" t="s">
        <v>13</v>
      </c>
      <c r="F24" t="s">
        <v>37</v>
      </c>
      <c r="G24" t="s">
        <v>165</v>
      </c>
      <c r="H24" t="s">
        <v>166</v>
      </c>
      <c r="I24" t="s">
        <v>167</v>
      </c>
      <c r="J24" t="s">
        <v>157</v>
      </c>
    </row>
    <row r="25" spans="1:41" x14ac:dyDescent="0.35">
      <c r="A25" s="56" t="s">
        <v>168</v>
      </c>
      <c r="B25">
        <v>2021</v>
      </c>
      <c r="C25" t="s">
        <v>11</v>
      </c>
      <c r="D25" s="67" t="s">
        <v>169</v>
      </c>
      <c r="E25" t="s">
        <v>170</v>
      </c>
      <c r="F25" t="s">
        <v>29</v>
      </c>
      <c r="G25" t="s">
        <v>171</v>
      </c>
      <c r="H25" t="s">
        <v>172</v>
      </c>
      <c r="I25" t="s">
        <v>173</v>
      </c>
      <c r="J25" t="s">
        <v>86</v>
      </c>
    </row>
    <row r="26" spans="1:41" s="75" customFormat="1" x14ac:dyDescent="0.35">
      <c r="A26" s="56" t="s">
        <v>116</v>
      </c>
      <c r="B26">
        <v>2021</v>
      </c>
      <c r="C26" t="s">
        <v>75</v>
      </c>
      <c r="D26" s="67" t="s">
        <v>174</v>
      </c>
      <c r="E26" t="s">
        <v>175</v>
      </c>
      <c r="F26" t="s">
        <v>37</v>
      </c>
      <c r="G26" t="s">
        <v>176</v>
      </c>
      <c r="H26" t="s">
        <v>39</v>
      </c>
      <c r="I26" t="s">
        <v>177</v>
      </c>
      <c r="J26" t="s">
        <v>86</v>
      </c>
      <c r="K26"/>
      <c r="L26"/>
      <c r="M26"/>
      <c r="N26"/>
      <c r="O26"/>
      <c r="P26"/>
      <c r="Q26"/>
      <c r="R26"/>
      <c r="S26"/>
      <c r="T26"/>
      <c r="U26"/>
      <c r="V26"/>
      <c r="W26"/>
      <c r="X26"/>
      <c r="Y26"/>
      <c r="Z26"/>
      <c r="AA26"/>
      <c r="AB26"/>
      <c r="AC26"/>
      <c r="AD26"/>
      <c r="AE26"/>
      <c r="AF26"/>
      <c r="AG26"/>
      <c r="AH26"/>
      <c r="AI26"/>
      <c r="AJ26"/>
      <c r="AK26"/>
      <c r="AL26"/>
      <c r="AM26"/>
      <c r="AN26"/>
      <c r="AO26"/>
    </row>
    <row r="27" spans="1:41" x14ac:dyDescent="0.35">
      <c r="A27" s="56" t="s">
        <v>178</v>
      </c>
      <c r="B27">
        <v>2021</v>
      </c>
      <c r="C27" t="s">
        <v>75</v>
      </c>
      <c r="D27" t="s">
        <v>179</v>
      </c>
      <c r="E27" t="s">
        <v>180</v>
      </c>
      <c r="F27" t="s">
        <v>37</v>
      </c>
      <c r="G27" t="s">
        <v>137</v>
      </c>
      <c r="H27" t="s">
        <v>138</v>
      </c>
      <c r="I27" t="s">
        <v>181</v>
      </c>
      <c r="J27" t="s">
        <v>182</v>
      </c>
    </row>
    <row r="28" spans="1:41" ht="12.75" customHeight="1" x14ac:dyDescent="0.35">
      <c r="A28" s="56" t="s">
        <v>183</v>
      </c>
      <c r="B28">
        <v>2021</v>
      </c>
      <c r="C28" t="s">
        <v>11</v>
      </c>
      <c r="D28" s="67" t="s">
        <v>184</v>
      </c>
      <c r="E28" t="s">
        <v>185</v>
      </c>
      <c r="F28" t="s">
        <v>37</v>
      </c>
      <c r="G28" t="s">
        <v>84</v>
      </c>
      <c r="H28" t="s">
        <v>186</v>
      </c>
      <c r="I28" t="s">
        <v>187</v>
      </c>
      <c r="J28" t="s">
        <v>188</v>
      </c>
    </row>
    <row r="29" spans="1:41" ht="14.25" customHeight="1" x14ac:dyDescent="0.35">
      <c r="A29" s="56" t="s">
        <v>189</v>
      </c>
      <c r="B29">
        <v>2021</v>
      </c>
      <c r="C29" t="s">
        <v>75</v>
      </c>
      <c r="D29" s="67" t="s">
        <v>190</v>
      </c>
      <c r="E29" t="s">
        <v>191</v>
      </c>
      <c r="F29" t="s">
        <v>37</v>
      </c>
      <c r="G29" t="s">
        <v>149</v>
      </c>
      <c r="H29" t="s">
        <v>39</v>
      </c>
      <c r="I29" t="s">
        <v>64</v>
      </c>
      <c r="J29" t="s">
        <v>86</v>
      </c>
    </row>
    <row r="30" spans="1:41" s="73" customFormat="1" ht="12.75" customHeight="1" x14ac:dyDescent="0.35">
      <c r="A30" s="56" t="s">
        <v>192</v>
      </c>
      <c r="B30" s="73">
        <v>2021</v>
      </c>
      <c r="C30" s="73" t="s">
        <v>193</v>
      </c>
      <c r="D30" s="73" t="s">
        <v>194</v>
      </c>
      <c r="E30" s="73" t="s">
        <v>195</v>
      </c>
      <c r="F30" s="73" t="s">
        <v>37</v>
      </c>
      <c r="G30" s="73" t="s">
        <v>196</v>
      </c>
      <c r="H30" s="73" t="s">
        <v>197</v>
      </c>
      <c r="I30" s="73" t="s">
        <v>198</v>
      </c>
      <c r="J30" s="73" t="s">
        <v>199</v>
      </c>
    </row>
    <row r="31" spans="1:41" ht="15" customHeight="1" x14ac:dyDescent="0.35">
      <c r="A31" s="56" t="s">
        <v>200</v>
      </c>
      <c r="B31">
        <v>2021</v>
      </c>
      <c r="C31" t="s">
        <v>75</v>
      </c>
      <c r="D31" t="s">
        <v>201</v>
      </c>
      <c r="E31" t="s">
        <v>202</v>
      </c>
      <c r="F31" t="s">
        <v>37</v>
      </c>
      <c r="G31" t="s">
        <v>203</v>
      </c>
      <c r="H31" t="s">
        <v>204</v>
      </c>
      <c r="I31" t="s">
        <v>139</v>
      </c>
      <c r="J31" s="115" t="s">
        <v>205</v>
      </c>
    </row>
    <row r="32" spans="1:41" ht="14.25" customHeight="1" x14ac:dyDescent="0.35">
      <c r="A32" s="56" t="s">
        <v>206</v>
      </c>
      <c r="B32">
        <v>2021</v>
      </c>
      <c r="C32" t="s">
        <v>207</v>
      </c>
      <c r="D32" t="s">
        <v>208</v>
      </c>
      <c r="E32" t="s">
        <v>209</v>
      </c>
      <c r="F32" t="s">
        <v>37</v>
      </c>
      <c r="G32" t="s">
        <v>84</v>
      </c>
      <c r="H32" t="s">
        <v>39</v>
      </c>
      <c r="I32" t="s">
        <v>210</v>
      </c>
      <c r="J32" t="s">
        <v>86</v>
      </c>
    </row>
    <row r="33" spans="1:10" x14ac:dyDescent="0.35">
      <c r="A33" s="15" t="s">
        <v>211</v>
      </c>
      <c r="B33">
        <v>2021</v>
      </c>
      <c r="C33" t="s">
        <v>11</v>
      </c>
      <c r="D33" t="s">
        <v>50</v>
      </c>
      <c r="E33" t="s">
        <v>212</v>
      </c>
      <c r="F33" t="s">
        <v>37</v>
      </c>
      <c r="G33" t="s">
        <v>213</v>
      </c>
      <c r="H33" t="s">
        <v>186</v>
      </c>
      <c r="I33" t="s">
        <v>214</v>
      </c>
      <c r="J33" s="113" t="s">
        <v>157</v>
      </c>
    </row>
    <row r="34" spans="1:10" ht="14.25" customHeight="1" x14ac:dyDescent="0.35">
      <c r="A34" s="102" t="s">
        <v>215</v>
      </c>
      <c r="B34">
        <v>2021</v>
      </c>
      <c r="C34" t="s">
        <v>11</v>
      </c>
      <c r="D34" s="67" t="s">
        <v>216</v>
      </c>
      <c r="E34" t="s">
        <v>217</v>
      </c>
      <c r="F34" t="s">
        <v>37</v>
      </c>
      <c r="G34" t="s">
        <v>218</v>
      </c>
      <c r="H34" t="s">
        <v>39</v>
      </c>
      <c r="I34" t="s">
        <v>219</v>
      </c>
      <c r="J34" s="113" t="s">
        <v>94</v>
      </c>
    </row>
    <row r="35" spans="1:10" ht="15" customHeight="1" x14ac:dyDescent="0.35">
      <c r="A35" s="78" t="s">
        <v>220</v>
      </c>
      <c r="B35">
        <v>2021</v>
      </c>
      <c r="C35" t="s">
        <v>11</v>
      </c>
      <c r="D35" s="67" t="s">
        <v>221</v>
      </c>
      <c r="E35" t="s">
        <v>222</v>
      </c>
      <c r="F35" t="s">
        <v>223</v>
      </c>
      <c r="G35" t="s">
        <v>224</v>
      </c>
      <c r="H35" t="s">
        <v>225</v>
      </c>
      <c r="I35" t="s">
        <v>226</v>
      </c>
      <c r="J35" t="s">
        <v>146</v>
      </c>
    </row>
    <row r="36" spans="1:10" ht="13.5" customHeight="1" x14ac:dyDescent="0.35">
      <c r="A36" s="56" t="s">
        <v>227</v>
      </c>
      <c r="B36">
        <v>2021</v>
      </c>
      <c r="C36" t="s">
        <v>75</v>
      </c>
      <c r="D36" s="67" t="s">
        <v>228</v>
      </c>
      <c r="E36" s="90" t="s">
        <v>229</v>
      </c>
      <c r="F36" t="s">
        <v>37</v>
      </c>
      <c r="G36" t="s">
        <v>230</v>
      </c>
      <c r="H36" t="s">
        <v>132</v>
      </c>
      <c r="I36" s="14" t="s">
        <v>231</v>
      </c>
      <c r="J36" t="s">
        <v>102</v>
      </c>
    </row>
    <row r="37" spans="1:10" x14ac:dyDescent="0.35">
      <c r="A37" s="56" t="s">
        <v>232</v>
      </c>
      <c r="B37">
        <v>2021</v>
      </c>
      <c r="C37" t="s">
        <v>11</v>
      </c>
      <c r="D37" s="67" t="s">
        <v>233</v>
      </c>
      <c r="E37" t="s">
        <v>234</v>
      </c>
      <c r="F37" t="s">
        <v>37</v>
      </c>
      <c r="G37" t="s">
        <v>235</v>
      </c>
      <c r="H37" t="s">
        <v>39</v>
      </c>
      <c r="I37" t="s">
        <v>64</v>
      </c>
      <c r="J37" t="s">
        <v>102</v>
      </c>
    </row>
    <row r="38" spans="1:10" x14ac:dyDescent="0.35">
      <c r="A38" s="56" t="s">
        <v>236</v>
      </c>
      <c r="B38">
        <v>2021</v>
      </c>
      <c r="C38" t="s">
        <v>135</v>
      </c>
      <c r="D38" s="67" t="s">
        <v>237</v>
      </c>
      <c r="E38" t="s">
        <v>238</v>
      </c>
      <c r="F38" t="s">
        <v>37</v>
      </c>
      <c r="G38" t="s">
        <v>239</v>
      </c>
      <c r="H38" t="s">
        <v>132</v>
      </c>
      <c r="I38" t="s">
        <v>240</v>
      </c>
      <c r="J38" t="s">
        <v>241</v>
      </c>
    </row>
    <row r="39" spans="1:10" ht="11.25" customHeight="1" x14ac:dyDescent="0.35">
      <c r="A39" s="56" t="s">
        <v>242</v>
      </c>
      <c r="B39" s="90">
        <v>2022</v>
      </c>
      <c r="C39" t="s">
        <v>11</v>
      </c>
      <c r="D39" s="67" t="s">
        <v>243</v>
      </c>
      <c r="E39" t="s">
        <v>244</v>
      </c>
      <c r="F39" t="s">
        <v>37</v>
      </c>
      <c r="G39" t="s">
        <v>245</v>
      </c>
      <c r="H39" t="s">
        <v>39</v>
      </c>
      <c r="I39" t="s">
        <v>246</v>
      </c>
      <c r="J39" t="s">
        <v>102</v>
      </c>
    </row>
    <row r="40" spans="1:10" ht="12.75" customHeight="1" x14ac:dyDescent="0.35">
      <c r="A40" s="56" t="s">
        <v>247</v>
      </c>
      <c r="B40">
        <v>2022</v>
      </c>
      <c r="C40" t="s">
        <v>11</v>
      </c>
      <c r="D40" s="67" t="s">
        <v>248</v>
      </c>
      <c r="E40" t="s">
        <v>249</v>
      </c>
      <c r="F40" t="s">
        <v>37</v>
      </c>
      <c r="G40" t="s">
        <v>250</v>
      </c>
      <c r="H40" t="s">
        <v>251</v>
      </c>
      <c r="I40" t="s">
        <v>252</v>
      </c>
      <c r="J40" t="s">
        <v>146</v>
      </c>
    </row>
    <row r="41" spans="1:10" x14ac:dyDescent="0.35">
      <c r="A41" s="56" t="s">
        <v>253</v>
      </c>
      <c r="B41">
        <v>2022</v>
      </c>
      <c r="C41" t="s">
        <v>11</v>
      </c>
      <c r="D41" t="s">
        <v>254</v>
      </c>
      <c r="E41" t="s">
        <v>255</v>
      </c>
      <c r="F41" t="s">
        <v>37</v>
      </c>
      <c r="G41" t="s">
        <v>256</v>
      </c>
      <c r="H41" t="s">
        <v>257</v>
      </c>
      <c r="I41" t="s">
        <v>258</v>
      </c>
      <c r="J41" t="s">
        <v>259</v>
      </c>
    </row>
    <row r="42" spans="1:10" x14ac:dyDescent="0.35">
      <c r="A42" s="56" t="s">
        <v>260</v>
      </c>
      <c r="B42">
        <v>2022</v>
      </c>
      <c r="C42" t="s">
        <v>11</v>
      </c>
      <c r="D42" t="s">
        <v>261</v>
      </c>
      <c r="E42" t="s">
        <v>262</v>
      </c>
      <c r="F42" t="s">
        <v>37</v>
      </c>
      <c r="G42" t="s">
        <v>263</v>
      </c>
      <c r="H42" t="s">
        <v>39</v>
      </c>
      <c r="I42" t="s">
        <v>264</v>
      </c>
      <c r="J42" s="114" t="s">
        <v>94</v>
      </c>
    </row>
    <row r="43" spans="1:10" x14ac:dyDescent="0.35">
      <c r="A43" s="56" t="s">
        <v>232</v>
      </c>
      <c r="B43">
        <v>2022</v>
      </c>
      <c r="C43" t="s">
        <v>11</v>
      </c>
      <c r="D43" s="67" t="s">
        <v>248</v>
      </c>
      <c r="E43" t="s">
        <v>265</v>
      </c>
      <c r="F43" t="s">
        <v>37</v>
      </c>
      <c r="G43" t="s">
        <v>266</v>
      </c>
      <c r="H43" t="s">
        <v>267</v>
      </c>
      <c r="I43" t="s">
        <v>264</v>
      </c>
      <c r="J43" t="s">
        <v>188</v>
      </c>
    </row>
    <row r="44" spans="1:10" x14ac:dyDescent="0.35">
      <c r="A44" s="56" t="s">
        <v>268</v>
      </c>
      <c r="B44">
        <v>2022</v>
      </c>
      <c r="C44" t="s">
        <v>269</v>
      </c>
      <c r="D44" t="s">
        <v>270</v>
      </c>
      <c r="E44" t="s">
        <v>271</v>
      </c>
      <c r="F44" t="s">
        <v>37</v>
      </c>
      <c r="G44" t="s">
        <v>272</v>
      </c>
      <c r="H44" t="s">
        <v>273</v>
      </c>
      <c r="I44" t="s">
        <v>274</v>
      </c>
      <c r="J44" t="s">
        <v>275</v>
      </c>
    </row>
    <row r="45" spans="1:10" ht="29" x14ac:dyDescent="0.35">
      <c r="A45" s="56" t="s">
        <v>276</v>
      </c>
      <c r="B45">
        <v>2022</v>
      </c>
      <c r="C45" s="56" t="s">
        <v>207</v>
      </c>
      <c r="D45" s="15" t="s">
        <v>277</v>
      </c>
      <c r="E45" s="56" t="s">
        <v>278</v>
      </c>
      <c r="F45" t="s">
        <v>37</v>
      </c>
      <c r="G45" t="s">
        <v>279</v>
      </c>
      <c r="H45" t="s">
        <v>132</v>
      </c>
      <c r="I45" s="14" t="s">
        <v>231</v>
      </c>
      <c r="J45" t="s">
        <v>280</v>
      </c>
    </row>
    <row r="46" spans="1:10" x14ac:dyDescent="0.35">
      <c r="A46" s="15" t="s">
        <v>281</v>
      </c>
      <c r="B46">
        <v>2022</v>
      </c>
      <c r="C46" t="s">
        <v>11</v>
      </c>
      <c r="D46" t="s">
        <v>282</v>
      </c>
      <c r="E46" t="s">
        <v>283</v>
      </c>
      <c r="F46" t="s">
        <v>37</v>
      </c>
      <c r="G46" s="113" t="s">
        <v>284</v>
      </c>
      <c r="H46" t="s">
        <v>39</v>
      </c>
      <c r="I46" t="s">
        <v>285</v>
      </c>
      <c r="J46" t="s">
        <v>286</v>
      </c>
    </row>
    <row r="47" spans="1:10" x14ac:dyDescent="0.35">
      <c r="A47" s="56" t="s">
        <v>287</v>
      </c>
      <c r="B47">
        <v>2022</v>
      </c>
      <c r="C47" s="56" t="s">
        <v>11</v>
      </c>
      <c r="D47" s="56" t="s">
        <v>288</v>
      </c>
      <c r="E47" s="56" t="s">
        <v>289</v>
      </c>
      <c r="F47" t="s">
        <v>153</v>
      </c>
      <c r="G47" t="s">
        <v>290</v>
      </c>
      <c r="H47" t="s">
        <v>291</v>
      </c>
      <c r="I47" t="s">
        <v>292</v>
      </c>
      <c r="J47" t="s">
        <v>280</v>
      </c>
    </row>
    <row r="48" spans="1:10" x14ac:dyDescent="0.35">
      <c r="A48" s="56" t="s">
        <v>293</v>
      </c>
      <c r="B48">
        <v>2022</v>
      </c>
      <c r="C48" s="56" t="s">
        <v>75</v>
      </c>
      <c r="D48" s="56" t="s">
        <v>294</v>
      </c>
      <c r="E48" s="56" t="s">
        <v>295</v>
      </c>
      <c r="F48" t="s">
        <v>37</v>
      </c>
      <c r="G48" t="s">
        <v>296</v>
      </c>
      <c r="H48" t="s">
        <v>132</v>
      </c>
      <c r="I48" t="s">
        <v>297</v>
      </c>
      <c r="J48" t="s">
        <v>80</v>
      </c>
    </row>
    <row r="49" spans="1:10" x14ac:dyDescent="0.35">
      <c r="A49" s="56" t="s">
        <v>298</v>
      </c>
      <c r="B49">
        <v>2022</v>
      </c>
      <c r="C49" s="56" t="s">
        <v>11</v>
      </c>
      <c r="D49" s="56" t="s">
        <v>299</v>
      </c>
      <c r="E49" s="56" t="s">
        <v>300</v>
      </c>
      <c r="F49" t="s">
        <v>301</v>
      </c>
      <c r="G49" t="s">
        <v>302</v>
      </c>
      <c r="H49" t="s">
        <v>303</v>
      </c>
      <c r="I49" t="s">
        <v>304</v>
      </c>
      <c r="J49" t="s">
        <v>188</v>
      </c>
    </row>
    <row r="50" spans="1:10" x14ac:dyDescent="0.35">
      <c r="A50" s="56" t="s">
        <v>236</v>
      </c>
      <c r="B50">
        <v>2022</v>
      </c>
      <c r="C50" s="56" t="s">
        <v>305</v>
      </c>
      <c r="D50" s="56" t="s">
        <v>306</v>
      </c>
      <c r="E50" s="56" t="s">
        <v>307</v>
      </c>
      <c r="F50" t="s">
        <v>37</v>
      </c>
      <c r="G50" t="s">
        <v>308</v>
      </c>
      <c r="H50" t="s">
        <v>309</v>
      </c>
      <c r="I50" t="s">
        <v>310</v>
      </c>
      <c r="J50" t="s">
        <v>280</v>
      </c>
    </row>
    <row r="51" spans="1:10" x14ac:dyDescent="0.35">
      <c r="A51" s="56" t="s">
        <v>206</v>
      </c>
      <c r="B51">
        <v>2023</v>
      </c>
      <c r="C51" t="s">
        <v>11</v>
      </c>
      <c r="D51" t="s">
        <v>311</v>
      </c>
      <c r="E51" t="s">
        <v>312</v>
      </c>
      <c r="F51" t="s">
        <v>37</v>
      </c>
      <c r="G51" t="s">
        <v>84</v>
      </c>
      <c r="H51" t="s">
        <v>39</v>
      </c>
      <c r="I51" t="s">
        <v>313</v>
      </c>
      <c r="J51" t="s">
        <v>314</v>
      </c>
    </row>
    <row r="52" spans="1:10" x14ac:dyDescent="0.35">
      <c r="A52" t="s">
        <v>315</v>
      </c>
      <c r="B52">
        <v>2023</v>
      </c>
      <c r="C52" t="s">
        <v>316</v>
      </c>
      <c r="D52" t="s">
        <v>317</v>
      </c>
      <c r="E52" t="s">
        <v>318</v>
      </c>
      <c r="F52" t="s">
        <v>37</v>
      </c>
      <c r="G52" s="113" t="s">
        <v>319</v>
      </c>
      <c r="H52" s="113" t="s">
        <v>320</v>
      </c>
      <c r="I52" s="113" t="s">
        <v>321</v>
      </c>
      <c r="J52" s="113" t="s">
        <v>280</v>
      </c>
    </row>
    <row r="54" spans="1:10" x14ac:dyDescent="0.35">
      <c r="B54" s="93" t="s">
        <v>322</v>
      </c>
      <c r="C54" s="75" t="s">
        <v>323</v>
      </c>
      <c r="D54" s="88" t="s">
        <v>324</v>
      </c>
      <c r="E54" s="88"/>
    </row>
    <row r="55" spans="1:10" s="1" customFormat="1" x14ac:dyDescent="0.35">
      <c r="A55" s="1" t="s">
        <v>325</v>
      </c>
      <c r="C55" s="94" t="s">
        <v>326</v>
      </c>
      <c r="E55" s="1" t="s">
        <v>5</v>
      </c>
      <c r="F55" s="1" t="s">
        <v>327</v>
      </c>
      <c r="G55" s="1" t="s">
        <v>7</v>
      </c>
      <c r="H55" s="1" t="s">
        <v>327</v>
      </c>
    </row>
    <row r="56" spans="1:10" x14ac:dyDescent="0.35">
      <c r="A56">
        <v>2023</v>
      </c>
      <c r="C56">
        <f>COUNTIF(B1:B52, 2023)</f>
        <v>2</v>
      </c>
      <c r="E56" t="s">
        <v>37</v>
      </c>
      <c r="F56" s="95">
        <f>COUNTIF(F1:F52, "*English*")</f>
        <v>39</v>
      </c>
      <c r="G56" t="s">
        <v>39</v>
      </c>
      <c r="H56" s="94">
        <f>COUNTIF(H1:H52, "*IEMOCAP*")</f>
        <v>30</v>
      </c>
    </row>
    <row r="57" spans="1:10" x14ac:dyDescent="0.35">
      <c r="A57">
        <v>2022</v>
      </c>
      <c r="C57">
        <f>COUNTIF(B2:B53, 2022)</f>
        <v>12</v>
      </c>
      <c r="E57" t="s">
        <v>22</v>
      </c>
      <c r="F57" s="95">
        <f>COUNTIF(F2:F54, "*Chinese*")</f>
        <v>6</v>
      </c>
      <c r="G57" t="s">
        <v>138</v>
      </c>
      <c r="H57" s="94">
        <f>COUNTIF(H2:H53, "*MELD*")</f>
        <v>10</v>
      </c>
    </row>
    <row r="58" spans="1:10" x14ac:dyDescent="0.35">
      <c r="A58">
        <v>2021</v>
      </c>
      <c r="C58">
        <f>COUNTIF(B2:B54, 2021)</f>
        <v>15</v>
      </c>
      <c r="E58" t="s">
        <v>328</v>
      </c>
      <c r="F58" s="95">
        <f>COUNTIF(F2:F53, "*French*")</f>
        <v>2</v>
      </c>
      <c r="G58" t="s">
        <v>329</v>
      </c>
      <c r="H58">
        <v>6</v>
      </c>
    </row>
    <row r="59" spans="1:10" x14ac:dyDescent="0.35">
      <c r="A59">
        <v>2020</v>
      </c>
      <c r="C59">
        <f>COUNTIF(B3:B55, 2020)</f>
        <v>5</v>
      </c>
      <c r="E59" t="s">
        <v>153</v>
      </c>
      <c r="F59" s="95">
        <f>COUNTIF(F3:F52, "*Dutch*")</f>
        <v>2</v>
      </c>
      <c r="G59" t="s">
        <v>330</v>
      </c>
      <c r="H59" s="94">
        <v>5</v>
      </c>
    </row>
    <row r="60" spans="1:10" x14ac:dyDescent="0.35">
      <c r="A60">
        <v>2019</v>
      </c>
      <c r="C60">
        <f>COUNTIF(B3:B56, 2019)</f>
        <v>3</v>
      </c>
      <c r="E60" t="s">
        <v>331</v>
      </c>
      <c r="F60" s="95">
        <f>COUNTIF(F3:F55, "*Bengali*")</f>
        <v>1</v>
      </c>
      <c r="G60" t="s">
        <v>332</v>
      </c>
      <c r="H60" s="94">
        <f>COUNTIF(H3:H57, "*NNIME*")</f>
        <v>3</v>
      </c>
    </row>
    <row r="61" spans="1:10" x14ac:dyDescent="0.35">
      <c r="A61">
        <v>2018</v>
      </c>
      <c r="C61">
        <f>COUNTIF(B4:B52, 2018)</f>
        <v>6</v>
      </c>
      <c r="E61" t="s">
        <v>14</v>
      </c>
      <c r="F61" s="95">
        <v>1</v>
      </c>
      <c r="G61" t="s">
        <v>251</v>
      </c>
      <c r="H61">
        <f>COUNTIF(H1:H52, "*K-EmoCon*")</f>
        <v>2</v>
      </c>
    </row>
    <row r="62" spans="1:10" x14ac:dyDescent="0.35">
      <c r="A62">
        <v>2017</v>
      </c>
      <c r="C62">
        <f>COUNTIF(B2:B53, 2017)</f>
        <v>1</v>
      </c>
      <c r="E62" t="s">
        <v>69</v>
      </c>
      <c r="F62" s="95">
        <f>COUNTIF(F5:F52, "*Malay*")</f>
        <v>1</v>
      </c>
      <c r="G62" t="s">
        <v>333</v>
      </c>
      <c r="H62" s="94">
        <f>COUNTIF(H4:H59, "*MSP-IMPROV*")</f>
        <v>2</v>
      </c>
    </row>
    <row r="63" spans="1:10" x14ac:dyDescent="0.35">
      <c r="A63">
        <v>2016</v>
      </c>
      <c r="C63">
        <f>COUNTIF(B5:B52, 2016)</f>
        <v>2</v>
      </c>
      <c r="E63" t="s">
        <v>334</v>
      </c>
      <c r="F63" s="95">
        <v>1</v>
      </c>
      <c r="G63" t="s">
        <v>335</v>
      </c>
      <c r="H63" s="94">
        <v>2</v>
      </c>
    </row>
    <row r="64" spans="1:10" x14ac:dyDescent="0.35">
      <c r="A64">
        <v>2015</v>
      </c>
      <c r="C64">
        <f>COUNTIF(B6:B52, 2015)</f>
        <v>1</v>
      </c>
      <c r="E64" t="s">
        <v>105</v>
      </c>
      <c r="F64" s="95">
        <f>COUNTIF(F8:F52, "*Hungarian*")</f>
        <v>1</v>
      </c>
      <c r="G64" t="s">
        <v>336</v>
      </c>
      <c r="H64">
        <v>2</v>
      </c>
    </row>
    <row r="65" spans="1:8" x14ac:dyDescent="0.35">
      <c r="A65">
        <v>2014</v>
      </c>
      <c r="C65">
        <f>COUNTIF(B2:B52, 2014)</f>
        <v>1</v>
      </c>
      <c r="E65" t="s">
        <v>118</v>
      </c>
      <c r="F65" s="95">
        <v>2</v>
      </c>
      <c r="G65" t="s">
        <v>337</v>
      </c>
      <c r="H65">
        <v>1</v>
      </c>
    </row>
    <row r="66" spans="1:8" x14ac:dyDescent="0.35">
      <c r="A66">
        <v>2013</v>
      </c>
      <c r="C66">
        <f>COUNTIF(B2:B53, 2013)</f>
        <v>2</v>
      </c>
      <c r="G66" t="s">
        <v>31</v>
      </c>
      <c r="H66">
        <v>1</v>
      </c>
    </row>
    <row r="67" spans="1:8" x14ac:dyDescent="0.35">
      <c r="G67" t="s">
        <v>113</v>
      </c>
      <c r="H67">
        <v>1</v>
      </c>
    </row>
    <row r="68" spans="1:8" x14ac:dyDescent="0.35">
      <c r="G68" t="s">
        <v>338</v>
      </c>
      <c r="H68">
        <v>1</v>
      </c>
    </row>
    <row r="69" spans="1:8" x14ac:dyDescent="0.35">
      <c r="G69" t="s">
        <v>339</v>
      </c>
      <c r="H69" s="1">
        <v>1</v>
      </c>
    </row>
    <row r="70" spans="1:8" x14ac:dyDescent="0.35">
      <c r="G70" t="s">
        <v>340</v>
      </c>
      <c r="H70">
        <v>1</v>
      </c>
    </row>
    <row r="71" spans="1:8" x14ac:dyDescent="0.35">
      <c r="G71" t="s">
        <v>107</v>
      </c>
      <c r="H71">
        <v>1</v>
      </c>
    </row>
    <row r="72" spans="1:8" x14ac:dyDescent="0.35">
      <c r="G72" t="s">
        <v>341</v>
      </c>
      <c r="H72">
        <v>1</v>
      </c>
    </row>
    <row r="73" spans="1:8" x14ac:dyDescent="0.35">
      <c r="G73" t="s">
        <v>342</v>
      </c>
      <c r="H73" s="94">
        <f>COUNTIF(H21:H68, "*MSP-podcast*")</f>
        <v>1</v>
      </c>
    </row>
    <row r="74" spans="1:8" x14ac:dyDescent="0.35">
      <c r="G74" t="s">
        <v>343</v>
      </c>
      <c r="H74" s="94">
        <f>COUNTIF(H8:H60, "*recola*")</f>
        <v>1</v>
      </c>
    </row>
    <row r="75" spans="1:8" x14ac:dyDescent="0.35">
      <c r="G75" t="s">
        <v>344</v>
      </c>
      <c r="H75">
        <v>1</v>
      </c>
    </row>
    <row r="85" spans="8:8" x14ac:dyDescent="0.35">
      <c r="H85" s="94"/>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C1D73-3E05-44C4-8884-898EBE90F450}">
  <dimension ref="A1:T23"/>
  <sheetViews>
    <sheetView topLeftCell="A6" workbookViewId="0">
      <pane xSplit="1" topLeftCell="B1" activePane="topRight" state="frozen"/>
      <selection pane="topRight" activeCell="A13" sqref="A13"/>
    </sheetView>
  </sheetViews>
  <sheetFormatPr defaultRowHeight="14.5" x14ac:dyDescent="0.35"/>
  <cols>
    <col min="1" max="2" width="14.7265625" customWidth="1"/>
    <col min="3" max="3" width="35.26953125" customWidth="1"/>
    <col min="4" max="4" width="47.26953125" customWidth="1"/>
    <col min="5" max="5" width="32.1796875" customWidth="1"/>
    <col min="6" max="6" width="29.1796875" customWidth="1"/>
    <col min="8" max="8" width="33.81640625" customWidth="1"/>
    <col min="9" max="9" width="10.54296875" customWidth="1"/>
    <col min="10" max="10" width="15.1796875" customWidth="1"/>
  </cols>
  <sheetData>
    <row r="1" spans="1:20" x14ac:dyDescent="0.35">
      <c r="A1" s="1" t="s">
        <v>408</v>
      </c>
      <c r="B1" s="1" t="s">
        <v>409</v>
      </c>
      <c r="C1" s="1" t="s">
        <v>410</v>
      </c>
      <c r="D1" s="1" t="s">
        <v>411</v>
      </c>
      <c r="E1" s="1" t="s">
        <v>412</v>
      </c>
      <c r="F1" s="1" t="s">
        <v>413</v>
      </c>
      <c r="G1" s="1" t="s">
        <v>414</v>
      </c>
      <c r="H1" s="1" t="s">
        <v>415</v>
      </c>
      <c r="I1" s="1" t="s">
        <v>7</v>
      </c>
      <c r="J1" s="1" t="s">
        <v>416</v>
      </c>
      <c r="K1" s="1" t="s">
        <v>417</v>
      </c>
      <c r="L1" s="1" t="s">
        <v>418</v>
      </c>
      <c r="M1" s="1" t="s">
        <v>419</v>
      </c>
      <c r="N1" s="1" t="s">
        <v>420</v>
      </c>
      <c r="O1" s="1" t="s">
        <v>421</v>
      </c>
      <c r="P1" s="1" t="s">
        <v>422</v>
      </c>
      <c r="Q1" s="1" t="s">
        <v>423</v>
      </c>
      <c r="R1" s="1" t="s">
        <v>424</v>
      </c>
      <c r="S1" s="1" t="s">
        <v>425</v>
      </c>
      <c r="T1" s="1" t="s">
        <v>426</v>
      </c>
    </row>
    <row r="2" spans="1:20" ht="58" x14ac:dyDescent="0.35">
      <c r="A2" t="s">
        <v>427</v>
      </c>
      <c r="C2" s="17" t="s">
        <v>428</v>
      </c>
      <c r="D2" t="s">
        <v>429</v>
      </c>
      <c r="E2" t="s">
        <v>430</v>
      </c>
      <c r="F2" t="s">
        <v>431</v>
      </c>
      <c r="G2" t="s">
        <v>37</v>
      </c>
      <c r="H2" s="18" t="s">
        <v>432</v>
      </c>
      <c r="I2" t="s">
        <v>39</v>
      </c>
      <c r="R2" t="s">
        <v>433</v>
      </c>
      <c r="T2" t="s">
        <v>434</v>
      </c>
    </row>
    <row r="3" spans="1:20" ht="72.5" x14ac:dyDescent="0.35">
      <c r="A3" t="s">
        <v>427</v>
      </c>
      <c r="C3" s="17" t="s">
        <v>428</v>
      </c>
      <c r="D3" t="s">
        <v>429</v>
      </c>
      <c r="E3" t="s">
        <v>430</v>
      </c>
      <c r="F3" t="s">
        <v>435</v>
      </c>
      <c r="G3" t="s">
        <v>37</v>
      </c>
      <c r="H3" s="18" t="s">
        <v>436</v>
      </c>
      <c r="I3" t="s">
        <v>138</v>
      </c>
      <c r="T3" t="s">
        <v>437</v>
      </c>
    </row>
    <row r="4" spans="1:20" x14ac:dyDescent="0.35">
      <c r="A4" t="s">
        <v>438</v>
      </c>
      <c r="B4" t="s">
        <v>439</v>
      </c>
      <c r="C4" t="s">
        <v>440</v>
      </c>
      <c r="D4" t="s">
        <v>470</v>
      </c>
      <c r="E4" t="s">
        <v>1179</v>
      </c>
      <c r="F4" t="s">
        <v>1180</v>
      </c>
      <c r="G4" t="s">
        <v>22</v>
      </c>
      <c r="H4" t="s">
        <v>443</v>
      </c>
      <c r="I4" t="s">
        <v>332</v>
      </c>
      <c r="R4" t="s">
        <v>444</v>
      </c>
      <c r="T4" t="s">
        <v>434</v>
      </c>
    </row>
    <row r="5" spans="1:20" x14ac:dyDescent="0.35">
      <c r="A5" t="s">
        <v>445</v>
      </c>
      <c r="B5" t="s">
        <v>446</v>
      </c>
      <c r="C5" t="s">
        <v>447</v>
      </c>
      <c r="D5" t="s">
        <v>448</v>
      </c>
      <c r="E5" t="s">
        <v>449</v>
      </c>
      <c r="F5" t="s">
        <v>450</v>
      </c>
      <c r="G5" t="s">
        <v>37</v>
      </c>
      <c r="H5" s="19" t="s">
        <v>451</v>
      </c>
      <c r="I5" t="s">
        <v>138</v>
      </c>
      <c r="T5" t="s">
        <v>437</v>
      </c>
    </row>
    <row r="6" spans="1:20" ht="58" x14ac:dyDescent="0.35">
      <c r="A6" t="s">
        <v>452</v>
      </c>
      <c r="B6" t="s">
        <v>453</v>
      </c>
      <c r="C6" s="14" t="s">
        <v>454</v>
      </c>
      <c r="D6" t="s">
        <v>455</v>
      </c>
      <c r="E6" t="s">
        <v>456</v>
      </c>
      <c r="F6" t="s">
        <v>457</v>
      </c>
      <c r="H6" s="21" t="s">
        <v>458</v>
      </c>
      <c r="I6" t="s">
        <v>257</v>
      </c>
      <c r="R6" s="14" t="s">
        <v>459</v>
      </c>
      <c r="S6" t="s">
        <v>460</v>
      </c>
      <c r="T6" t="s">
        <v>434</v>
      </c>
    </row>
    <row r="7" spans="1:20" ht="72.5" x14ac:dyDescent="0.35">
      <c r="A7" t="s">
        <v>461</v>
      </c>
      <c r="B7" t="s">
        <v>462</v>
      </c>
      <c r="C7" t="s">
        <v>463</v>
      </c>
      <c r="D7" t="s">
        <v>470</v>
      </c>
      <c r="E7" t="s">
        <v>1181</v>
      </c>
      <c r="F7" t="s">
        <v>1182</v>
      </c>
      <c r="G7" t="s">
        <v>37</v>
      </c>
      <c r="H7" s="26" t="s">
        <v>466</v>
      </c>
      <c r="I7" t="s">
        <v>132</v>
      </c>
      <c r="T7" t="s">
        <v>434</v>
      </c>
    </row>
    <row r="8" spans="1:20" s="34" customFormat="1" x14ac:dyDescent="0.35">
      <c r="A8" s="34" t="s">
        <v>1183</v>
      </c>
      <c r="C8" s="34" t="s">
        <v>1184</v>
      </c>
      <c r="D8" s="34" t="s">
        <v>1185</v>
      </c>
      <c r="E8" s="34" t="s">
        <v>1186</v>
      </c>
      <c r="F8" s="34" t="s">
        <v>1187</v>
      </c>
      <c r="G8" s="34" t="s">
        <v>37</v>
      </c>
      <c r="H8" s="34" t="s">
        <v>473</v>
      </c>
      <c r="I8" s="34" t="s">
        <v>39</v>
      </c>
      <c r="T8" s="34" t="s">
        <v>434</v>
      </c>
    </row>
    <row r="9" spans="1:20" s="34" customFormat="1" x14ac:dyDescent="0.35">
      <c r="A9" s="34" t="s">
        <v>467</v>
      </c>
      <c r="B9" s="34" t="s">
        <v>468</v>
      </c>
      <c r="C9" s="34" t="s">
        <v>469</v>
      </c>
      <c r="D9" s="34" t="s">
        <v>1188</v>
      </c>
      <c r="E9" s="34" t="s">
        <v>1189</v>
      </c>
      <c r="F9" s="34" t="s">
        <v>472</v>
      </c>
      <c r="G9" s="34" t="s">
        <v>37</v>
      </c>
      <c r="H9" s="34" t="s">
        <v>473</v>
      </c>
      <c r="I9" s="34" t="s">
        <v>39</v>
      </c>
      <c r="T9" s="34">
        <v>6</v>
      </c>
    </row>
    <row r="10" spans="1:20" x14ac:dyDescent="0.35">
      <c r="A10" t="s">
        <v>467</v>
      </c>
      <c r="B10" t="s">
        <v>468</v>
      </c>
      <c r="C10" t="s">
        <v>469</v>
      </c>
      <c r="D10" t="s">
        <v>470</v>
      </c>
      <c r="E10" t="s">
        <v>471</v>
      </c>
      <c r="F10" t="s">
        <v>472</v>
      </c>
      <c r="G10" t="s">
        <v>37</v>
      </c>
      <c r="H10" t="s">
        <v>473</v>
      </c>
      <c r="I10" t="s">
        <v>39</v>
      </c>
      <c r="T10">
        <v>6</v>
      </c>
    </row>
    <row r="11" spans="1:20" s="34" customFormat="1" x14ac:dyDescent="0.35">
      <c r="A11" s="34" t="s">
        <v>1190</v>
      </c>
      <c r="C11" s="34" t="s">
        <v>1191</v>
      </c>
      <c r="D11" s="34" t="s">
        <v>1192</v>
      </c>
      <c r="E11" s="34" t="s">
        <v>471</v>
      </c>
      <c r="F11" s="34" t="s">
        <v>1193</v>
      </c>
      <c r="G11" s="34" t="s">
        <v>37</v>
      </c>
      <c r="H11" s="34" t="s">
        <v>1194</v>
      </c>
      <c r="I11" s="34" t="s">
        <v>39</v>
      </c>
      <c r="T11" s="34">
        <v>6</v>
      </c>
    </row>
    <row r="12" spans="1:20" s="34" customFormat="1" x14ac:dyDescent="0.35">
      <c r="A12" s="34" t="s">
        <v>1190</v>
      </c>
      <c r="C12" s="34" t="s">
        <v>1191</v>
      </c>
      <c r="D12" s="34" t="s">
        <v>1192</v>
      </c>
      <c r="E12" s="34" t="s">
        <v>471</v>
      </c>
      <c r="F12" s="34" t="s">
        <v>1193</v>
      </c>
      <c r="G12" s="34" t="s">
        <v>37</v>
      </c>
      <c r="H12" s="34" t="s">
        <v>1195</v>
      </c>
      <c r="I12" s="34" t="s">
        <v>138</v>
      </c>
      <c r="T12" s="34">
        <v>6</v>
      </c>
    </row>
    <row r="13" spans="1:20" s="34" customFormat="1" x14ac:dyDescent="0.35">
      <c r="A13" s="34" t="s">
        <v>1196</v>
      </c>
      <c r="B13" s="34" t="s">
        <v>1197</v>
      </c>
      <c r="C13" s="34" t="s">
        <v>1198</v>
      </c>
      <c r="D13" s="34" t="s">
        <v>816</v>
      </c>
      <c r="E13" s="34" t="s">
        <v>430</v>
      </c>
      <c r="F13" s="34" t="s">
        <v>1199</v>
      </c>
      <c r="G13" s="34" t="s">
        <v>37</v>
      </c>
      <c r="H13" s="34" t="s">
        <v>1194</v>
      </c>
      <c r="I13" s="34" t="s">
        <v>39</v>
      </c>
      <c r="T13" s="34">
        <v>5</v>
      </c>
    </row>
    <row r="14" spans="1:20" x14ac:dyDescent="0.35">
      <c r="A14" t="s">
        <v>474</v>
      </c>
      <c r="C14" t="s">
        <v>475</v>
      </c>
      <c r="D14" t="s">
        <v>476</v>
      </c>
      <c r="E14" t="s">
        <v>477</v>
      </c>
      <c r="F14" t="s">
        <v>478</v>
      </c>
      <c r="G14" t="s">
        <v>37</v>
      </c>
      <c r="H14">
        <v>147025</v>
      </c>
      <c r="I14" t="s">
        <v>373</v>
      </c>
      <c r="T14">
        <v>4</v>
      </c>
    </row>
    <row r="15" spans="1:20" x14ac:dyDescent="0.35">
      <c r="A15" t="s">
        <v>479</v>
      </c>
      <c r="C15" t="s">
        <v>480</v>
      </c>
      <c r="D15" t="s">
        <v>481</v>
      </c>
      <c r="E15" t="s">
        <v>477</v>
      </c>
      <c r="F15" t="s">
        <v>482</v>
      </c>
      <c r="G15" t="s">
        <v>37</v>
      </c>
      <c r="H15">
        <v>147025</v>
      </c>
      <c r="I15" t="s">
        <v>483</v>
      </c>
      <c r="T15">
        <v>4</v>
      </c>
    </row>
    <row r="16" spans="1:20" x14ac:dyDescent="0.35">
      <c r="A16" t="s">
        <v>479</v>
      </c>
      <c r="C16" t="s">
        <v>480</v>
      </c>
      <c r="D16" t="s">
        <v>481</v>
      </c>
      <c r="E16" t="s">
        <v>471</v>
      </c>
      <c r="F16" t="s">
        <v>482</v>
      </c>
      <c r="G16" t="s">
        <v>37</v>
      </c>
      <c r="H16">
        <v>7433</v>
      </c>
      <c r="I16" t="s">
        <v>39</v>
      </c>
      <c r="T16">
        <v>4</v>
      </c>
    </row>
    <row r="17" spans="1:20" x14ac:dyDescent="0.35">
      <c r="A17" t="s">
        <v>484</v>
      </c>
      <c r="C17" t="s">
        <v>485</v>
      </c>
      <c r="D17" t="s">
        <v>470</v>
      </c>
      <c r="E17" t="s">
        <v>248</v>
      </c>
      <c r="F17" t="s">
        <v>486</v>
      </c>
      <c r="G17" t="s">
        <v>37</v>
      </c>
      <c r="H17">
        <v>2943</v>
      </c>
      <c r="I17" t="s">
        <v>39</v>
      </c>
      <c r="T17">
        <v>4</v>
      </c>
    </row>
    <row r="18" spans="1:20" x14ac:dyDescent="0.35">
      <c r="A18" t="s">
        <v>484</v>
      </c>
      <c r="C18" t="s">
        <v>485</v>
      </c>
      <c r="D18" t="s">
        <v>470</v>
      </c>
      <c r="E18" t="s">
        <v>248</v>
      </c>
      <c r="F18" t="s">
        <v>486</v>
      </c>
      <c r="G18" t="s">
        <v>37</v>
      </c>
      <c r="H18">
        <v>4379</v>
      </c>
      <c r="I18" t="s">
        <v>333</v>
      </c>
      <c r="T18">
        <v>4</v>
      </c>
    </row>
    <row r="19" spans="1:20" x14ac:dyDescent="0.35">
      <c r="A19" s="56" t="s">
        <v>484</v>
      </c>
      <c r="B19" s="56"/>
      <c r="C19" s="56" t="s">
        <v>485</v>
      </c>
      <c r="D19" s="56" t="s">
        <v>470</v>
      </c>
      <c r="E19" s="56" t="s">
        <v>248</v>
      </c>
      <c r="F19" s="56" t="s">
        <v>486</v>
      </c>
      <c r="G19" s="56" t="s">
        <v>37</v>
      </c>
      <c r="H19">
        <v>7062</v>
      </c>
      <c r="I19" t="s">
        <v>138</v>
      </c>
      <c r="T19">
        <v>4</v>
      </c>
    </row>
    <row r="23" spans="1:20" x14ac:dyDescent="0.35">
      <c r="C23" s="87"/>
      <c r="D23" t="s">
        <v>1200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E6E0-11D3-4D5B-9B51-BE4684F1D8FB}">
  <dimension ref="A2:L135"/>
  <sheetViews>
    <sheetView topLeftCell="A40" workbookViewId="0">
      <selection activeCell="J49" sqref="J49"/>
    </sheetView>
  </sheetViews>
  <sheetFormatPr defaultRowHeight="14.5" x14ac:dyDescent="0.35"/>
  <cols>
    <col min="2" max="2" width="12" customWidth="1"/>
    <col min="3" max="3" width="13.453125" customWidth="1"/>
  </cols>
  <sheetData>
    <row r="2" spans="1:12" s="16" customFormat="1" x14ac:dyDescent="0.35">
      <c r="A2" s="16" t="s">
        <v>1201</v>
      </c>
    </row>
    <row r="3" spans="1:12" x14ac:dyDescent="0.35">
      <c r="A3" t="s">
        <v>1202</v>
      </c>
      <c r="F3" t="s">
        <v>638</v>
      </c>
      <c r="J3" t="s">
        <v>639</v>
      </c>
    </row>
    <row r="4" spans="1:12" x14ac:dyDescent="0.35">
      <c r="A4" s="15" t="s">
        <v>1203</v>
      </c>
      <c r="E4" s="2" t="s">
        <v>642</v>
      </c>
      <c r="F4" s="2"/>
      <c r="G4" s="2"/>
      <c r="H4" s="2"/>
      <c r="I4" s="2" t="s">
        <v>643</v>
      </c>
      <c r="J4" s="2"/>
      <c r="K4" s="2"/>
    </row>
    <row r="5" spans="1:12" x14ac:dyDescent="0.35">
      <c r="D5" t="s">
        <v>646</v>
      </c>
      <c r="E5" t="s">
        <v>1204</v>
      </c>
      <c r="F5" t="s">
        <v>662</v>
      </c>
      <c r="G5" t="s">
        <v>663</v>
      </c>
      <c r="H5" t="s">
        <v>654</v>
      </c>
      <c r="I5" t="s">
        <v>664</v>
      </c>
      <c r="J5" t="s">
        <v>680</v>
      </c>
      <c r="K5" t="s">
        <v>663</v>
      </c>
    </row>
    <row r="6" spans="1:12" x14ac:dyDescent="0.35">
      <c r="C6" t="s">
        <v>423</v>
      </c>
      <c r="D6">
        <v>50</v>
      </c>
      <c r="E6">
        <v>70.900000000000006</v>
      </c>
      <c r="F6">
        <v>66.400000000000006</v>
      </c>
      <c r="G6">
        <f>AVERAGE(D6:F6)</f>
        <v>62.433333333333337</v>
      </c>
      <c r="H6">
        <v>78</v>
      </c>
      <c r="I6">
        <v>68.2</v>
      </c>
      <c r="J6">
        <v>71.599999999999994</v>
      </c>
      <c r="K6">
        <f>AVERAGE(H6:J6)</f>
        <v>72.599999999999994</v>
      </c>
    </row>
    <row r="7" spans="1:12" x14ac:dyDescent="0.35">
      <c r="C7" t="s">
        <v>665</v>
      </c>
      <c r="D7">
        <v>41.3</v>
      </c>
      <c r="E7">
        <v>69.2</v>
      </c>
      <c r="F7">
        <v>74.5</v>
      </c>
      <c r="G7">
        <f>AVERAGE(D7:F7)</f>
        <v>61.666666666666664</v>
      </c>
      <c r="H7">
        <v>81.2</v>
      </c>
      <c r="I7">
        <v>68.2</v>
      </c>
      <c r="J7">
        <v>67</v>
      </c>
      <c r="K7">
        <f>AVERAGE(H7:J7)</f>
        <v>72.13333333333334</v>
      </c>
    </row>
    <row r="8" spans="1:12" x14ac:dyDescent="0.35">
      <c r="C8" t="s">
        <v>657</v>
      </c>
      <c r="D8">
        <v>45.2</v>
      </c>
      <c r="E8">
        <v>70.099999999999994</v>
      </c>
      <c r="F8">
        <v>70.2</v>
      </c>
      <c r="G8">
        <f>AVERAGE(D8:F8)</f>
        <v>61.833333333333336</v>
      </c>
      <c r="H8">
        <v>79.599999999999994</v>
      </c>
      <c r="I8">
        <v>68.2</v>
      </c>
      <c r="J8">
        <v>69.2</v>
      </c>
      <c r="K8">
        <f>AVERAGE(H8:J8)</f>
        <v>72.333333333333329</v>
      </c>
    </row>
    <row r="10" spans="1:12" x14ac:dyDescent="0.35">
      <c r="A10" t="s">
        <v>1205</v>
      </c>
    </row>
    <row r="11" spans="1:12" x14ac:dyDescent="0.35">
      <c r="A11" s="15" t="s">
        <v>1206</v>
      </c>
      <c r="F11" t="s">
        <v>638</v>
      </c>
      <c r="J11" t="s">
        <v>639</v>
      </c>
    </row>
    <row r="12" spans="1:12" x14ac:dyDescent="0.35">
      <c r="E12" s="2" t="s">
        <v>642</v>
      </c>
      <c r="F12" s="2"/>
      <c r="G12" s="2"/>
      <c r="H12" s="2"/>
      <c r="I12" s="2" t="s">
        <v>643</v>
      </c>
      <c r="J12" s="2"/>
      <c r="K12" s="2"/>
    </row>
    <row r="13" spans="1:12" x14ac:dyDescent="0.35">
      <c r="D13" t="s">
        <v>1207</v>
      </c>
      <c r="E13" t="s">
        <v>667</v>
      </c>
      <c r="F13" t="s">
        <v>662</v>
      </c>
      <c r="G13" t="s">
        <v>663</v>
      </c>
      <c r="H13" t="s">
        <v>654</v>
      </c>
      <c r="I13" t="s">
        <v>664</v>
      </c>
      <c r="J13" t="s">
        <v>1208</v>
      </c>
      <c r="K13" t="s">
        <v>1209</v>
      </c>
      <c r="L13" t="s">
        <v>1210</v>
      </c>
    </row>
    <row r="14" spans="1:12" x14ac:dyDescent="0.35">
      <c r="C14" t="s">
        <v>423</v>
      </c>
      <c r="D14">
        <v>55.5</v>
      </c>
      <c r="E14">
        <v>50.3</v>
      </c>
      <c r="F14">
        <v>76.900000000000006</v>
      </c>
      <c r="G14">
        <f>AVERAGE(D14:F14)</f>
        <v>60.9</v>
      </c>
      <c r="H14">
        <v>46.9</v>
      </c>
      <c r="I14">
        <v>57.4</v>
      </c>
      <c r="J14">
        <v>25</v>
      </c>
      <c r="K14">
        <v>61.9</v>
      </c>
      <c r="L14">
        <f>AVERAGE(H14:K14)</f>
        <v>47.800000000000004</v>
      </c>
    </row>
    <row r="15" spans="1:12" x14ac:dyDescent="0.35">
      <c r="C15" t="s">
        <v>665</v>
      </c>
      <c r="D15">
        <v>66.400000000000006</v>
      </c>
      <c r="E15">
        <v>68.099999999999994</v>
      </c>
      <c r="F15">
        <v>78.8</v>
      </c>
      <c r="G15">
        <f>AVERAGE(D15:F15)</f>
        <v>71.100000000000009</v>
      </c>
      <c r="H15">
        <v>32.700000000000003</v>
      </c>
      <c r="I15">
        <v>43.8</v>
      </c>
      <c r="J15">
        <v>16</v>
      </c>
      <c r="K15">
        <v>19.100000000000001</v>
      </c>
      <c r="L15">
        <f>AVERAGE(H15:K15)</f>
        <v>27.9</v>
      </c>
    </row>
    <row r="16" spans="1:12" x14ac:dyDescent="0.35">
      <c r="C16" t="s">
        <v>657</v>
      </c>
      <c r="D16">
        <v>60.5</v>
      </c>
      <c r="E16">
        <v>57.8</v>
      </c>
      <c r="F16">
        <v>77.8</v>
      </c>
      <c r="G16">
        <f>AVERAGE(D16:F16)</f>
        <v>65.36666666666666</v>
      </c>
      <c r="H16">
        <v>38.5</v>
      </c>
      <c r="I16">
        <v>49.7</v>
      </c>
      <c r="J16">
        <v>19.5</v>
      </c>
      <c r="K16">
        <v>29.2</v>
      </c>
      <c r="L16">
        <f>AVERAGE(H16:K16)</f>
        <v>34.225000000000001</v>
      </c>
    </row>
    <row r="17" spans="1:12" s="16" customFormat="1" x14ac:dyDescent="0.35">
      <c r="A17" s="16" t="s">
        <v>1211</v>
      </c>
    </row>
    <row r="19" spans="1:12" x14ac:dyDescent="0.35">
      <c r="F19" t="s">
        <v>638</v>
      </c>
      <c r="J19" t="s">
        <v>639</v>
      </c>
    </row>
    <row r="20" spans="1:12" x14ac:dyDescent="0.35">
      <c r="E20" s="2" t="s">
        <v>642</v>
      </c>
      <c r="F20" s="2"/>
      <c r="G20" s="2"/>
      <c r="H20" s="2"/>
      <c r="I20" s="2" t="s">
        <v>643</v>
      </c>
    </row>
    <row r="21" spans="1:12" x14ac:dyDescent="0.35">
      <c r="D21" t="s">
        <v>667</v>
      </c>
      <c r="E21" t="s">
        <v>662</v>
      </c>
      <c r="F21" t="s">
        <v>646</v>
      </c>
      <c r="G21" t="s">
        <v>663</v>
      </c>
      <c r="H21" t="s">
        <v>656</v>
      </c>
      <c r="I21" t="s">
        <v>680</v>
      </c>
      <c r="J21" t="s">
        <v>654</v>
      </c>
      <c r="K21" t="s">
        <v>663</v>
      </c>
    </row>
    <row r="22" spans="1:12" x14ac:dyDescent="0.35">
      <c r="C22" t="s">
        <v>423</v>
      </c>
      <c r="D22">
        <v>0.56000000000000005</v>
      </c>
      <c r="E22">
        <v>0.44</v>
      </c>
      <c r="F22">
        <v>0.75</v>
      </c>
      <c r="G22">
        <f>AVERAGE(D22:F22)</f>
        <v>0.58333333333333337</v>
      </c>
      <c r="H22">
        <v>0.56999999999999995</v>
      </c>
      <c r="I22">
        <v>0.56000000000000005</v>
      </c>
      <c r="J22">
        <v>0.86</v>
      </c>
      <c r="K22">
        <f>AVERAGE(H22:J22)</f>
        <v>0.66333333333333322</v>
      </c>
    </row>
    <row r="23" spans="1:12" x14ac:dyDescent="0.35">
      <c r="C23" t="s">
        <v>665</v>
      </c>
      <c r="D23">
        <v>0.56999999999999995</v>
      </c>
      <c r="E23">
        <v>0.65</v>
      </c>
      <c r="F23">
        <v>0.64</v>
      </c>
      <c r="G23">
        <f>AVERAGE(D23:F23)</f>
        <v>0.62</v>
      </c>
      <c r="H23">
        <v>0.6</v>
      </c>
      <c r="I23">
        <v>0.49</v>
      </c>
      <c r="J23">
        <v>0.64</v>
      </c>
      <c r="K23">
        <f>AVERAGE(H23:J23)</f>
        <v>0.57666666666666666</v>
      </c>
    </row>
    <row r="24" spans="1:12" x14ac:dyDescent="0.35">
      <c r="C24" t="s">
        <v>657</v>
      </c>
      <c r="D24">
        <v>0.56999999999999995</v>
      </c>
      <c r="E24">
        <v>0.64</v>
      </c>
      <c r="F24">
        <v>0.69</v>
      </c>
      <c r="G24">
        <f>AVERAGE(D24:F24)</f>
        <v>0.6333333333333333</v>
      </c>
      <c r="H24">
        <v>0.57999999999999996</v>
      </c>
      <c r="I24">
        <v>0.52</v>
      </c>
      <c r="J24">
        <v>0.73</v>
      </c>
      <c r="K24">
        <f>AVERAGE(H24:J24)</f>
        <v>0.61</v>
      </c>
    </row>
    <row r="25" spans="1:12" x14ac:dyDescent="0.35">
      <c r="C25" t="s">
        <v>1212</v>
      </c>
      <c r="D25">
        <v>1068</v>
      </c>
      <c r="E25">
        <v>1270</v>
      </c>
      <c r="F25">
        <v>1066</v>
      </c>
      <c r="G25">
        <f>SUM(D25:F25)</f>
        <v>3404</v>
      </c>
      <c r="H25">
        <v>863</v>
      </c>
      <c r="I25">
        <v>1032</v>
      </c>
      <c r="J25">
        <v>634</v>
      </c>
      <c r="K25">
        <f>SUM(H25:J25)</f>
        <v>2529</v>
      </c>
    </row>
    <row r="26" spans="1:12" s="16" customFormat="1" x14ac:dyDescent="0.35">
      <c r="A26" s="16" t="s">
        <v>445</v>
      </c>
      <c r="K26" s="16">
        <v>36.9</v>
      </c>
    </row>
    <row r="28" spans="1:12" x14ac:dyDescent="0.35">
      <c r="A28" t="s">
        <v>834</v>
      </c>
      <c r="F28" t="s">
        <v>638</v>
      </c>
      <c r="J28" t="s">
        <v>639</v>
      </c>
    </row>
    <row r="29" spans="1:12" x14ac:dyDescent="0.35">
      <c r="E29" s="2" t="s">
        <v>642</v>
      </c>
      <c r="F29" s="2"/>
      <c r="G29" s="2"/>
      <c r="H29" s="2"/>
      <c r="I29" s="2" t="s">
        <v>643</v>
      </c>
    </row>
    <row r="30" spans="1:12" x14ac:dyDescent="0.35">
      <c r="D30" t="s">
        <v>667</v>
      </c>
      <c r="E30" t="s">
        <v>662</v>
      </c>
      <c r="F30" t="s">
        <v>1207</v>
      </c>
      <c r="G30" t="s">
        <v>663</v>
      </c>
      <c r="H30" t="s">
        <v>656</v>
      </c>
      <c r="I30" t="s">
        <v>1208</v>
      </c>
      <c r="J30" t="s">
        <v>654</v>
      </c>
      <c r="K30" t="s">
        <v>1213</v>
      </c>
      <c r="L30" t="s">
        <v>663</v>
      </c>
    </row>
    <row r="31" spans="1:12" x14ac:dyDescent="0.35">
      <c r="C31" t="s">
        <v>423</v>
      </c>
      <c r="D31">
        <v>16.7</v>
      </c>
      <c r="E31">
        <v>48.5</v>
      </c>
      <c r="F31">
        <v>45.5</v>
      </c>
      <c r="G31">
        <f>AVERAGE(D31:F31)</f>
        <v>36.9</v>
      </c>
      <c r="H31">
        <v>60</v>
      </c>
      <c r="I31">
        <v>0</v>
      </c>
      <c r="J31">
        <v>0</v>
      </c>
      <c r="K31">
        <v>0</v>
      </c>
      <c r="L31">
        <f>AVERAGE(H31:K31)</f>
        <v>15</v>
      </c>
    </row>
    <row r="32" spans="1:12" x14ac:dyDescent="0.35">
      <c r="C32" t="s">
        <v>665</v>
      </c>
      <c r="D32">
        <v>0.4</v>
      </c>
      <c r="E32">
        <v>99.8</v>
      </c>
      <c r="F32">
        <v>1.2</v>
      </c>
      <c r="G32">
        <f>AVERAGE(D32:F32)</f>
        <v>33.800000000000004</v>
      </c>
      <c r="H32">
        <v>0.9</v>
      </c>
      <c r="I32">
        <v>0</v>
      </c>
      <c r="J32">
        <v>0</v>
      </c>
      <c r="K32">
        <v>0</v>
      </c>
      <c r="L32">
        <f>AVERAGE(H32:K32)</f>
        <v>0.22500000000000001</v>
      </c>
    </row>
    <row r="33" spans="1:12" x14ac:dyDescent="0.35">
      <c r="C33" t="s">
        <v>657</v>
      </c>
      <c r="D33">
        <v>0.7</v>
      </c>
      <c r="E33">
        <v>65.2</v>
      </c>
      <c r="F33">
        <v>2.4</v>
      </c>
      <c r="G33">
        <f>AVERAGE(D33:F33)</f>
        <v>22.766666666666669</v>
      </c>
      <c r="H33">
        <v>1.7</v>
      </c>
      <c r="I33">
        <v>0</v>
      </c>
      <c r="J33">
        <v>0</v>
      </c>
      <c r="K33">
        <v>0</v>
      </c>
      <c r="L33">
        <f>AVERAGE(H33:K33)</f>
        <v>0.42499999999999999</v>
      </c>
    </row>
    <row r="35" spans="1:12" s="16" customFormat="1" x14ac:dyDescent="0.35">
      <c r="A35" s="16" t="s">
        <v>452</v>
      </c>
    </row>
    <row r="37" spans="1:12" x14ac:dyDescent="0.35">
      <c r="A37" t="s">
        <v>1214</v>
      </c>
      <c r="F37" t="s">
        <v>638</v>
      </c>
      <c r="J37" t="s">
        <v>639</v>
      </c>
    </row>
    <row r="38" spans="1:12" x14ac:dyDescent="0.35">
      <c r="A38" t="s">
        <v>1215</v>
      </c>
      <c r="E38" s="2" t="s">
        <v>642</v>
      </c>
      <c r="F38" s="2"/>
      <c r="G38" s="2"/>
      <c r="H38" s="2"/>
      <c r="I38" s="2" t="s">
        <v>643</v>
      </c>
    </row>
    <row r="39" spans="1:12" x14ac:dyDescent="0.35">
      <c r="C39" s="14"/>
      <c r="D39" t="s">
        <v>662</v>
      </c>
      <c r="E39" t="s">
        <v>646</v>
      </c>
      <c r="F39" t="s">
        <v>663</v>
      </c>
      <c r="G39" t="s">
        <v>664</v>
      </c>
      <c r="H39" t="s">
        <v>654</v>
      </c>
      <c r="I39" t="s">
        <v>1210</v>
      </c>
    </row>
    <row r="40" spans="1:12" ht="43.5" x14ac:dyDescent="0.35">
      <c r="C40" s="14" t="s">
        <v>1216</v>
      </c>
      <c r="D40">
        <v>60.22</v>
      </c>
      <c r="E40">
        <v>66.349999999999994</v>
      </c>
      <c r="F40">
        <f>AVERAGE(D40:E40)</f>
        <v>63.284999999999997</v>
      </c>
      <c r="G40">
        <v>70.31</v>
      </c>
      <c r="H40">
        <v>66.77</v>
      </c>
      <c r="I40">
        <f>AVERAGE(G40:H40)</f>
        <v>68.539999999999992</v>
      </c>
    </row>
    <row r="41" spans="1:12" x14ac:dyDescent="0.35">
      <c r="C41" t="s">
        <v>1217</v>
      </c>
      <c r="D41">
        <v>1435</v>
      </c>
      <c r="E41">
        <v>794</v>
      </c>
      <c r="F41">
        <f>SUM(D41:E41)</f>
        <v>2229</v>
      </c>
      <c r="G41">
        <v>378</v>
      </c>
      <c r="H41">
        <v>190</v>
      </c>
      <c r="I41">
        <f>SUM(G41:H41)</f>
        <v>568</v>
      </c>
    </row>
    <row r="42" spans="1:12" s="25" customFormat="1" x14ac:dyDescent="0.35">
      <c r="A42" s="25" t="s">
        <v>1218</v>
      </c>
    </row>
    <row r="43" spans="1:12" x14ac:dyDescent="0.35">
      <c r="A43" t="s">
        <v>834</v>
      </c>
      <c r="E43" s="2" t="s">
        <v>642</v>
      </c>
      <c r="F43" s="2"/>
      <c r="G43" s="2"/>
      <c r="H43" s="2"/>
      <c r="I43" s="2" t="s">
        <v>643</v>
      </c>
    </row>
    <row r="44" spans="1:12" x14ac:dyDescent="0.35">
      <c r="D44" t="s">
        <v>662</v>
      </c>
      <c r="E44" t="s">
        <v>646</v>
      </c>
      <c r="F44" t="s">
        <v>663</v>
      </c>
      <c r="G44" t="s">
        <v>664</v>
      </c>
      <c r="H44" t="s">
        <v>654</v>
      </c>
      <c r="I44" t="s">
        <v>1210</v>
      </c>
    </row>
    <row r="45" spans="1:12" x14ac:dyDescent="0.35">
      <c r="D45" s="2" t="s">
        <v>642</v>
      </c>
      <c r="E45" s="2"/>
      <c r="F45" s="2"/>
      <c r="G45" s="2"/>
      <c r="H45" s="2" t="s">
        <v>643</v>
      </c>
    </row>
    <row r="46" spans="1:12" x14ac:dyDescent="0.35">
      <c r="C46" t="s">
        <v>662</v>
      </c>
      <c r="D46" t="s">
        <v>646</v>
      </c>
      <c r="E46" t="s">
        <v>1204</v>
      </c>
      <c r="F46" t="s">
        <v>663</v>
      </c>
      <c r="G46" t="s">
        <v>654</v>
      </c>
      <c r="H46" t="s">
        <v>664</v>
      </c>
      <c r="I46" t="s">
        <v>680</v>
      </c>
      <c r="J46" t="s">
        <v>663</v>
      </c>
    </row>
    <row r="47" spans="1:12" x14ac:dyDescent="0.35">
      <c r="B47" t="s">
        <v>417</v>
      </c>
      <c r="C47">
        <v>0.65</v>
      </c>
      <c r="D47">
        <v>0.43</v>
      </c>
      <c r="E47">
        <v>0.26</v>
      </c>
      <c r="F47">
        <f>AVERAGE(C47:E47)</f>
        <v>0.44666666666666671</v>
      </c>
      <c r="G47">
        <v>0.8</v>
      </c>
      <c r="H47">
        <v>0.72</v>
      </c>
      <c r="I47">
        <v>0.6</v>
      </c>
      <c r="J47">
        <f>AVERAGE(G47:I47)</f>
        <v>0.70666666666666667</v>
      </c>
    </row>
    <row r="48" spans="1:12" x14ac:dyDescent="0.35">
      <c r="A48" t="s">
        <v>1219</v>
      </c>
      <c r="B48" t="s">
        <v>417</v>
      </c>
      <c r="C48">
        <v>0.73</v>
      </c>
      <c r="D48">
        <v>0.43</v>
      </c>
      <c r="E48">
        <v>0.68</v>
      </c>
      <c r="F48">
        <f>AVERAGE(C48:E48)</f>
        <v>0.61333333333333329</v>
      </c>
      <c r="G48">
        <v>0.82</v>
      </c>
      <c r="H48">
        <v>0.7</v>
      </c>
      <c r="I48">
        <v>0.6</v>
      </c>
      <c r="J48">
        <f>AVERAGE(G48:I49)</f>
        <v>0.70666666666666667</v>
      </c>
    </row>
    <row r="50" spans="1:11" s="35" customFormat="1" x14ac:dyDescent="0.35">
      <c r="A50" s="35" t="s">
        <v>1183</v>
      </c>
    </row>
    <row r="51" spans="1:11" x14ac:dyDescent="0.35">
      <c r="A51" t="s">
        <v>1220</v>
      </c>
      <c r="F51" t="s">
        <v>638</v>
      </c>
      <c r="J51" t="s">
        <v>639</v>
      </c>
    </row>
    <row r="52" spans="1:11" x14ac:dyDescent="0.35">
      <c r="E52" s="2" t="s">
        <v>642</v>
      </c>
      <c r="F52" s="2"/>
      <c r="G52" s="2"/>
      <c r="H52" s="2"/>
      <c r="I52" s="2" t="s">
        <v>643</v>
      </c>
    </row>
    <row r="53" spans="1:11" x14ac:dyDescent="0.35">
      <c r="D53" t="s">
        <v>646</v>
      </c>
      <c r="E53" t="s">
        <v>662</v>
      </c>
      <c r="F53" t="s">
        <v>679</v>
      </c>
      <c r="G53" t="s">
        <v>663</v>
      </c>
      <c r="H53" t="s">
        <v>656</v>
      </c>
      <c r="I53" t="s">
        <v>652</v>
      </c>
      <c r="J53" t="s">
        <v>654</v>
      </c>
      <c r="K53" t="s">
        <v>663</v>
      </c>
    </row>
    <row r="54" spans="1:11" x14ac:dyDescent="0.35">
      <c r="C54" t="s">
        <v>655</v>
      </c>
      <c r="D54">
        <v>23.6</v>
      </c>
      <c r="E54">
        <v>59</v>
      </c>
      <c r="F54">
        <v>72.2</v>
      </c>
      <c r="G54">
        <f>AVERAGE(D54:F54)</f>
        <v>51.6</v>
      </c>
      <c r="H54">
        <v>68.2</v>
      </c>
      <c r="I54">
        <v>71.900000000000006</v>
      </c>
      <c r="J54">
        <v>70.599999999999994</v>
      </c>
      <c r="K54">
        <f>AVERAGE(H54:J54)</f>
        <v>70.233333333333334</v>
      </c>
    </row>
    <row r="55" spans="1:11" x14ac:dyDescent="0.35">
      <c r="C55" t="s">
        <v>657</v>
      </c>
      <c r="D55">
        <v>32.799999999999997</v>
      </c>
      <c r="E55">
        <v>60.6</v>
      </c>
      <c r="F55">
        <v>68.400000000000006</v>
      </c>
      <c r="G55">
        <f>AVERAGE(D55:F55)</f>
        <v>53.933333333333337</v>
      </c>
      <c r="H55">
        <v>68.2</v>
      </c>
      <c r="I55">
        <v>66.2</v>
      </c>
      <c r="J55">
        <v>74.400000000000006</v>
      </c>
      <c r="K55">
        <f>AVERAGE(H55:J55)</f>
        <v>69.600000000000009</v>
      </c>
    </row>
    <row r="56" spans="1:11" x14ac:dyDescent="0.35">
      <c r="B56" t="s">
        <v>1221</v>
      </c>
      <c r="C56">
        <v>70833</v>
      </c>
    </row>
    <row r="58" spans="1:11" s="27" customFormat="1" x14ac:dyDescent="0.35">
      <c r="A58" s="27" t="s">
        <v>1222</v>
      </c>
    </row>
    <row r="60" spans="1:11" x14ac:dyDescent="0.35">
      <c r="E60" t="s">
        <v>638</v>
      </c>
      <c r="I60" t="s">
        <v>639</v>
      </c>
    </row>
    <row r="61" spans="1:11" s="35" customFormat="1" x14ac:dyDescent="0.35">
      <c r="A61" s="35" t="s">
        <v>1223</v>
      </c>
      <c r="D61" s="36" t="s">
        <v>642</v>
      </c>
      <c r="E61" s="36"/>
      <c r="F61" s="36"/>
      <c r="G61" s="36"/>
      <c r="H61" s="36" t="s">
        <v>643</v>
      </c>
    </row>
    <row r="62" spans="1:11" x14ac:dyDescent="0.35">
      <c r="A62" t="s">
        <v>861</v>
      </c>
      <c r="C62" t="s">
        <v>646</v>
      </c>
      <c r="D62" t="s">
        <v>662</v>
      </c>
      <c r="E62" t="s">
        <v>679</v>
      </c>
      <c r="F62" t="s">
        <v>663</v>
      </c>
      <c r="G62" t="s">
        <v>656</v>
      </c>
      <c r="H62" t="s">
        <v>652</v>
      </c>
      <c r="I62" t="s">
        <v>654</v>
      </c>
      <c r="J62" t="s">
        <v>663</v>
      </c>
    </row>
    <row r="63" spans="1:11" x14ac:dyDescent="0.35">
      <c r="B63" t="s">
        <v>417</v>
      </c>
      <c r="C63">
        <v>47.92</v>
      </c>
      <c r="D63">
        <v>58.33</v>
      </c>
      <c r="E63">
        <v>73.239999999999995</v>
      </c>
      <c r="F63">
        <f>AVERAGE(C63:E63)</f>
        <v>59.830000000000005</v>
      </c>
      <c r="G63">
        <v>57.06</v>
      </c>
      <c r="H63">
        <v>67.45</v>
      </c>
      <c r="I63">
        <v>77.959999999999994</v>
      </c>
      <c r="J63">
        <f>AVERAGE(G63:I63)</f>
        <v>67.489999999999995</v>
      </c>
    </row>
    <row r="64" spans="1:11" x14ac:dyDescent="0.35">
      <c r="B64" t="s">
        <v>657</v>
      </c>
      <c r="C64">
        <v>49.4</v>
      </c>
      <c r="D64">
        <v>59.5</v>
      </c>
      <c r="E64">
        <v>72.52</v>
      </c>
      <c r="F64">
        <f>AVERAGE(C64:E64)</f>
        <v>60.473333333333336</v>
      </c>
      <c r="G64">
        <v>62.78</v>
      </c>
      <c r="H64">
        <v>65.13</v>
      </c>
      <c r="I64">
        <v>81.099999999999994</v>
      </c>
      <c r="J64">
        <f>AVERAGE(G64:I64)</f>
        <v>69.67</v>
      </c>
    </row>
    <row r="66" spans="1:10" x14ac:dyDescent="0.35">
      <c r="A66" t="s">
        <v>1224</v>
      </c>
      <c r="E66" t="s">
        <v>638</v>
      </c>
      <c r="I66" t="s">
        <v>639</v>
      </c>
    </row>
    <row r="67" spans="1:10" x14ac:dyDescent="0.35">
      <c r="D67" s="2" t="s">
        <v>642</v>
      </c>
      <c r="E67" s="2"/>
      <c r="F67" s="2"/>
      <c r="G67" s="2"/>
      <c r="H67" s="2" t="s">
        <v>643</v>
      </c>
    </row>
    <row r="68" spans="1:10" x14ac:dyDescent="0.35">
      <c r="C68" t="s">
        <v>646</v>
      </c>
      <c r="D68" t="s">
        <v>662</v>
      </c>
      <c r="E68" t="s">
        <v>679</v>
      </c>
      <c r="F68" t="s">
        <v>663</v>
      </c>
      <c r="G68" t="s">
        <v>656</v>
      </c>
      <c r="H68" t="s">
        <v>652</v>
      </c>
      <c r="I68" t="s">
        <v>654</v>
      </c>
      <c r="J68" t="s">
        <v>663</v>
      </c>
    </row>
    <row r="69" spans="1:10" x14ac:dyDescent="0.35">
      <c r="B69" t="s">
        <v>417</v>
      </c>
      <c r="C69">
        <v>55.56</v>
      </c>
      <c r="D69">
        <v>42.19</v>
      </c>
      <c r="E69">
        <v>25.43</v>
      </c>
      <c r="F69">
        <f>AVERAGE(C69:E69)</f>
        <v>41.06</v>
      </c>
      <c r="G69">
        <v>75.290000000000006</v>
      </c>
      <c r="H69">
        <v>46.46</v>
      </c>
      <c r="I69">
        <v>59.18</v>
      </c>
      <c r="J69">
        <f>AVERAGE(G69:I69)</f>
        <v>60.31</v>
      </c>
    </row>
    <row r="70" spans="1:10" x14ac:dyDescent="0.35">
      <c r="B70" t="s">
        <v>657</v>
      </c>
      <c r="C70">
        <v>41.56</v>
      </c>
      <c r="D70">
        <v>43.03</v>
      </c>
      <c r="E70">
        <v>38</v>
      </c>
      <c r="F70">
        <f>AVERAGE(C70:E70)</f>
        <v>40.863333333333337</v>
      </c>
      <c r="G70">
        <v>55.9</v>
      </c>
      <c r="H70">
        <v>44.58</v>
      </c>
      <c r="I70">
        <v>63.6</v>
      </c>
      <c r="J70">
        <f>AVERAGE(G70:I70)</f>
        <v>54.693333333333328</v>
      </c>
    </row>
    <row r="72" spans="1:10" x14ac:dyDescent="0.35">
      <c r="B72" t="s">
        <v>1221</v>
      </c>
      <c r="C72">
        <v>70833</v>
      </c>
    </row>
    <row r="74" spans="1:10" s="35" customFormat="1" x14ac:dyDescent="0.35">
      <c r="A74" s="35" t="s">
        <v>1190</v>
      </c>
    </row>
    <row r="75" spans="1:10" x14ac:dyDescent="0.35">
      <c r="A75" t="s">
        <v>1202</v>
      </c>
    </row>
    <row r="76" spans="1:10" x14ac:dyDescent="0.35">
      <c r="A76" t="s">
        <v>1225</v>
      </c>
      <c r="E76" t="s">
        <v>638</v>
      </c>
      <c r="I76" t="s">
        <v>639</v>
      </c>
    </row>
    <row r="77" spans="1:10" x14ac:dyDescent="0.35">
      <c r="D77" s="2" t="s">
        <v>642</v>
      </c>
      <c r="E77" s="2"/>
      <c r="F77" s="2"/>
      <c r="G77" s="2"/>
      <c r="H77" s="2" t="s">
        <v>643</v>
      </c>
    </row>
    <row r="78" spans="1:10" x14ac:dyDescent="0.35">
      <c r="C78" t="s">
        <v>646</v>
      </c>
      <c r="D78" t="s">
        <v>662</v>
      </c>
      <c r="E78" t="s">
        <v>679</v>
      </c>
      <c r="F78" t="s">
        <v>663</v>
      </c>
      <c r="G78" t="s">
        <v>656</v>
      </c>
      <c r="H78" t="s">
        <v>652</v>
      </c>
      <c r="I78" t="s">
        <v>654</v>
      </c>
      <c r="J78" t="s">
        <v>663</v>
      </c>
    </row>
    <row r="79" spans="1:10" x14ac:dyDescent="0.35">
      <c r="B79" t="s">
        <v>657</v>
      </c>
      <c r="C79">
        <v>42.22</v>
      </c>
      <c r="D79">
        <v>66.42</v>
      </c>
      <c r="E79">
        <v>75.56</v>
      </c>
      <c r="F79">
        <f>AVERAGE(C79:E79)</f>
        <v>61.4</v>
      </c>
      <c r="G79">
        <v>69.77</v>
      </c>
      <c r="H79">
        <v>66.33</v>
      </c>
      <c r="I79">
        <v>78.98</v>
      </c>
      <c r="J79">
        <f>AVERAGE(G79:I79)</f>
        <v>71.693333333333328</v>
      </c>
    </row>
    <row r="80" spans="1:10" x14ac:dyDescent="0.35">
      <c r="B80" t="s">
        <v>1221</v>
      </c>
      <c r="C80">
        <v>7433</v>
      </c>
    </row>
    <row r="81" spans="1:9" x14ac:dyDescent="0.35">
      <c r="A81" t="s">
        <v>1205</v>
      </c>
      <c r="E81" t="s">
        <v>638</v>
      </c>
      <c r="I81" t="s">
        <v>639</v>
      </c>
    </row>
    <row r="82" spans="1:9" x14ac:dyDescent="0.35">
      <c r="D82" s="2" t="s">
        <v>642</v>
      </c>
      <c r="E82" s="2"/>
      <c r="F82" s="2"/>
      <c r="G82" s="2"/>
      <c r="H82" s="2" t="s">
        <v>643</v>
      </c>
    </row>
    <row r="83" spans="1:9" x14ac:dyDescent="0.35">
      <c r="C83" t="s">
        <v>646</v>
      </c>
      <c r="D83" t="s">
        <v>662</v>
      </c>
      <c r="E83" t="s">
        <v>667</v>
      </c>
      <c r="F83" t="s">
        <v>663</v>
      </c>
      <c r="G83" t="s">
        <v>656</v>
      </c>
      <c r="H83" t="s">
        <v>654</v>
      </c>
      <c r="I83" t="s">
        <v>1210</v>
      </c>
    </row>
    <row r="84" spans="1:9" x14ac:dyDescent="0.35">
      <c r="B84" t="s">
        <v>657</v>
      </c>
      <c r="C84">
        <v>54.78</v>
      </c>
      <c r="D84">
        <v>77.760000000000005</v>
      </c>
      <c r="E84">
        <v>50.69</v>
      </c>
      <c r="F84">
        <f>AVERAGE(C84:E84)</f>
        <v>61.076666666666675</v>
      </c>
      <c r="G84">
        <v>47.82</v>
      </c>
      <c r="H84">
        <v>22.93</v>
      </c>
      <c r="I84">
        <f>AVERAGE(G84:H84)</f>
        <v>35.375</v>
      </c>
    </row>
    <row r="85" spans="1:9" x14ac:dyDescent="0.35">
      <c r="B85" t="s">
        <v>1221</v>
      </c>
      <c r="C85">
        <v>13708</v>
      </c>
    </row>
    <row r="87" spans="1:9" s="35" customFormat="1" x14ac:dyDescent="0.35">
      <c r="A87" s="35" t="s">
        <v>1196</v>
      </c>
    </row>
    <row r="88" spans="1:9" x14ac:dyDescent="0.35">
      <c r="D88" t="s">
        <v>638</v>
      </c>
      <c r="H88" t="s">
        <v>639</v>
      </c>
    </row>
    <row r="89" spans="1:9" x14ac:dyDescent="0.35">
      <c r="C89" s="2" t="s">
        <v>642</v>
      </c>
      <c r="D89" s="2"/>
      <c r="E89" s="2"/>
      <c r="F89" s="2"/>
      <c r="G89" s="2" t="s">
        <v>643</v>
      </c>
    </row>
    <row r="90" spans="1:9" x14ac:dyDescent="0.35">
      <c r="C90" t="s">
        <v>646</v>
      </c>
      <c r="D90" t="s">
        <v>662</v>
      </c>
      <c r="E90" t="s">
        <v>663</v>
      </c>
      <c r="F90" t="s">
        <v>656</v>
      </c>
      <c r="G90" t="s">
        <v>654</v>
      </c>
      <c r="H90" t="s">
        <v>1210</v>
      </c>
    </row>
    <row r="91" spans="1:9" x14ac:dyDescent="0.35">
      <c r="B91" t="s">
        <v>417</v>
      </c>
      <c r="C91">
        <v>0.94</v>
      </c>
      <c r="D91">
        <v>0.8</v>
      </c>
      <c r="E91">
        <f>AVERAGE(C91:D91)</f>
        <v>0.87</v>
      </c>
      <c r="F91">
        <v>0.78</v>
      </c>
      <c r="G91">
        <v>0.84</v>
      </c>
      <c r="H91">
        <f>AVERAGE(F91:G91)</f>
        <v>0.81</v>
      </c>
    </row>
    <row r="93" spans="1:9" s="27" customFormat="1" x14ac:dyDescent="0.35">
      <c r="A93" s="27" t="s">
        <v>1226</v>
      </c>
    </row>
    <row r="95" spans="1:9" x14ac:dyDescent="0.35">
      <c r="D95" t="s">
        <v>638</v>
      </c>
      <c r="H95" t="s">
        <v>639</v>
      </c>
    </row>
    <row r="96" spans="1:9" x14ac:dyDescent="0.35">
      <c r="C96" s="2" t="s">
        <v>642</v>
      </c>
      <c r="D96" s="2"/>
      <c r="E96" s="2"/>
      <c r="F96" s="2"/>
      <c r="G96" s="2" t="s">
        <v>643</v>
      </c>
    </row>
    <row r="97" spans="1:8" x14ac:dyDescent="0.35">
      <c r="C97" t="s">
        <v>646</v>
      </c>
      <c r="D97" t="s">
        <v>662</v>
      </c>
      <c r="E97" t="s">
        <v>663</v>
      </c>
      <c r="F97" t="s">
        <v>656</v>
      </c>
      <c r="G97" t="s">
        <v>654</v>
      </c>
      <c r="H97" t="s">
        <v>1210</v>
      </c>
    </row>
    <row r="98" spans="1:8" x14ac:dyDescent="0.35">
      <c r="B98" t="s">
        <v>655</v>
      </c>
      <c r="C98">
        <v>35.18</v>
      </c>
      <c r="D98">
        <v>86.85</v>
      </c>
      <c r="E98">
        <f>AVERAGE(C98:D98)</f>
        <v>61.015000000000001</v>
      </c>
      <c r="F98">
        <v>32.43</v>
      </c>
      <c r="G98">
        <v>17.010000000000002</v>
      </c>
      <c r="H98">
        <f>AVERAGE(F98:G98)</f>
        <v>24.72</v>
      </c>
    </row>
    <row r="99" spans="1:8" x14ac:dyDescent="0.35">
      <c r="B99" t="s">
        <v>1212</v>
      </c>
      <c r="C99">
        <v>27033</v>
      </c>
      <c r="D99">
        <v>60461</v>
      </c>
      <c r="E99">
        <f>SUM(C99:D99)</f>
        <v>87494</v>
      </c>
      <c r="F99">
        <v>6490</v>
      </c>
      <c r="G99">
        <v>9641</v>
      </c>
      <c r="H99">
        <f>SUM(F99:G99)</f>
        <v>16131</v>
      </c>
    </row>
    <row r="101" spans="1:8" s="27" customFormat="1" x14ac:dyDescent="0.35">
      <c r="A101" s="27" t="s">
        <v>479</v>
      </c>
    </row>
    <row r="103" spans="1:8" x14ac:dyDescent="0.35">
      <c r="A103" t="s">
        <v>373</v>
      </c>
      <c r="D103" t="s">
        <v>638</v>
      </c>
      <c r="H103" t="s">
        <v>639</v>
      </c>
    </row>
    <row r="104" spans="1:8" x14ac:dyDescent="0.35">
      <c r="C104" s="2" t="s">
        <v>642</v>
      </c>
      <c r="D104" s="2"/>
      <c r="E104" s="2"/>
      <c r="F104" s="2"/>
      <c r="G104" s="2" t="s">
        <v>643</v>
      </c>
    </row>
    <row r="105" spans="1:8" x14ac:dyDescent="0.35">
      <c r="C105" t="s">
        <v>646</v>
      </c>
      <c r="D105" t="s">
        <v>662</v>
      </c>
      <c r="E105" t="s">
        <v>663</v>
      </c>
      <c r="F105" t="s">
        <v>656</v>
      </c>
      <c r="G105" t="s">
        <v>654</v>
      </c>
      <c r="H105" t="s">
        <v>1210</v>
      </c>
    </row>
    <row r="106" spans="1:8" x14ac:dyDescent="0.35">
      <c r="B106" t="s">
        <v>417</v>
      </c>
      <c r="C106">
        <v>0.18210000000000001</v>
      </c>
      <c r="D106">
        <v>0.56430000000000002</v>
      </c>
      <c r="E106">
        <f>AVERAGE(C106:D106)*100</f>
        <v>37.32</v>
      </c>
      <c r="F106">
        <v>0.15459999999999999</v>
      </c>
      <c r="G106">
        <v>0.47699999999999998</v>
      </c>
      <c r="H106">
        <f>AVERAGE(F106:G106)*100</f>
        <v>31.58</v>
      </c>
    </row>
    <row r="107" spans="1:8" x14ac:dyDescent="0.35">
      <c r="B107" t="s">
        <v>1212</v>
      </c>
      <c r="C107">
        <v>27033</v>
      </c>
      <c r="D107">
        <v>60461</v>
      </c>
      <c r="E107">
        <f>SUM(C107:D107)</f>
        <v>87494</v>
      </c>
      <c r="F107">
        <v>6490</v>
      </c>
      <c r="G107">
        <v>9641</v>
      </c>
      <c r="H107">
        <f>SUM(F107:G107)</f>
        <v>16131</v>
      </c>
    </row>
    <row r="110" spans="1:8" x14ac:dyDescent="0.35">
      <c r="A110" t="s">
        <v>1202</v>
      </c>
    </row>
    <row r="111" spans="1:8" x14ac:dyDescent="0.35">
      <c r="D111" t="s">
        <v>638</v>
      </c>
      <c r="H111" t="s">
        <v>639</v>
      </c>
    </row>
    <row r="112" spans="1:8" x14ac:dyDescent="0.35">
      <c r="C112" s="2" t="s">
        <v>642</v>
      </c>
      <c r="D112" s="2"/>
      <c r="E112" s="2"/>
      <c r="F112" s="2"/>
      <c r="G112" s="2" t="s">
        <v>643</v>
      </c>
    </row>
    <row r="113" spans="1:8" x14ac:dyDescent="0.35">
      <c r="C113" t="s">
        <v>646</v>
      </c>
      <c r="D113" t="s">
        <v>662</v>
      </c>
      <c r="E113" t="s">
        <v>663</v>
      </c>
      <c r="F113" t="s">
        <v>656</v>
      </c>
      <c r="G113" t="s">
        <v>654</v>
      </c>
      <c r="H113" t="s">
        <v>1210</v>
      </c>
    </row>
    <row r="114" spans="1:8" x14ac:dyDescent="0.35">
      <c r="B114" t="s">
        <v>417</v>
      </c>
      <c r="C114">
        <v>0.3332</v>
      </c>
      <c r="D114">
        <v>0.71450000000000002</v>
      </c>
      <c r="E114">
        <f>AVERAGE(C114:D114)*100</f>
        <v>52.385000000000005</v>
      </c>
      <c r="F114">
        <v>0.77049999999999996</v>
      </c>
      <c r="G114">
        <v>0.78280000000000005</v>
      </c>
      <c r="H114">
        <f>AVERAGE(F114:G114)*100</f>
        <v>77.665000000000006</v>
      </c>
    </row>
    <row r="115" spans="1:8" x14ac:dyDescent="0.35">
      <c r="B115" t="s">
        <v>1212</v>
      </c>
      <c r="C115">
        <v>595</v>
      </c>
      <c r="D115">
        <v>1708</v>
      </c>
      <c r="E115">
        <f>SUM(C115:D115)</f>
        <v>2303</v>
      </c>
      <c r="F115">
        <v>1103</v>
      </c>
      <c r="G115">
        <v>476</v>
      </c>
      <c r="H115">
        <f>SUM(F115:G115)</f>
        <v>1579</v>
      </c>
    </row>
    <row r="118" spans="1:8" s="57" customFormat="1" x14ac:dyDescent="0.35">
      <c r="A118" s="57" t="s">
        <v>484</v>
      </c>
    </row>
    <row r="119" spans="1:8" x14ac:dyDescent="0.35">
      <c r="A119" t="s">
        <v>1202</v>
      </c>
      <c r="D119" t="s">
        <v>638</v>
      </c>
      <c r="H119" t="s">
        <v>639</v>
      </c>
    </row>
    <row r="120" spans="1:8" x14ac:dyDescent="0.35">
      <c r="C120" s="2" t="s">
        <v>642</v>
      </c>
      <c r="D120" s="2"/>
      <c r="E120" s="2"/>
      <c r="F120" s="2"/>
      <c r="G120" s="2" t="s">
        <v>643</v>
      </c>
    </row>
    <row r="121" spans="1:8" x14ac:dyDescent="0.35">
      <c r="C121" t="s">
        <v>646</v>
      </c>
      <c r="D121" t="s">
        <v>662</v>
      </c>
      <c r="E121" t="s">
        <v>663</v>
      </c>
      <c r="F121" t="s">
        <v>656</v>
      </c>
      <c r="G121" t="s">
        <v>654</v>
      </c>
      <c r="H121" t="s">
        <v>1210</v>
      </c>
    </row>
    <row r="122" spans="1:8" x14ac:dyDescent="0.35">
      <c r="B122" t="s">
        <v>417</v>
      </c>
      <c r="C122">
        <v>0.78200000000000003</v>
      </c>
      <c r="D122">
        <v>0.78200000000000003</v>
      </c>
      <c r="E122">
        <f>AVERAGE(C122:D122)*100</f>
        <v>78.2</v>
      </c>
      <c r="F122">
        <v>0.69599999999999995</v>
      </c>
      <c r="G122">
        <v>0.82399999999999995</v>
      </c>
      <c r="H122">
        <f>AVERAGE(F122:G122)*100</f>
        <v>76</v>
      </c>
    </row>
    <row r="123" spans="1:8" x14ac:dyDescent="0.35">
      <c r="B123" t="s">
        <v>1212</v>
      </c>
      <c r="C123">
        <v>947</v>
      </c>
      <c r="D123">
        <v>1099</v>
      </c>
      <c r="E123">
        <f>SUM(C123:D123)</f>
        <v>2046</v>
      </c>
      <c r="F123">
        <v>289</v>
      </c>
      <c r="G123">
        <v>608</v>
      </c>
      <c r="H123">
        <f>SUM(F123:G123)</f>
        <v>897</v>
      </c>
    </row>
    <row r="124" spans="1:8" x14ac:dyDescent="0.35">
      <c r="A124" t="s">
        <v>333</v>
      </c>
      <c r="D124" t="s">
        <v>638</v>
      </c>
      <c r="H124" t="s">
        <v>639</v>
      </c>
    </row>
    <row r="125" spans="1:8" x14ac:dyDescent="0.35">
      <c r="C125" s="2" t="s">
        <v>642</v>
      </c>
      <c r="D125" s="2"/>
      <c r="E125" s="2"/>
      <c r="F125" s="2"/>
      <c r="G125" s="2" t="s">
        <v>643</v>
      </c>
    </row>
    <row r="126" spans="1:8" x14ac:dyDescent="0.35">
      <c r="C126" t="s">
        <v>646</v>
      </c>
      <c r="D126" t="s">
        <v>662</v>
      </c>
      <c r="E126" t="s">
        <v>663</v>
      </c>
      <c r="F126" t="s">
        <v>656</v>
      </c>
      <c r="G126" t="s">
        <v>654</v>
      </c>
      <c r="H126" t="s">
        <v>1210</v>
      </c>
    </row>
    <row r="127" spans="1:8" x14ac:dyDescent="0.35">
      <c r="B127" t="s">
        <v>417</v>
      </c>
      <c r="C127">
        <v>0.59499999999999997</v>
      </c>
      <c r="D127">
        <v>0.36499999999999999</v>
      </c>
      <c r="E127">
        <f>AVERAGE(C127:D127)*100</f>
        <v>48</v>
      </c>
      <c r="F127">
        <v>0.52900000000000003</v>
      </c>
      <c r="G127">
        <v>0.74399999999999999</v>
      </c>
      <c r="H127">
        <f>AVERAGE(F127:G127)*100</f>
        <v>63.650000000000006</v>
      </c>
    </row>
    <row r="128" spans="1:8" x14ac:dyDescent="0.35">
      <c r="B128" t="s">
        <v>1212</v>
      </c>
      <c r="C128">
        <v>1226</v>
      </c>
      <c r="D128">
        <v>829</v>
      </c>
      <c r="E128">
        <f>SUM(C128:D128)</f>
        <v>2055</v>
      </c>
      <c r="F128">
        <v>1303</v>
      </c>
      <c r="G128">
        <v>1021</v>
      </c>
      <c r="H128">
        <f>SUM(F128:G128)</f>
        <v>2324</v>
      </c>
    </row>
    <row r="130" spans="1:12" x14ac:dyDescent="0.35">
      <c r="A130" t="s">
        <v>138</v>
      </c>
      <c r="D130" t="s">
        <v>638</v>
      </c>
      <c r="H130" t="s">
        <v>639</v>
      </c>
    </row>
    <row r="131" spans="1:12" x14ac:dyDescent="0.35">
      <c r="C131" s="2" t="s">
        <v>642</v>
      </c>
      <c r="D131" s="2"/>
      <c r="E131" s="2"/>
      <c r="F131" s="2"/>
      <c r="G131" s="2" t="s">
        <v>643</v>
      </c>
    </row>
    <row r="132" spans="1:12" x14ac:dyDescent="0.35">
      <c r="C132" t="s">
        <v>646</v>
      </c>
      <c r="D132" t="s">
        <v>662</v>
      </c>
      <c r="E132" t="s">
        <v>663</v>
      </c>
      <c r="F132" t="s">
        <v>656</v>
      </c>
      <c r="G132" t="s">
        <v>654</v>
      </c>
      <c r="H132" t="s">
        <v>1210</v>
      </c>
    </row>
    <row r="133" spans="1:12" x14ac:dyDescent="0.35">
      <c r="B133" t="s">
        <v>417</v>
      </c>
      <c r="C133">
        <v>0.30099999999999999</v>
      </c>
      <c r="D133">
        <v>0.68200000000000005</v>
      </c>
      <c r="E133">
        <f>AVERAGE(C133:D133)*100</f>
        <v>49.150000000000006</v>
      </c>
      <c r="F133">
        <v>0.498</v>
      </c>
      <c r="G133">
        <v>7.4999999999999997E-2</v>
      </c>
      <c r="H133">
        <f>AVERAGE(F133:G133)*100</f>
        <v>28.65</v>
      </c>
    </row>
    <row r="134" spans="1:12" x14ac:dyDescent="0.35">
      <c r="B134" t="s">
        <v>1212</v>
      </c>
      <c r="C134">
        <v>1920</v>
      </c>
      <c r="D134">
        <v>2890</v>
      </c>
      <c r="E134">
        <f>SUM(C134:D134)</f>
        <v>4810</v>
      </c>
      <c r="F134">
        <v>1397</v>
      </c>
      <c r="G134">
        <v>855</v>
      </c>
      <c r="H134">
        <f>SUM(F134:G134)</f>
        <v>2252</v>
      </c>
    </row>
    <row r="135" spans="1:12" x14ac:dyDescent="0.35">
      <c r="L135">
        <f>(0.075*100)</f>
        <v>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16863-54B7-4F8C-BFC8-371DDB2B423E}">
  <dimension ref="A1:M20"/>
  <sheetViews>
    <sheetView workbookViewId="0">
      <selection activeCell="E13" sqref="E13"/>
    </sheetView>
  </sheetViews>
  <sheetFormatPr defaultRowHeight="14.5" x14ac:dyDescent="0.35"/>
  <cols>
    <col min="1" max="1" width="16.54296875" customWidth="1"/>
    <col min="2" max="11" width="9.1796875" bestFit="1" customWidth="1"/>
    <col min="12" max="12" width="11.26953125" customWidth="1"/>
    <col min="13" max="13" width="28.453125" customWidth="1"/>
  </cols>
  <sheetData>
    <row r="1" spans="1:13" ht="81.5" thickBot="1" x14ac:dyDescent="0.4">
      <c r="A1" s="1" t="s">
        <v>712</v>
      </c>
      <c r="B1" s="49" t="s">
        <v>713</v>
      </c>
      <c r="C1" s="49" t="s">
        <v>714</v>
      </c>
      <c r="D1" s="49" t="s">
        <v>715</v>
      </c>
      <c r="E1" s="49" t="s">
        <v>716</v>
      </c>
      <c r="F1" s="49" t="s">
        <v>717</v>
      </c>
      <c r="G1" s="49" t="s">
        <v>718</v>
      </c>
      <c r="H1" s="49" t="s">
        <v>1170</v>
      </c>
      <c r="I1" s="49" t="s">
        <v>1171</v>
      </c>
      <c r="J1" s="49" t="s">
        <v>1172</v>
      </c>
      <c r="K1" s="50" t="s">
        <v>721</v>
      </c>
    </row>
    <row r="2" spans="1:13" ht="15" thickBot="1" x14ac:dyDescent="0.4">
      <c r="A2" s="1" t="s">
        <v>1227</v>
      </c>
      <c r="B2">
        <v>0</v>
      </c>
      <c r="C2" s="51">
        <v>0</v>
      </c>
      <c r="D2" s="51">
        <v>1</v>
      </c>
      <c r="E2" s="51">
        <v>0</v>
      </c>
      <c r="F2" s="51">
        <v>1</v>
      </c>
      <c r="G2" s="51">
        <v>2</v>
      </c>
      <c r="H2" s="51">
        <v>1</v>
      </c>
      <c r="I2" s="51">
        <v>2</v>
      </c>
      <c r="J2" s="51">
        <v>1</v>
      </c>
      <c r="K2" s="52">
        <f t="shared" ref="K2:K20" si="0">SUM(B2:J2)</f>
        <v>8</v>
      </c>
      <c r="M2" t="s">
        <v>757</v>
      </c>
    </row>
    <row r="3" spans="1:13" ht="15" thickBot="1" x14ac:dyDescent="0.4">
      <c r="A3" s="1" t="s">
        <v>1228</v>
      </c>
      <c r="B3">
        <v>0</v>
      </c>
      <c r="C3" s="51">
        <v>0</v>
      </c>
      <c r="D3" s="51">
        <v>1</v>
      </c>
      <c r="E3" s="51">
        <v>0</v>
      </c>
      <c r="F3" s="51">
        <v>2</v>
      </c>
      <c r="G3" s="51">
        <v>4</v>
      </c>
      <c r="H3" s="51">
        <v>1</v>
      </c>
      <c r="I3" s="51">
        <v>5</v>
      </c>
      <c r="J3" s="51">
        <v>1</v>
      </c>
      <c r="K3" s="52">
        <f t="shared" si="0"/>
        <v>14</v>
      </c>
      <c r="M3" s="53" t="s">
        <v>731</v>
      </c>
    </row>
    <row r="4" spans="1:13" ht="15" thickBot="1" x14ac:dyDescent="0.4">
      <c r="A4" s="1" t="s">
        <v>1229</v>
      </c>
      <c r="B4">
        <v>0</v>
      </c>
      <c r="C4" s="51">
        <v>0</v>
      </c>
      <c r="D4" s="51">
        <v>1</v>
      </c>
      <c r="E4" s="51">
        <v>0</v>
      </c>
      <c r="F4" s="51">
        <v>2</v>
      </c>
      <c r="G4" s="51">
        <v>4</v>
      </c>
      <c r="H4" s="51">
        <v>1</v>
      </c>
      <c r="I4" s="51">
        <v>5</v>
      </c>
      <c r="J4" s="51">
        <v>1</v>
      </c>
      <c r="K4" s="52">
        <f t="shared" si="0"/>
        <v>14</v>
      </c>
      <c r="M4" t="s">
        <v>759</v>
      </c>
    </row>
    <row r="5" spans="1:13" ht="15" thickBot="1" x14ac:dyDescent="0.4">
      <c r="A5" s="1" t="s">
        <v>1230</v>
      </c>
      <c r="B5">
        <v>0</v>
      </c>
      <c r="C5" s="51">
        <v>0</v>
      </c>
      <c r="D5" s="51">
        <v>1</v>
      </c>
      <c r="E5" s="51">
        <v>0</v>
      </c>
      <c r="F5" s="51">
        <v>2</v>
      </c>
      <c r="G5" s="51">
        <v>3</v>
      </c>
      <c r="H5" s="51">
        <v>1</v>
      </c>
      <c r="I5" s="51">
        <v>4</v>
      </c>
      <c r="J5" s="51">
        <v>4</v>
      </c>
      <c r="K5" s="52">
        <f t="shared" si="0"/>
        <v>15</v>
      </c>
      <c r="M5" t="s">
        <v>755</v>
      </c>
    </row>
    <row r="6" spans="1:13" ht="15" thickBot="1" x14ac:dyDescent="0.4">
      <c r="A6" s="1" t="s">
        <v>1231</v>
      </c>
      <c r="B6">
        <v>0</v>
      </c>
      <c r="C6" s="54">
        <v>0</v>
      </c>
      <c r="D6" s="54">
        <v>1</v>
      </c>
      <c r="E6" s="54">
        <v>0</v>
      </c>
      <c r="F6" s="54">
        <v>3</v>
      </c>
      <c r="G6" s="54">
        <v>5</v>
      </c>
      <c r="H6" s="54">
        <v>1</v>
      </c>
      <c r="I6" s="54">
        <v>5</v>
      </c>
      <c r="J6" s="54">
        <v>1</v>
      </c>
      <c r="K6" s="52">
        <f t="shared" si="0"/>
        <v>16</v>
      </c>
      <c r="M6" t="s">
        <v>725</v>
      </c>
    </row>
    <row r="7" spans="1:13" ht="15" thickBot="1" x14ac:dyDescent="0.4">
      <c r="A7" s="1"/>
      <c r="K7" s="52">
        <f t="shared" si="0"/>
        <v>0</v>
      </c>
      <c r="M7" t="s">
        <v>724</v>
      </c>
    </row>
    <row r="8" spans="1:13" ht="15" thickBot="1" x14ac:dyDescent="0.4">
      <c r="A8" s="1"/>
      <c r="K8" s="52">
        <f t="shared" si="0"/>
        <v>0</v>
      </c>
      <c r="M8" t="s">
        <v>727</v>
      </c>
    </row>
    <row r="9" spans="1:13" ht="15" thickBot="1" x14ac:dyDescent="0.4">
      <c r="A9" s="1"/>
      <c r="K9" s="52">
        <f t="shared" si="0"/>
        <v>0</v>
      </c>
      <c r="L9" t="s">
        <v>138</v>
      </c>
      <c r="M9">
        <f>27+25+24+25+27+24</f>
        <v>152</v>
      </c>
    </row>
    <row r="10" spans="1:13" ht="15" thickBot="1" x14ac:dyDescent="0.4">
      <c r="A10" s="1"/>
      <c r="K10" s="52">
        <f t="shared" si="0"/>
        <v>0</v>
      </c>
      <c r="M10">
        <f>152+60</f>
        <v>212</v>
      </c>
    </row>
    <row r="11" spans="1:13" ht="15" thickBot="1" x14ac:dyDescent="0.4">
      <c r="A11" s="1"/>
      <c r="K11" s="52">
        <f t="shared" si="0"/>
        <v>0</v>
      </c>
      <c r="L11" t="s">
        <v>741</v>
      </c>
      <c r="M11">
        <f>212/6</f>
        <v>35.333333333333336</v>
      </c>
    </row>
    <row r="12" spans="1:13" x14ac:dyDescent="0.35">
      <c r="A12" s="1"/>
      <c r="K12" s="55">
        <f t="shared" si="0"/>
        <v>0</v>
      </c>
      <c r="M12" t="e">
        <f>(#REF!+M11)/2</f>
        <v>#REF!</v>
      </c>
    </row>
    <row r="13" spans="1:13" x14ac:dyDescent="0.35">
      <c r="A13" s="1"/>
      <c r="K13" s="55">
        <f t="shared" si="0"/>
        <v>0</v>
      </c>
    </row>
    <row r="14" spans="1:13" x14ac:dyDescent="0.35">
      <c r="A14" s="1"/>
      <c r="K14" s="55">
        <f t="shared" si="0"/>
        <v>0</v>
      </c>
      <c r="L14" t="s">
        <v>737</v>
      </c>
      <c r="M14" t="s">
        <v>738</v>
      </c>
    </row>
    <row r="15" spans="1:13" x14ac:dyDescent="0.35">
      <c r="A15" s="1"/>
      <c r="K15" s="55">
        <f t="shared" si="0"/>
        <v>0</v>
      </c>
      <c r="L15" t="s">
        <v>780</v>
      </c>
      <c r="M15" t="s">
        <v>781</v>
      </c>
    </row>
    <row r="16" spans="1:13" x14ac:dyDescent="0.35">
      <c r="A16" s="1"/>
      <c r="K16" s="55">
        <f t="shared" si="0"/>
        <v>0</v>
      </c>
      <c r="L16" t="s">
        <v>750</v>
      </c>
      <c r="M16" s="53" t="s">
        <v>751</v>
      </c>
    </row>
    <row r="17" spans="1:11" x14ac:dyDescent="0.35">
      <c r="A17" s="1"/>
      <c r="K17" s="55">
        <f t="shared" si="0"/>
        <v>0</v>
      </c>
    </row>
    <row r="18" spans="1:11" x14ac:dyDescent="0.35">
      <c r="A18" s="1"/>
      <c r="K18" s="55">
        <f t="shared" si="0"/>
        <v>0</v>
      </c>
    </row>
    <row r="19" spans="1:11" x14ac:dyDescent="0.35">
      <c r="A19" s="1"/>
      <c r="K19" s="55">
        <f t="shared" si="0"/>
        <v>0</v>
      </c>
    </row>
    <row r="20" spans="1:11" x14ac:dyDescent="0.35">
      <c r="A20" s="1"/>
      <c r="K20" s="55">
        <f t="shared" si="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7E43E-D224-464D-9F9D-AC963F922ABF}">
  <dimension ref="A1:M54"/>
  <sheetViews>
    <sheetView topLeftCell="A39" workbookViewId="0">
      <selection activeCell="E49" sqref="E49"/>
    </sheetView>
  </sheetViews>
  <sheetFormatPr defaultRowHeight="14.5" x14ac:dyDescent="0.35"/>
  <cols>
    <col min="1" max="1" width="28.6328125" customWidth="1"/>
    <col min="2" max="6" width="9.1796875" bestFit="1" customWidth="1"/>
    <col min="7" max="7" width="9.1796875" customWidth="1"/>
    <col min="8" max="11" width="9.1796875" bestFit="1" customWidth="1"/>
    <col min="12" max="12" width="21.1796875" customWidth="1"/>
    <col min="13" max="13" width="81.90625" customWidth="1"/>
  </cols>
  <sheetData>
    <row r="1" spans="1:13" ht="81.5" thickBot="1" x14ac:dyDescent="0.4">
      <c r="A1" s="130" t="s">
        <v>712</v>
      </c>
      <c r="B1" s="49" t="s">
        <v>713</v>
      </c>
      <c r="C1" s="49" t="s">
        <v>714</v>
      </c>
      <c r="D1" s="49" t="s">
        <v>715</v>
      </c>
      <c r="E1" s="49" t="s">
        <v>716</v>
      </c>
      <c r="F1" s="49" t="s">
        <v>717</v>
      </c>
      <c r="G1" s="49" t="s">
        <v>718</v>
      </c>
      <c r="H1" s="49" t="s">
        <v>1170</v>
      </c>
      <c r="I1" s="49" t="s">
        <v>1171</v>
      </c>
      <c r="J1" s="49" t="s">
        <v>1172</v>
      </c>
      <c r="K1" s="131" t="s">
        <v>721</v>
      </c>
      <c r="M1" s="49" t="s">
        <v>1232</v>
      </c>
    </row>
    <row r="2" spans="1:13" x14ac:dyDescent="0.35">
      <c r="A2" t="s">
        <v>496</v>
      </c>
      <c r="B2" s="1">
        <v>0</v>
      </c>
      <c r="C2" s="132">
        <v>0</v>
      </c>
      <c r="D2" s="132">
        <v>1</v>
      </c>
      <c r="E2" s="132">
        <v>0</v>
      </c>
      <c r="F2" s="132">
        <v>1</v>
      </c>
      <c r="G2" s="132">
        <v>1</v>
      </c>
      <c r="H2" s="133">
        <v>3</v>
      </c>
      <c r="I2" s="132">
        <v>4</v>
      </c>
      <c r="J2" s="1">
        <f t="shared" ref="J2:J6" si="0">SUM(B2:I2)</f>
        <v>10</v>
      </c>
      <c r="K2">
        <f t="shared" ref="K2:K9" si="1">(J2*5)/24</f>
        <v>2.0833333333333335</v>
      </c>
      <c r="M2" t="s">
        <v>1234</v>
      </c>
    </row>
    <row r="3" spans="1:13" x14ac:dyDescent="0.35">
      <c r="A3" t="s">
        <v>728</v>
      </c>
      <c r="B3" s="1">
        <v>0</v>
      </c>
      <c r="C3" s="1">
        <v>1</v>
      </c>
      <c r="D3" s="1">
        <v>1</v>
      </c>
      <c r="E3" s="1">
        <v>0</v>
      </c>
      <c r="F3" s="1">
        <v>2</v>
      </c>
      <c r="G3" s="1">
        <v>2</v>
      </c>
      <c r="H3" s="1">
        <v>2</v>
      </c>
      <c r="I3" s="1">
        <v>3</v>
      </c>
      <c r="J3" s="1">
        <f t="shared" si="0"/>
        <v>11</v>
      </c>
      <c r="K3">
        <f t="shared" si="1"/>
        <v>2.2916666666666665</v>
      </c>
      <c r="M3" t="s">
        <v>1233</v>
      </c>
    </row>
    <row r="4" spans="1:13" x14ac:dyDescent="0.35">
      <c r="A4" t="s">
        <v>729</v>
      </c>
      <c r="B4" s="1">
        <v>0</v>
      </c>
      <c r="C4" s="1">
        <v>0</v>
      </c>
      <c r="D4" s="1">
        <v>0</v>
      </c>
      <c r="E4" s="1">
        <v>0</v>
      </c>
      <c r="F4" s="1">
        <v>1</v>
      </c>
      <c r="G4" s="1">
        <v>3</v>
      </c>
      <c r="H4" s="1">
        <v>1</v>
      </c>
      <c r="I4" s="1">
        <v>3</v>
      </c>
      <c r="J4" s="1">
        <f t="shared" si="0"/>
        <v>8</v>
      </c>
      <c r="K4">
        <f t="shared" si="1"/>
        <v>1.6666666666666667</v>
      </c>
      <c r="M4" t="s">
        <v>1237</v>
      </c>
    </row>
    <row r="5" spans="1:13" ht="15" thickBot="1" x14ac:dyDescent="0.4">
      <c r="A5" t="s">
        <v>730</v>
      </c>
      <c r="B5" s="1">
        <v>0</v>
      </c>
      <c r="C5" s="134">
        <v>0</v>
      </c>
      <c r="D5" s="134">
        <v>0</v>
      </c>
      <c r="E5" s="134">
        <v>1</v>
      </c>
      <c r="F5" s="134">
        <v>1</v>
      </c>
      <c r="G5" s="134">
        <v>2</v>
      </c>
      <c r="H5" s="135">
        <v>3</v>
      </c>
      <c r="I5" s="134">
        <v>3</v>
      </c>
      <c r="J5" s="1">
        <f t="shared" si="0"/>
        <v>10</v>
      </c>
      <c r="K5">
        <f t="shared" si="1"/>
        <v>2.0833333333333335</v>
      </c>
      <c r="M5" t="s">
        <v>1236</v>
      </c>
    </row>
    <row r="6" spans="1:13" ht="15" thickBot="1" x14ac:dyDescent="0.4">
      <c r="A6" t="s">
        <v>732</v>
      </c>
      <c r="B6" s="1">
        <v>0</v>
      </c>
      <c r="C6" s="134">
        <v>0</v>
      </c>
      <c r="D6" s="134">
        <v>1</v>
      </c>
      <c r="E6" s="134">
        <v>0</v>
      </c>
      <c r="F6" s="134">
        <v>1</v>
      </c>
      <c r="G6" s="134">
        <v>3</v>
      </c>
      <c r="H6" s="135">
        <v>5</v>
      </c>
      <c r="I6" s="134">
        <v>2</v>
      </c>
      <c r="J6" s="1">
        <f t="shared" si="0"/>
        <v>12</v>
      </c>
      <c r="K6">
        <f t="shared" si="1"/>
        <v>2.5</v>
      </c>
      <c r="M6" t="s">
        <v>1235</v>
      </c>
    </row>
    <row r="7" spans="1:13" x14ac:dyDescent="0.35">
      <c r="A7" t="s">
        <v>733</v>
      </c>
      <c r="B7" s="1">
        <v>0</v>
      </c>
      <c r="C7" s="1">
        <v>1</v>
      </c>
      <c r="D7" s="1">
        <v>0</v>
      </c>
      <c r="E7" s="1">
        <v>0</v>
      </c>
      <c r="F7" s="1">
        <v>1</v>
      </c>
      <c r="G7" s="1">
        <v>2</v>
      </c>
      <c r="H7" s="1">
        <v>5</v>
      </c>
      <c r="I7" s="1">
        <v>2</v>
      </c>
      <c r="J7" s="1">
        <f t="shared" ref="J7" si="2">SUM(B7:I7)</f>
        <v>11</v>
      </c>
      <c r="K7">
        <f t="shared" si="1"/>
        <v>2.2916666666666665</v>
      </c>
    </row>
    <row r="8" spans="1:13" x14ac:dyDescent="0.35">
      <c r="A8" t="s">
        <v>734</v>
      </c>
      <c r="B8" s="1">
        <v>1</v>
      </c>
      <c r="C8" s="1">
        <v>1</v>
      </c>
      <c r="D8" s="1">
        <v>0</v>
      </c>
      <c r="E8" s="1">
        <v>0</v>
      </c>
      <c r="F8" s="1">
        <v>1</v>
      </c>
      <c r="G8" s="1">
        <v>4</v>
      </c>
      <c r="H8" s="1">
        <v>4</v>
      </c>
      <c r="I8" s="1">
        <v>5</v>
      </c>
      <c r="J8" s="1">
        <f t="shared" ref="J8:J9" si="3">SUM(B8:I8)</f>
        <v>16</v>
      </c>
      <c r="K8">
        <f t="shared" si="1"/>
        <v>3.3333333333333335</v>
      </c>
    </row>
    <row r="9" spans="1:13" x14ac:dyDescent="0.35">
      <c r="A9" t="s">
        <v>735</v>
      </c>
      <c r="B9" s="1">
        <v>0</v>
      </c>
      <c r="C9" s="1">
        <v>0</v>
      </c>
      <c r="D9" s="1">
        <v>0</v>
      </c>
      <c r="E9" s="1">
        <v>0</v>
      </c>
      <c r="F9" s="1">
        <v>1</v>
      </c>
      <c r="G9" s="1">
        <v>1</v>
      </c>
      <c r="H9" s="1">
        <v>1</v>
      </c>
      <c r="I9" s="1">
        <v>3</v>
      </c>
      <c r="J9" s="1">
        <f t="shared" si="3"/>
        <v>6</v>
      </c>
      <c r="K9">
        <f t="shared" si="1"/>
        <v>1.25</v>
      </c>
    </row>
    <row r="10" spans="1:13" x14ac:dyDescent="0.35">
      <c r="A10" t="s">
        <v>736</v>
      </c>
      <c r="B10" s="1">
        <v>0</v>
      </c>
      <c r="C10" s="1">
        <v>0</v>
      </c>
      <c r="D10" s="1">
        <v>1</v>
      </c>
      <c r="E10" s="1">
        <v>0</v>
      </c>
      <c r="F10" s="1">
        <v>3</v>
      </c>
      <c r="G10" s="1">
        <v>4</v>
      </c>
      <c r="H10" s="1">
        <v>5</v>
      </c>
      <c r="I10" s="1">
        <v>4</v>
      </c>
      <c r="J10" s="1">
        <f>SUM(B10:I10)</f>
        <v>17</v>
      </c>
      <c r="K10">
        <f>(J10*5)/24</f>
        <v>3.5416666666666665</v>
      </c>
    </row>
    <row r="11" spans="1:13" x14ac:dyDescent="0.35">
      <c r="A11" t="s">
        <v>739</v>
      </c>
      <c r="B11" s="1">
        <v>1</v>
      </c>
      <c r="C11" s="1">
        <v>0</v>
      </c>
      <c r="D11" s="1">
        <v>1</v>
      </c>
      <c r="E11" s="1">
        <v>1</v>
      </c>
      <c r="F11" s="1">
        <v>0</v>
      </c>
      <c r="G11" s="1">
        <v>3</v>
      </c>
      <c r="H11" s="1">
        <v>5</v>
      </c>
      <c r="I11" s="1">
        <v>3</v>
      </c>
      <c r="J11" s="1">
        <f>SUM(B11:I11)</f>
        <v>14</v>
      </c>
      <c r="K11">
        <f>(J11*5)/24</f>
        <v>2.9166666666666665</v>
      </c>
    </row>
    <row r="12" spans="1:13" x14ac:dyDescent="0.35">
      <c r="A12" t="s">
        <v>740</v>
      </c>
      <c r="B12" s="1">
        <v>0</v>
      </c>
      <c r="C12" s="1">
        <v>0</v>
      </c>
      <c r="D12" s="1">
        <v>1</v>
      </c>
      <c r="E12" s="1">
        <v>0</v>
      </c>
      <c r="F12" s="1">
        <v>5</v>
      </c>
      <c r="G12" s="1">
        <v>4</v>
      </c>
      <c r="H12" s="1">
        <v>5</v>
      </c>
      <c r="I12" s="1">
        <v>5</v>
      </c>
      <c r="J12" s="1">
        <f>SUM(B12:I12)</f>
        <v>20</v>
      </c>
      <c r="K12">
        <f>(J12*5)/24</f>
        <v>4.166666666666667</v>
      </c>
    </row>
    <row r="13" spans="1:13" x14ac:dyDescent="0.35">
      <c r="A13" t="s">
        <v>742</v>
      </c>
      <c r="B13" s="1">
        <v>0</v>
      </c>
      <c r="C13" s="1">
        <v>0</v>
      </c>
      <c r="D13" s="1">
        <v>1</v>
      </c>
      <c r="E13" s="1">
        <v>0</v>
      </c>
      <c r="F13" s="1">
        <v>5</v>
      </c>
      <c r="G13" s="1">
        <v>4</v>
      </c>
      <c r="H13" s="1">
        <v>5</v>
      </c>
      <c r="I13" s="1">
        <v>5</v>
      </c>
      <c r="J13" s="1">
        <f t="shared" ref="J13:J52" si="4">SUM(B13:I13)</f>
        <v>20</v>
      </c>
      <c r="K13">
        <f t="shared" ref="K13:K52" si="5">(J13*5)/24</f>
        <v>4.166666666666667</v>
      </c>
    </row>
    <row r="14" spans="1:13" x14ac:dyDescent="0.35">
      <c r="A14" t="s">
        <v>743</v>
      </c>
      <c r="B14" s="1">
        <v>0</v>
      </c>
      <c r="C14" s="1">
        <v>0</v>
      </c>
      <c r="D14" s="1">
        <v>0</v>
      </c>
      <c r="E14" s="1">
        <v>0</v>
      </c>
      <c r="F14" s="1">
        <v>0</v>
      </c>
      <c r="G14" s="1">
        <v>3</v>
      </c>
      <c r="H14" s="1">
        <v>3</v>
      </c>
      <c r="I14" s="1">
        <v>2</v>
      </c>
      <c r="J14" s="1">
        <f t="shared" si="4"/>
        <v>8</v>
      </c>
      <c r="K14">
        <f t="shared" si="5"/>
        <v>1.6666666666666667</v>
      </c>
    </row>
    <row r="15" spans="1:13" x14ac:dyDescent="0.35">
      <c r="A15" t="s">
        <v>744</v>
      </c>
      <c r="B15" s="1">
        <v>0</v>
      </c>
      <c r="C15" s="1">
        <v>0</v>
      </c>
      <c r="D15" s="1">
        <v>0</v>
      </c>
      <c r="E15" s="1">
        <v>1</v>
      </c>
      <c r="F15" s="1">
        <v>1</v>
      </c>
      <c r="G15" s="1">
        <v>3</v>
      </c>
      <c r="H15" s="1">
        <v>3</v>
      </c>
      <c r="I15" s="1">
        <v>3</v>
      </c>
      <c r="J15" s="1">
        <f t="shared" si="4"/>
        <v>11</v>
      </c>
      <c r="K15">
        <f t="shared" si="5"/>
        <v>2.2916666666666665</v>
      </c>
    </row>
    <row r="16" spans="1:13" x14ac:dyDescent="0.35">
      <c r="A16" t="s">
        <v>745</v>
      </c>
      <c r="B16" s="1">
        <v>0</v>
      </c>
      <c r="C16" s="1">
        <v>0</v>
      </c>
      <c r="D16" s="1">
        <v>1</v>
      </c>
      <c r="E16" s="1">
        <v>0</v>
      </c>
      <c r="F16" s="1">
        <v>3</v>
      </c>
      <c r="G16" s="1">
        <v>3</v>
      </c>
      <c r="H16" s="1">
        <v>2</v>
      </c>
      <c r="I16" s="1">
        <v>3</v>
      </c>
      <c r="J16" s="1">
        <f t="shared" si="4"/>
        <v>12</v>
      </c>
      <c r="K16">
        <f t="shared" si="5"/>
        <v>2.5</v>
      </c>
    </row>
    <row r="17" spans="1:11" x14ac:dyDescent="0.35">
      <c r="A17" t="s">
        <v>746</v>
      </c>
      <c r="B17" s="1">
        <v>0</v>
      </c>
      <c r="C17" s="1">
        <v>0</v>
      </c>
      <c r="D17" s="1">
        <v>1</v>
      </c>
      <c r="E17" s="1">
        <v>0</v>
      </c>
      <c r="F17" s="1">
        <v>2</v>
      </c>
      <c r="G17" s="1">
        <v>3</v>
      </c>
      <c r="H17" s="1">
        <v>4</v>
      </c>
      <c r="I17" s="1">
        <v>4</v>
      </c>
      <c r="J17" s="1">
        <f t="shared" si="4"/>
        <v>14</v>
      </c>
      <c r="K17">
        <f t="shared" si="5"/>
        <v>2.9166666666666665</v>
      </c>
    </row>
    <row r="18" spans="1:11" x14ac:dyDescent="0.35">
      <c r="A18" t="s">
        <v>747</v>
      </c>
      <c r="B18" s="1">
        <v>0</v>
      </c>
      <c r="C18" s="1">
        <v>0</v>
      </c>
      <c r="D18" s="1">
        <v>1</v>
      </c>
      <c r="E18" s="1">
        <v>0</v>
      </c>
      <c r="F18" s="1">
        <v>2</v>
      </c>
      <c r="G18" s="1">
        <v>3</v>
      </c>
      <c r="H18" s="1">
        <v>5</v>
      </c>
      <c r="I18" s="1">
        <v>5</v>
      </c>
      <c r="J18" s="1">
        <f>SUM(B18:I18)</f>
        <v>16</v>
      </c>
      <c r="K18">
        <f>(J18*5)/24</f>
        <v>3.3333333333333335</v>
      </c>
    </row>
    <row r="19" spans="1:11" x14ac:dyDescent="0.35">
      <c r="A19" s="15" t="s">
        <v>748</v>
      </c>
      <c r="B19" s="1">
        <v>0</v>
      </c>
      <c r="C19" s="1">
        <v>0</v>
      </c>
      <c r="D19" s="1">
        <v>0</v>
      </c>
      <c r="E19" s="1">
        <v>0</v>
      </c>
      <c r="F19" s="1">
        <v>1</v>
      </c>
      <c r="G19" s="1">
        <v>2</v>
      </c>
      <c r="H19" s="1">
        <v>1</v>
      </c>
      <c r="I19" s="1">
        <v>4</v>
      </c>
      <c r="J19" s="1">
        <f t="shared" si="4"/>
        <v>8</v>
      </c>
      <c r="K19">
        <f t="shared" si="5"/>
        <v>1.6666666666666667</v>
      </c>
    </row>
    <row r="20" spans="1:11" x14ac:dyDescent="0.35">
      <c r="A20" t="s">
        <v>749</v>
      </c>
      <c r="B20" s="1">
        <v>0</v>
      </c>
      <c r="C20" s="1">
        <v>0</v>
      </c>
      <c r="D20" s="1">
        <v>1</v>
      </c>
      <c r="E20" s="1">
        <v>0</v>
      </c>
      <c r="F20" s="1">
        <v>2</v>
      </c>
      <c r="G20" s="1">
        <v>3</v>
      </c>
      <c r="H20" s="1">
        <v>5</v>
      </c>
      <c r="I20" s="1">
        <v>3</v>
      </c>
      <c r="J20" s="1">
        <f t="shared" si="4"/>
        <v>14</v>
      </c>
      <c r="K20">
        <f t="shared" si="5"/>
        <v>2.9166666666666665</v>
      </c>
    </row>
    <row r="21" spans="1:11" x14ac:dyDescent="0.35">
      <c r="A21" t="s">
        <v>752</v>
      </c>
      <c r="B21" s="1">
        <v>0</v>
      </c>
      <c r="C21" s="1">
        <v>0</v>
      </c>
      <c r="D21" s="1">
        <v>1</v>
      </c>
      <c r="E21" s="1">
        <v>0</v>
      </c>
      <c r="F21" s="1">
        <v>2</v>
      </c>
      <c r="G21" s="1">
        <v>4</v>
      </c>
      <c r="H21" s="1">
        <v>5</v>
      </c>
      <c r="I21" s="1">
        <v>3</v>
      </c>
      <c r="J21" s="1">
        <f t="shared" si="4"/>
        <v>15</v>
      </c>
      <c r="K21">
        <f t="shared" si="5"/>
        <v>3.125</v>
      </c>
    </row>
    <row r="22" spans="1:11" x14ac:dyDescent="0.35">
      <c r="A22" t="s">
        <v>753</v>
      </c>
      <c r="B22" s="1">
        <v>0</v>
      </c>
      <c r="C22" s="132">
        <v>0</v>
      </c>
      <c r="D22" s="132">
        <v>1</v>
      </c>
      <c r="E22" s="132">
        <v>0</v>
      </c>
      <c r="F22" s="132">
        <v>5</v>
      </c>
      <c r="G22" s="132">
        <v>4</v>
      </c>
      <c r="H22" s="133">
        <v>5</v>
      </c>
      <c r="I22" s="132">
        <v>4</v>
      </c>
      <c r="J22" s="1">
        <f t="shared" si="4"/>
        <v>19</v>
      </c>
      <c r="K22">
        <f t="shared" si="5"/>
        <v>3.9583333333333335</v>
      </c>
    </row>
    <row r="23" spans="1:11" ht="15" thickBot="1" x14ac:dyDescent="0.4">
      <c r="A23" t="s">
        <v>754</v>
      </c>
      <c r="B23" s="1">
        <v>0</v>
      </c>
      <c r="C23" s="134">
        <v>0</v>
      </c>
      <c r="D23" s="134">
        <v>0</v>
      </c>
      <c r="E23" s="134">
        <v>0</v>
      </c>
      <c r="F23" s="134">
        <v>0</v>
      </c>
      <c r="G23" s="134">
        <v>2</v>
      </c>
      <c r="H23" s="135">
        <v>2</v>
      </c>
      <c r="I23" s="134">
        <v>3</v>
      </c>
      <c r="J23" s="1">
        <f t="shared" si="4"/>
        <v>7</v>
      </c>
      <c r="K23">
        <f t="shared" si="5"/>
        <v>1.4583333333333333</v>
      </c>
    </row>
    <row r="24" spans="1:11" ht="15" thickBot="1" x14ac:dyDescent="0.4">
      <c r="A24" t="s">
        <v>756</v>
      </c>
      <c r="B24" s="1">
        <v>0</v>
      </c>
      <c r="C24" s="134">
        <v>0</v>
      </c>
      <c r="D24" s="134">
        <v>1</v>
      </c>
      <c r="E24" s="134">
        <v>0</v>
      </c>
      <c r="F24" s="134">
        <v>5</v>
      </c>
      <c r="G24" s="134">
        <v>2</v>
      </c>
      <c r="H24" s="135">
        <v>4</v>
      </c>
      <c r="I24" s="134">
        <v>3</v>
      </c>
      <c r="J24" s="1">
        <f t="shared" si="4"/>
        <v>15</v>
      </c>
      <c r="K24">
        <f t="shared" si="5"/>
        <v>3.125</v>
      </c>
    </row>
    <row r="25" spans="1:11" ht="15" thickBot="1" x14ac:dyDescent="0.4">
      <c r="A25" t="s">
        <v>758</v>
      </c>
      <c r="B25" s="1">
        <v>0</v>
      </c>
      <c r="C25" s="134">
        <v>0</v>
      </c>
      <c r="D25" s="134">
        <v>1</v>
      </c>
      <c r="E25" s="134">
        <v>0</v>
      </c>
      <c r="F25" s="134">
        <v>3</v>
      </c>
      <c r="G25" s="134">
        <v>4</v>
      </c>
      <c r="H25" s="135">
        <v>5</v>
      </c>
      <c r="I25" s="134">
        <v>4</v>
      </c>
      <c r="J25" s="1">
        <f t="shared" si="4"/>
        <v>17</v>
      </c>
      <c r="K25">
        <f t="shared" si="5"/>
        <v>3.5416666666666665</v>
      </c>
    </row>
    <row r="26" spans="1:11" x14ac:dyDescent="0.35">
      <c r="A26" t="s">
        <v>760</v>
      </c>
      <c r="B26" s="1">
        <v>0</v>
      </c>
      <c r="C26" s="1">
        <v>0</v>
      </c>
      <c r="D26" s="1">
        <v>0</v>
      </c>
      <c r="E26" s="1">
        <v>0</v>
      </c>
      <c r="F26" s="1">
        <v>5</v>
      </c>
      <c r="G26" s="1">
        <v>3</v>
      </c>
      <c r="H26" s="1">
        <v>5</v>
      </c>
      <c r="I26" s="1">
        <v>3</v>
      </c>
      <c r="J26" s="1">
        <f t="shared" si="4"/>
        <v>16</v>
      </c>
      <c r="K26">
        <f t="shared" si="5"/>
        <v>3.3333333333333335</v>
      </c>
    </row>
    <row r="27" spans="1:11" x14ac:dyDescent="0.35">
      <c r="A27" t="s">
        <v>761</v>
      </c>
      <c r="B27" s="1">
        <v>0</v>
      </c>
      <c r="C27" s="1">
        <v>0</v>
      </c>
      <c r="D27" s="1">
        <v>1</v>
      </c>
      <c r="E27" s="1">
        <v>0</v>
      </c>
      <c r="F27" s="1">
        <v>3</v>
      </c>
      <c r="G27" s="1">
        <v>5</v>
      </c>
      <c r="H27" s="1">
        <v>2</v>
      </c>
      <c r="I27" s="1">
        <v>4</v>
      </c>
      <c r="J27" s="1">
        <f t="shared" si="4"/>
        <v>15</v>
      </c>
      <c r="K27">
        <f t="shared" si="5"/>
        <v>3.125</v>
      </c>
    </row>
    <row r="28" spans="1:11" ht="15" thickBot="1" x14ac:dyDescent="0.4">
      <c r="A28" t="s">
        <v>762</v>
      </c>
      <c r="B28" s="1">
        <v>0</v>
      </c>
      <c r="C28" s="134">
        <v>0</v>
      </c>
      <c r="D28" s="134">
        <v>1</v>
      </c>
      <c r="E28" s="134">
        <v>0</v>
      </c>
      <c r="F28" s="134">
        <v>4</v>
      </c>
      <c r="G28" s="134">
        <v>4</v>
      </c>
      <c r="H28" s="135">
        <v>4</v>
      </c>
      <c r="I28" s="134">
        <v>4</v>
      </c>
      <c r="J28" s="1">
        <f t="shared" si="4"/>
        <v>17</v>
      </c>
      <c r="K28">
        <f t="shared" si="5"/>
        <v>3.5416666666666665</v>
      </c>
    </row>
    <row r="29" spans="1:11" ht="15" thickBot="1" x14ac:dyDescent="0.4">
      <c r="A29" t="s">
        <v>763</v>
      </c>
      <c r="B29" s="1">
        <v>0</v>
      </c>
      <c r="C29" s="134">
        <v>0</v>
      </c>
      <c r="D29" s="134">
        <v>1</v>
      </c>
      <c r="E29" s="134">
        <v>0</v>
      </c>
      <c r="F29" s="134">
        <v>4</v>
      </c>
      <c r="G29" s="134">
        <v>5</v>
      </c>
      <c r="H29" s="135">
        <v>5</v>
      </c>
      <c r="I29" s="134">
        <v>3</v>
      </c>
      <c r="J29" s="1">
        <f t="shared" si="4"/>
        <v>18</v>
      </c>
      <c r="K29">
        <f t="shared" si="5"/>
        <v>3.75</v>
      </c>
    </row>
    <row r="30" spans="1:11" ht="15" thickBot="1" x14ac:dyDescent="0.4">
      <c r="A30" t="s">
        <v>765</v>
      </c>
      <c r="B30" s="1">
        <v>0</v>
      </c>
      <c r="C30" s="134">
        <v>0</v>
      </c>
      <c r="D30" s="134">
        <v>1</v>
      </c>
      <c r="E30" s="134">
        <v>0</v>
      </c>
      <c r="F30" s="134">
        <v>2</v>
      </c>
      <c r="G30" s="134">
        <v>2</v>
      </c>
      <c r="H30" s="135">
        <v>5</v>
      </c>
      <c r="I30" s="134">
        <v>1</v>
      </c>
      <c r="J30" s="1">
        <f t="shared" si="4"/>
        <v>11</v>
      </c>
      <c r="K30">
        <f t="shared" si="5"/>
        <v>2.2916666666666665</v>
      </c>
    </row>
    <row r="31" spans="1:11" x14ac:dyDescent="0.35">
      <c r="A31" s="15" t="s">
        <v>766</v>
      </c>
      <c r="B31" s="1">
        <v>0</v>
      </c>
      <c r="C31" s="1">
        <v>0</v>
      </c>
      <c r="D31" s="1">
        <v>1</v>
      </c>
      <c r="E31" s="1">
        <v>0</v>
      </c>
      <c r="F31" s="1">
        <v>5</v>
      </c>
      <c r="G31" s="1">
        <v>4</v>
      </c>
      <c r="H31" s="1">
        <v>5</v>
      </c>
      <c r="I31" s="1">
        <v>4</v>
      </c>
      <c r="J31" s="1">
        <f t="shared" si="4"/>
        <v>19</v>
      </c>
      <c r="K31">
        <f t="shared" si="5"/>
        <v>3.9583333333333335</v>
      </c>
    </row>
    <row r="32" spans="1:11" x14ac:dyDescent="0.35">
      <c r="A32" s="15" t="s">
        <v>767</v>
      </c>
      <c r="B32" s="1">
        <v>0</v>
      </c>
      <c r="C32" s="1">
        <v>0</v>
      </c>
      <c r="D32" s="1">
        <v>1</v>
      </c>
      <c r="E32" s="1">
        <v>0</v>
      </c>
      <c r="F32" s="1">
        <v>4</v>
      </c>
      <c r="G32" s="1">
        <v>3</v>
      </c>
      <c r="H32" s="1">
        <v>5</v>
      </c>
      <c r="I32" s="1">
        <v>3</v>
      </c>
      <c r="J32" s="1">
        <f t="shared" si="4"/>
        <v>16</v>
      </c>
      <c r="K32">
        <f t="shared" si="5"/>
        <v>3.3333333333333335</v>
      </c>
    </row>
    <row r="33" spans="1:11" x14ac:dyDescent="0.35">
      <c r="A33" s="15" t="s">
        <v>647</v>
      </c>
      <c r="B33" s="1">
        <v>0</v>
      </c>
      <c r="C33" s="1">
        <v>0</v>
      </c>
      <c r="D33" s="1">
        <v>1</v>
      </c>
      <c r="E33" s="1">
        <v>0</v>
      </c>
      <c r="F33" s="1">
        <v>5</v>
      </c>
      <c r="G33" s="1">
        <v>4</v>
      </c>
      <c r="H33" s="1">
        <v>5</v>
      </c>
      <c r="I33" s="1">
        <v>4</v>
      </c>
      <c r="J33" s="1">
        <f t="shared" si="4"/>
        <v>19</v>
      </c>
      <c r="K33">
        <f t="shared" si="5"/>
        <v>3.9583333333333335</v>
      </c>
    </row>
    <row r="34" spans="1:11" x14ac:dyDescent="0.35">
      <c r="A34" s="15" t="s">
        <v>768</v>
      </c>
      <c r="B34" s="1">
        <v>1</v>
      </c>
      <c r="C34" s="1">
        <v>0</v>
      </c>
      <c r="D34" s="1">
        <v>1</v>
      </c>
      <c r="E34" s="1">
        <v>1</v>
      </c>
      <c r="F34" s="1">
        <v>3</v>
      </c>
      <c r="G34" s="1">
        <v>3</v>
      </c>
      <c r="H34" s="1">
        <v>5</v>
      </c>
      <c r="I34" s="1">
        <v>4</v>
      </c>
      <c r="J34" s="1">
        <f t="shared" si="4"/>
        <v>18</v>
      </c>
      <c r="K34">
        <f t="shared" si="5"/>
        <v>3.75</v>
      </c>
    </row>
    <row r="35" spans="1:11" x14ac:dyDescent="0.35">
      <c r="A35" s="15" t="s">
        <v>769</v>
      </c>
      <c r="B35" s="1">
        <v>0</v>
      </c>
      <c r="C35" s="1">
        <v>0</v>
      </c>
      <c r="D35" s="1">
        <v>1</v>
      </c>
      <c r="E35" s="1">
        <v>0</v>
      </c>
      <c r="F35" s="1">
        <v>5</v>
      </c>
      <c r="G35" s="1">
        <v>5</v>
      </c>
      <c r="H35" s="1">
        <v>5</v>
      </c>
      <c r="I35" s="1">
        <v>5</v>
      </c>
      <c r="J35" s="1">
        <f t="shared" si="4"/>
        <v>21</v>
      </c>
      <c r="K35">
        <f t="shared" si="5"/>
        <v>4.375</v>
      </c>
    </row>
    <row r="36" spans="1:11" x14ac:dyDescent="0.35">
      <c r="A36" s="15" t="s">
        <v>770</v>
      </c>
      <c r="B36" s="1">
        <v>0</v>
      </c>
      <c r="C36" s="1">
        <v>0</v>
      </c>
      <c r="D36" s="1">
        <v>1</v>
      </c>
      <c r="E36" s="1">
        <v>0</v>
      </c>
      <c r="F36" s="1">
        <v>4</v>
      </c>
      <c r="G36" s="1">
        <v>4</v>
      </c>
      <c r="H36" s="1">
        <v>5</v>
      </c>
      <c r="I36" s="1">
        <v>2</v>
      </c>
      <c r="J36" s="1">
        <f t="shared" si="4"/>
        <v>16</v>
      </c>
      <c r="K36">
        <f t="shared" si="5"/>
        <v>3.3333333333333335</v>
      </c>
    </row>
    <row r="37" spans="1:11" x14ac:dyDescent="0.35">
      <c r="A37" s="15" t="s">
        <v>771</v>
      </c>
      <c r="B37" s="1">
        <v>0</v>
      </c>
      <c r="C37" s="1">
        <v>0</v>
      </c>
      <c r="D37" s="1">
        <v>1</v>
      </c>
      <c r="E37" s="1">
        <v>0</v>
      </c>
      <c r="F37" s="1">
        <v>4</v>
      </c>
      <c r="G37" s="1">
        <v>5</v>
      </c>
      <c r="H37" s="1">
        <v>5</v>
      </c>
      <c r="I37" s="1">
        <v>4</v>
      </c>
      <c r="J37" s="1">
        <f t="shared" si="4"/>
        <v>19</v>
      </c>
      <c r="K37">
        <f t="shared" si="5"/>
        <v>3.9583333333333335</v>
      </c>
    </row>
    <row r="38" spans="1:11" x14ac:dyDescent="0.35">
      <c r="A38" s="15" t="s">
        <v>774</v>
      </c>
      <c r="B38" s="1">
        <v>0</v>
      </c>
      <c r="C38" s="1">
        <v>0</v>
      </c>
      <c r="D38" s="1">
        <v>0</v>
      </c>
      <c r="E38" s="1">
        <v>0</v>
      </c>
      <c r="F38" s="1">
        <v>5</v>
      </c>
      <c r="G38" s="1">
        <v>3</v>
      </c>
      <c r="H38" s="1">
        <v>3</v>
      </c>
      <c r="I38" s="1">
        <v>3</v>
      </c>
      <c r="J38" s="1">
        <f t="shared" si="4"/>
        <v>14</v>
      </c>
      <c r="K38">
        <f t="shared" si="5"/>
        <v>2.9166666666666665</v>
      </c>
    </row>
    <row r="39" spans="1:11" x14ac:dyDescent="0.35">
      <c r="A39" s="15" t="s">
        <v>775</v>
      </c>
      <c r="B39" s="1">
        <v>0</v>
      </c>
      <c r="C39" s="1">
        <v>0</v>
      </c>
      <c r="D39" s="1">
        <v>1</v>
      </c>
      <c r="E39" s="1">
        <v>0</v>
      </c>
      <c r="F39" s="1">
        <v>5</v>
      </c>
      <c r="G39" s="1">
        <v>5</v>
      </c>
      <c r="H39" s="1">
        <v>5</v>
      </c>
      <c r="I39" s="1">
        <v>3</v>
      </c>
      <c r="J39" s="1">
        <f t="shared" si="4"/>
        <v>19</v>
      </c>
      <c r="K39">
        <f t="shared" si="5"/>
        <v>3.9583333333333335</v>
      </c>
    </row>
    <row r="40" spans="1:11" x14ac:dyDescent="0.35">
      <c r="A40" s="15" t="s">
        <v>776</v>
      </c>
      <c r="B40" s="1">
        <v>0</v>
      </c>
      <c r="C40" s="1">
        <v>0</v>
      </c>
      <c r="D40" s="1">
        <v>1</v>
      </c>
      <c r="E40" s="1">
        <v>0</v>
      </c>
      <c r="F40" s="1">
        <v>3</v>
      </c>
      <c r="G40" s="1">
        <v>3</v>
      </c>
      <c r="H40" s="1">
        <v>5</v>
      </c>
      <c r="I40" s="1">
        <v>3</v>
      </c>
      <c r="J40" s="1">
        <f t="shared" si="4"/>
        <v>15</v>
      </c>
      <c r="K40">
        <f t="shared" si="5"/>
        <v>3.125</v>
      </c>
    </row>
    <row r="41" spans="1:11" x14ac:dyDescent="0.35">
      <c r="A41" s="15" t="s">
        <v>777</v>
      </c>
      <c r="B41" s="1">
        <v>0</v>
      </c>
      <c r="C41" s="1">
        <v>0</v>
      </c>
      <c r="D41" s="1">
        <v>1</v>
      </c>
      <c r="E41" s="1">
        <v>0</v>
      </c>
      <c r="F41" s="1">
        <v>5</v>
      </c>
      <c r="G41" s="1">
        <v>5</v>
      </c>
      <c r="H41" s="1">
        <v>5</v>
      </c>
      <c r="I41" s="1">
        <v>4</v>
      </c>
      <c r="J41" s="1">
        <f t="shared" si="4"/>
        <v>20</v>
      </c>
      <c r="K41">
        <f t="shared" si="5"/>
        <v>4.166666666666667</v>
      </c>
    </row>
    <row r="42" spans="1:11" x14ac:dyDescent="0.35">
      <c r="A42" t="s">
        <v>778</v>
      </c>
      <c r="B42" s="1">
        <v>0</v>
      </c>
      <c r="C42" s="1">
        <v>1</v>
      </c>
      <c r="D42" s="1">
        <v>1</v>
      </c>
      <c r="E42" s="1">
        <v>1</v>
      </c>
      <c r="F42" s="1">
        <v>5</v>
      </c>
      <c r="G42" s="1">
        <v>5</v>
      </c>
      <c r="H42" s="1">
        <v>5</v>
      </c>
      <c r="I42" s="1">
        <v>5</v>
      </c>
      <c r="J42" s="1">
        <f t="shared" si="4"/>
        <v>23</v>
      </c>
      <c r="K42">
        <f t="shared" si="5"/>
        <v>4.791666666666667</v>
      </c>
    </row>
    <row r="43" spans="1:11" x14ac:dyDescent="0.35">
      <c r="A43" t="s">
        <v>779</v>
      </c>
      <c r="B43" s="1">
        <v>0</v>
      </c>
      <c r="C43" s="1">
        <v>0</v>
      </c>
      <c r="D43" s="1">
        <v>1</v>
      </c>
      <c r="E43" s="1">
        <v>0</v>
      </c>
      <c r="F43" s="1">
        <v>2</v>
      </c>
      <c r="G43" s="1">
        <v>5</v>
      </c>
      <c r="H43" s="1">
        <v>5</v>
      </c>
      <c r="I43" s="1">
        <v>4</v>
      </c>
      <c r="J43" s="1">
        <f>SUM(B43:I43)</f>
        <v>17</v>
      </c>
      <c r="K43">
        <f>(J43*5)/24</f>
        <v>3.5416666666666665</v>
      </c>
    </row>
    <row r="44" spans="1:11" x14ac:dyDescent="0.35">
      <c r="A44" t="s">
        <v>782</v>
      </c>
      <c r="B44" s="1">
        <v>0</v>
      </c>
      <c r="C44" s="1">
        <v>0</v>
      </c>
      <c r="D44" s="1">
        <v>1</v>
      </c>
      <c r="E44" s="1">
        <v>0</v>
      </c>
      <c r="F44" s="1">
        <v>2</v>
      </c>
      <c r="G44" s="1">
        <v>3</v>
      </c>
      <c r="H44" s="1">
        <v>4</v>
      </c>
      <c r="I44" s="1">
        <v>1</v>
      </c>
      <c r="J44" s="1">
        <f t="shared" si="4"/>
        <v>11</v>
      </c>
      <c r="K44">
        <f t="shared" si="5"/>
        <v>2.2916666666666665</v>
      </c>
    </row>
    <row r="45" spans="1:11" ht="15" thickBot="1" x14ac:dyDescent="0.4">
      <c r="A45" t="s">
        <v>784</v>
      </c>
      <c r="B45" s="1">
        <v>0</v>
      </c>
      <c r="C45" s="134">
        <v>1</v>
      </c>
      <c r="D45" s="134">
        <v>1</v>
      </c>
      <c r="E45" s="134">
        <v>0</v>
      </c>
      <c r="F45" s="134">
        <v>3</v>
      </c>
      <c r="G45" s="134">
        <v>4</v>
      </c>
      <c r="H45" s="135">
        <v>5</v>
      </c>
      <c r="I45" s="134">
        <v>5</v>
      </c>
      <c r="J45" s="1">
        <f t="shared" si="4"/>
        <v>19</v>
      </c>
      <c r="K45">
        <f t="shared" si="5"/>
        <v>3.9583333333333335</v>
      </c>
    </row>
    <row r="46" spans="1:11" x14ac:dyDescent="0.35">
      <c r="A46" t="s">
        <v>785</v>
      </c>
      <c r="B46" s="1">
        <v>0</v>
      </c>
      <c r="C46" s="132">
        <v>1</v>
      </c>
      <c r="D46" s="132">
        <v>1</v>
      </c>
      <c r="E46" s="132">
        <v>0</v>
      </c>
      <c r="F46" s="132">
        <v>5</v>
      </c>
      <c r="G46" s="132">
        <v>5</v>
      </c>
      <c r="H46" s="133">
        <v>5</v>
      </c>
      <c r="I46" s="132">
        <v>4</v>
      </c>
      <c r="J46" s="1">
        <f t="shared" si="4"/>
        <v>21</v>
      </c>
      <c r="K46">
        <f t="shared" si="5"/>
        <v>4.375</v>
      </c>
    </row>
    <row r="47" spans="1:11" x14ac:dyDescent="0.35">
      <c r="A47" t="s">
        <v>786</v>
      </c>
      <c r="B47" s="1">
        <v>0</v>
      </c>
      <c r="C47" s="1">
        <v>1</v>
      </c>
      <c r="D47" s="1">
        <v>1</v>
      </c>
      <c r="E47" s="1">
        <v>0</v>
      </c>
      <c r="F47" s="1">
        <v>5</v>
      </c>
      <c r="G47" s="1">
        <v>5</v>
      </c>
      <c r="H47" s="1">
        <v>5</v>
      </c>
      <c r="I47" s="1">
        <v>5</v>
      </c>
      <c r="J47" s="1">
        <f t="shared" si="4"/>
        <v>22</v>
      </c>
      <c r="K47">
        <f t="shared" si="5"/>
        <v>4.583333333333333</v>
      </c>
    </row>
    <row r="48" spans="1:11" x14ac:dyDescent="0.35">
      <c r="A48" t="s">
        <v>787</v>
      </c>
      <c r="B48" s="1">
        <v>0</v>
      </c>
      <c r="C48" s="1">
        <v>1</v>
      </c>
      <c r="D48" s="1">
        <v>1</v>
      </c>
      <c r="E48" s="1">
        <v>0</v>
      </c>
      <c r="F48" s="1">
        <v>5</v>
      </c>
      <c r="G48" s="1">
        <v>3</v>
      </c>
      <c r="H48" s="1">
        <v>5</v>
      </c>
      <c r="I48" s="1">
        <v>5</v>
      </c>
      <c r="J48" s="1">
        <f t="shared" si="4"/>
        <v>20</v>
      </c>
      <c r="K48">
        <f t="shared" si="5"/>
        <v>4.166666666666667</v>
      </c>
    </row>
    <row r="49" spans="1:11" ht="15" thickBot="1" x14ac:dyDescent="0.4">
      <c r="A49" t="s">
        <v>788</v>
      </c>
      <c r="B49" s="1">
        <v>0</v>
      </c>
      <c r="C49" s="134">
        <v>0</v>
      </c>
      <c r="D49" s="134">
        <v>1</v>
      </c>
      <c r="E49" s="134">
        <v>0</v>
      </c>
      <c r="F49" s="134">
        <v>1</v>
      </c>
      <c r="G49" s="134">
        <v>2</v>
      </c>
      <c r="H49" s="135">
        <v>2</v>
      </c>
      <c r="I49" s="134">
        <v>3</v>
      </c>
      <c r="J49" s="1">
        <f t="shared" si="4"/>
        <v>9</v>
      </c>
      <c r="K49">
        <f t="shared" si="5"/>
        <v>1.875</v>
      </c>
    </row>
    <row r="50" spans="1:11" ht="15" thickBot="1" x14ac:dyDescent="0.4">
      <c r="A50" t="s">
        <v>789</v>
      </c>
      <c r="B50" s="1">
        <v>0</v>
      </c>
      <c r="C50" s="134">
        <v>0</v>
      </c>
      <c r="D50" s="134">
        <v>1</v>
      </c>
      <c r="E50" s="134">
        <v>0</v>
      </c>
      <c r="F50" s="134">
        <v>2</v>
      </c>
      <c r="G50" s="134">
        <v>3</v>
      </c>
      <c r="H50" s="135">
        <v>4</v>
      </c>
      <c r="I50" s="134">
        <v>3</v>
      </c>
      <c r="J50" s="1">
        <f t="shared" si="4"/>
        <v>13</v>
      </c>
      <c r="K50">
        <f t="shared" si="5"/>
        <v>2.7083333333333335</v>
      </c>
    </row>
    <row r="51" spans="1:11" x14ac:dyDescent="0.35">
      <c r="A51" s="15" t="s">
        <v>790</v>
      </c>
      <c r="B51" s="1">
        <v>0</v>
      </c>
      <c r="C51" s="1">
        <v>0</v>
      </c>
      <c r="D51" s="1">
        <v>1</v>
      </c>
      <c r="E51" s="1">
        <v>0</v>
      </c>
      <c r="F51" s="1">
        <v>5</v>
      </c>
      <c r="G51" s="1">
        <v>5</v>
      </c>
      <c r="H51" s="1">
        <v>5</v>
      </c>
      <c r="I51" s="1">
        <v>5</v>
      </c>
      <c r="J51" s="1">
        <f t="shared" si="4"/>
        <v>21</v>
      </c>
      <c r="K51">
        <f t="shared" si="5"/>
        <v>4.375</v>
      </c>
    </row>
    <row r="52" spans="1:11" x14ac:dyDescent="0.35">
      <c r="A52" t="s">
        <v>791</v>
      </c>
      <c r="B52" s="1">
        <v>0</v>
      </c>
      <c r="C52" s="1">
        <v>0</v>
      </c>
      <c r="D52" s="1">
        <v>1</v>
      </c>
      <c r="E52" s="1">
        <v>0</v>
      </c>
      <c r="F52" s="1">
        <v>5</v>
      </c>
      <c r="G52" s="1">
        <v>5</v>
      </c>
      <c r="H52" s="1">
        <v>5</v>
      </c>
      <c r="I52" s="1">
        <v>4</v>
      </c>
      <c r="J52" s="1">
        <f t="shared" si="4"/>
        <v>20</v>
      </c>
      <c r="K52">
        <f t="shared" si="5"/>
        <v>4.166666666666667</v>
      </c>
    </row>
    <row r="54" spans="1:11" x14ac:dyDescent="0.35">
      <c r="A54" s="1" t="s">
        <v>792</v>
      </c>
      <c r="B54">
        <f t="shared" ref="B54:I54" si="6">SUM(B24:B52)</f>
        <v>1</v>
      </c>
      <c r="C54">
        <f t="shared" si="6"/>
        <v>5</v>
      </c>
      <c r="D54">
        <f t="shared" si="6"/>
        <v>27</v>
      </c>
      <c r="E54">
        <f t="shared" si="6"/>
        <v>2</v>
      </c>
      <c r="F54">
        <f t="shared" si="6"/>
        <v>114</v>
      </c>
      <c r="G54">
        <f t="shared" si="6"/>
        <v>114</v>
      </c>
      <c r="H54">
        <f t="shared" si="6"/>
        <v>133</v>
      </c>
      <c r="I54">
        <f t="shared" si="6"/>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85044-1191-4F9E-A89C-D749D19B504D}">
  <sheetPr filterMode="1"/>
  <dimension ref="A1:V78"/>
  <sheetViews>
    <sheetView zoomScale="70" zoomScaleNormal="70" workbookViewId="0">
      <pane xSplit="1" topLeftCell="B1" activePane="topRight" state="frozen"/>
      <selection pane="topRight" activeCell="G8" sqref="G8"/>
    </sheetView>
  </sheetViews>
  <sheetFormatPr defaultRowHeight="14.5" x14ac:dyDescent="0.35"/>
  <cols>
    <col min="1" max="1" width="33.26953125" customWidth="1"/>
    <col min="2" max="2" width="46.54296875" customWidth="1"/>
    <col min="3" max="3" width="27.26953125" customWidth="1"/>
    <col min="4" max="4" width="30.26953125" customWidth="1"/>
    <col min="5" max="5" width="36.54296875" customWidth="1"/>
    <col min="6" max="6" width="31.54296875" customWidth="1"/>
    <col min="7" max="7" width="20.54296875" customWidth="1"/>
    <col min="8" max="8" width="35.1796875" customWidth="1"/>
    <col min="9" max="9" width="16.453125" customWidth="1"/>
    <col min="10" max="10" width="26.81640625" customWidth="1"/>
  </cols>
  <sheetData>
    <row r="1" spans="1:22" s="1" customFormat="1" x14ac:dyDescent="0.35">
      <c r="A1" s="1" t="s">
        <v>0</v>
      </c>
      <c r="B1" s="1" t="s">
        <v>1</v>
      </c>
      <c r="C1" s="1" t="s">
        <v>2</v>
      </c>
      <c r="D1" s="1" t="s">
        <v>3</v>
      </c>
      <c r="E1" s="1" t="s">
        <v>4</v>
      </c>
      <c r="F1" s="1" t="s">
        <v>5</v>
      </c>
      <c r="G1" s="1" t="s">
        <v>6</v>
      </c>
      <c r="H1" s="1" t="s">
        <v>7</v>
      </c>
      <c r="I1" s="1" t="s">
        <v>8</v>
      </c>
    </row>
    <row r="2" spans="1:22" s="88" customFormat="1" ht="12.75" customHeight="1" x14ac:dyDescent="0.35">
      <c r="A2" s="79" t="s">
        <v>345</v>
      </c>
      <c r="B2" s="88">
        <v>2012</v>
      </c>
      <c r="C2" s="88" t="s">
        <v>11</v>
      </c>
      <c r="D2" s="89" t="s">
        <v>96</v>
      </c>
      <c r="E2" s="88" t="s">
        <v>346</v>
      </c>
      <c r="F2" s="88" t="s">
        <v>37</v>
      </c>
      <c r="G2" s="88" t="s">
        <v>347</v>
      </c>
      <c r="H2" s="88" t="s">
        <v>348</v>
      </c>
      <c r="I2" s="88" t="s">
        <v>349</v>
      </c>
    </row>
    <row r="3" spans="1:22" x14ac:dyDescent="0.35">
      <c r="A3" s="56" t="s">
        <v>10</v>
      </c>
      <c r="B3">
        <v>2013</v>
      </c>
      <c r="C3" t="s">
        <v>11</v>
      </c>
      <c r="D3" s="90" t="s">
        <v>12</v>
      </c>
      <c r="E3" t="s">
        <v>13</v>
      </c>
      <c r="F3" t="s">
        <v>14</v>
      </c>
      <c r="G3" t="s">
        <v>15</v>
      </c>
      <c r="H3" t="s">
        <v>16</v>
      </c>
      <c r="I3" t="s">
        <v>17</v>
      </c>
    </row>
    <row r="4" spans="1:22" s="88" customFormat="1" ht="11.25" customHeight="1" x14ac:dyDescent="0.35">
      <c r="A4" s="79" t="s">
        <v>350</v>
      </c>
      <c r="B4" s="88">
        <v>2013</v>
      </c>
      <c r="C4" s="88" t="s">
        <v>11</v>
      </c>
      <c r="D4" s="88" t="s">
        <v>351</v>
      </c>
      <c r="E4" s="88" t="s">
        <v>352</v>
      </c>
      <c r="F4" s="88" t="s">
        <v>353</v>
      </c>
      <c r="G4" s="88" t="s">
        <v>354</v>
      </c>
      <c r="H4" s="88" t="s">
        <v>355</v>
      </c>
      <c r="I4" s="88" t="s">
        <v>356</v>
      </c>
    </row>
    <row r="5" spans="1:22" x14ac:dyDescent="0.35">
      <c r="A5" s="56" t="s">
        <v>19</v>
      </c>
      <c r="B5">
        <v>2013</v>
      </c>
      <c r="C5" t="s">
        <v>20</v>
      </c>
      <c r="D5" s="90" t="s">
        <v>21</v>
      </c>
      <c r="E5" t="s">
        <v>13</v>
      </c>
      <c r="F5" t="s">
        <v>22</v>
      </c>
      <c r="G5" s="90" t="s">
        <v>23</v>
      </c>
      <c r="H5" s="90" t="s">
        <v>357</v>
      </c>
      <c r="I5" t="s">
        <v>25</v>
      </c>
    </row>
    <row r="6" spans="1:22" x14ac:dyDescent="0.35">
      <c r="A6" s="56" t="s">
        <v>26</v>
      </c>
      <c r="B6">
        <v>2014</v>
      </c>
      <c r="C6" t="s">
        <v>11</v>
      </c>
      <c r="D6" t="s">
        <v>27</v>
      </c>
      <c r="E6" t="s">
        <v>28</v>
      </c>
      <c r="F6" t="s">
        <v>29</v>
      </c>
      <c r="G6" t="s">
        <v>30</v>
      </c>
      <c r="H6" t="s">
        <v>31</v>
      </c>
      <c r="I6" t="s">
        <v>32</v>
      </c>
    </row>
    <row r="7" spans="1:22" ht="10.5" customHeight="1" x14ac:dyDescent="0.35">
      <c r="A7" s="56" t="s">
        <v>48</v>
      </c>
      <c r="B7">
        <v>2015</v>
      </c>
      <c r="C7" t="s">
        <v>49</v>
      </c>
      <c r="D7" t="s">
        <v>50</v>
      </c>
      <c r="E7" t="s">
        <v>51</v>
      </c>
      <c r="F7" t="s">
        <v>52</v>
      </c>
      <c r="G7" t="s">
        <v>53</v>
      </c>
      <c r="H7" t="s">
        <v>54</v>
      </c>
      <c r="I7" s="90" t="s">
        <v>55</v>
      </c>
    </row>
    <row r="8" spans="1:22" ht="12" customHeight="1" x14ac:dyDescent="0.35">
      <c r="A8" s="56" t="s">
        <v>34</v>
      </c>
      <c r="B8">
        <v>2015</v>
      </c>
      <c r="C8" t="s">
        <v>11</v>
      </c>
      <c r="D8" t="s">
        <v>35</v>
      </c>
      <c r="E8" t="s">
        <v>36</v>
      </c>
      <c r="F8" t="s">
        <v>37</v>
      </c>
      <c r="G8" s="90" t="s">
        <v>38</v>
      </c>
      <c r="H8" s="90" t="s">
        <v>39</v>
      </c>
      <c r="I8" s="90" t="s">
        <v>40</v>
      </c>
    </row>
    <row r="9" spans="1:22" s="74" customFormat="1" ht="12.75" customHeight="1" x14ac:dyDescent="0.35">
      <c r="A9" s="56" t="s">
        <v>42</v>
      </c>
      <c r="B9">
        <v>2015</v>
      </c>
      <c r="C9" t="s">
        <v>11</v>
      </c>
      <c r="D9" t="s">
        <v>43</v>
      </c>
      <c r="E9" t="s">
        <v>44</v>
      </c>
      <c r="F9" t="s">
        <v>37</v>
      </c>
      <c r="G9" s="90" t="s">
        <v>45</v>
      </c>
      <c r="H9" t="s">
        <v>39</v>
      </c>
      <c r="I9" s="90" t="s">
        <v>358</v>
      </c>
      <c r="J9"/>
      <c r="K9"/>
      <c r="L9"/>
      <c r="M9"/>
      <c r="N9"/>
      <c r="O9"/>
      <c r="P9"/>
      <c r="Q9"/>
      <c r="R9"/>
      <c r="S9"/>
      <c r="T9"/>
      <c r="U9"/>
      <c r="V9"/>
    </row>
    <row r="10" spans="1:22" x14ac:dyDescent="0.35">
      <c r="A10" s="56" t="s">
        <v>57</v>
      </c>
      <c r="B10">
        <v>2016</v>
      </c>
      <c r="C10" t="s">
        <v>58</v>
      </c>
      <c r="D10" t="s">
        <v>59</v>
      </c>
      <c r="E10" t="s">
        <v>60</v>
      </c>
      <c r="F10" t="s">
        <v>359</v>
      </c>
      <c r="G10" t="s">
        <v>360</v>
      </c>
      <c r="H10" t="s">
        <v>361</v>
      </c>
      <c r="I10" t="s">
        <v>64</v>
      </c>
    </row>
    <row r="11" spans="1:22" x14ac:dyDescent="0.35">
      <c r="A11" s="56" t="s">
        <v>66</v>
      </c>
      <c r="B11">
        <v>2017</v>
      </c>
      <c r="C11" t="s">
        <v>11</v>
      </c>
      <c r="D11" t="s">
        <v>67</v>
      </c>
      <c r="E11" t="s">
        <v>68</v>
      </c>
      <c r="F11" t="s">
        <v>69</v>
      </c>
      <c r="G11" t="s">
        <v>70</v>
      </c>
      <c r="H11" t="s">
        <v>362</v>
      </c>
      <c r="I11" t="s">
        <v>72</v>
      </c>
    </row>
    <row r="12" spans="1:22" x14ac:dyDescent="0.35">
      <c r="A12" s="56" t="s">
        <v>74</v>
      </c>
      <c r="B12">
        <v>2018</v>
      </c>
      <c r="C12" t="s">
        <v>75</v>
      </c>
      <c r="D12" t="s">
        <v>76</v>
      </c>
      <c r="E12" t="s">
        <v>77</v>
      </c>
      <c r="F12" t="s">
        <v>37</v>
      </c>
      <c r="G12" t="s">
        <v>78</v>
      </c>
      <c r="H12" t="s">
        <v>39</v>
      </c>
      <c r="I12" s="90" t="s">
        <v>79</v>
      </c>
    </row>
    <row r="13" spans="1:22" x14ac:dyDescent="0.35">
      <c r="A13" s="56" t="s">
        <v>81</v>
      </c>
      <c r="B13">
        <v>2018</v>
      </c>
      <c r="C13" t="s">
        <v>75</v>
      </c>
      <c r="D13" t="s">
        <v>82</v>
      </c>
      <c r="E13" t="s">
        <v>83</v>
      </c>
      <c r="F13" t="s">
        <v>37</v>
      </c>
      <c r="G13" t="s">
        <v>84</v>
      </c>
      <c r="H13" t="s">
        <v>39</v>
      </c>
      <c r="I13" t="s">
        <v>363</v>
      </c>
    </row>
    <row r="14" spans="1:22" ht="12" customHeight="1" x14ac:dyDescent="0.35">
      <c r="A14" s="56" t="s">
        <v>87</v>
      </c>
      <c r="B14">
        <v>2018</v>
      </c>
      <c r="C14" t="s">
        <v>11</v>
      </c>
      <c r="D14" t="s">
        <v>88</v>
      </c>
      <c r="E14" s="90" t="s">
        <v>89</v>
      </c>
      <c r="F14" s="90" t="s">
        <v>90</v>
      </c>
      <c r="G14" s="90" t="s">
        <v>91</v>
      </c>
      <c r="H14" t="s">
        <v>92</v>
      </c>
      <c r="I14" s="90" t="s">
        <v>93</v>
      </c>
    </row>
    <row r="15" spans="1:22" ht="12.75" customHeight="1" x14ac:dyDescent="0.35">
      <c r="A15" s="56" t="s">
        <v>95</v>
      </c>
      <c r="B15">
        <v>2018</v>
      </c>
      <c r="C15" t="s">
        <v>11</v>
      </c>
      <c r="D15" t="s">
        <v>96</v>
      </c>
      <c r="E15" s="90" t="s">
        <v>97</v>
      </c>
      <c r="F15" s="90" t="s">
        <v>98</v>
      </c>
      <c r="G15" s="90" t="s">
        <v>99</v>
      </c>
      <c r="H15" t="s">
        <v>100</v>
      </c>
      <c r="I15" s="90" t="s">
        <v>101</v>
      </c>
    </row>
    <row r="16" spans="1:22" x14ac:dyDescent="0.35">
      <c r="A16" s="56" t="s">
        <v>103</v>
      </c>
      <c r="B16">
        <v>2018</v>
      </c>
      <c r="C16" t="s">
        <v>11</v>
      </c>
      <c r="D16" t="s">
        <v>50</v>
      </c>
      <c r="E16" t="s">
        <v>104</v>
      </c>
      <c r="F16" t="s">
        <v>105</v>
      </c>
      <c r="G16" t="s">
        <v>106</v>
      </c>
      <c r="H16" t="s">
        <v>107</v>
      </c>
      <c r="I16" t="s">
        <v>108</v>
      </c>
    </row>
    <row r="17" spans="1:9" x14ac:dyDescent="0.35">
      <c r="A17" s="56" t="s">
        <v>109</v>
      </c>
      <c r="B17">
        <v>2018</v>
      </c>
      <c r="C17" t="s">
        <v>11</v>
      </c>
      <c r="D17" s="67" t="s">
        <v>110</v>
      </c>
      <c r="E17" t="s">
        <v>111</v>
      </c>
      <c r="F17" t="s">
        <v>364</v>
      </c>
      <c r="G17" t="s">
        <v>365</v>
      </c>
      <c r="H17" t="s">
        <v>366</v>
      </c>
      <c r="I17" t="s">
        <v>114</v>
      </c>
    </row>
    <row r="18" spans="1:9" x14ac:dyDescent="0.35">
      <c r="A18" s="56" t="s">
        <v>116</v>
      </c>
      <c r="B18">
        <v>2019</v>
      </c>
      <c r="C18" t="s">
        <v>11</v>
      </c>
      <c r="D18" t="s">
        <v>367</v>
      </c>
      <c r="E18" s="73" t="s">
        <v>111</v>
      </c>
      <c r="F18" t="s">
        <v>118</v>
      </c>
      <c r="G18" t="s">
        <v>119</v>
      </c>
      <c r="H18" t="s">
        <v>120</v>
      </c>
      <c r="I18" t="s">
        <v>121</v>
      </c>
    </row>
    <row r="19" spans="1:9" ht="15" customHeight="1" x14ac:dyDescent="0.35">
      <c r="A19" s="56" t="s">
        <v>109</v>
      </c>
      <c r="B19">
        <v>2019</v>
      </c>
      <c r="C19" t="s">
        <v>11</v>
      </c>
      <c r="D19" t="s">
        <v>122</v>
      </c>
      <c r="E19" t="s">
        <v>123</v>
      </c>
      <c r="F19" t="s">
        <v>22</v>
      </c>
      <c r="G19" t="s">
        <v>124</v>
      </c>
      <c r="H19" s="14" t="s">
        <v>125</v>
      </c>
      <c r="I19" t="s">
        <v>126</v>
      </c>
    </row>
    <row r="20" spans="1:9" x14ac:dyDescent="0.35">
      <c r="A20" s="56" t="s">
        <v>128</v>
      </c>
      <c r="B20" s="90">
        <v>2020</v>
      </c>
      <c r="C20" t="s">
        <v>11</v>
      </c>
      <c r="D20" s="90" t="s">
        <v>129</v>
      </c>
      <c r="E20" s="91" t="s">
        <v>368</v>
      </c>
      <c r="F20" t="s">
        <v>37</v>
      </c>
      <c r="G20" s="90" t="s">
        <v>131</v>
      </c>
      <c r="H20" t="s">
        <v>132</v>
      </c>
      <c r="I20" t="s">
        <v>133</v>
      </c>
    </row>
    <row r="21" spans="1:9" x14ac:dyDescent="0.35">
      <c r="A21" s="56" t="s">
        <v>134</v>
      </c>
      <c r="B21">
        <v>2020</v>
      </c>
      <c r="C21" t="s">
        <v>135</v>
      </c>
      <c r="D21" s="67" t="s">
        <v>50</v>
      </c>
      <c r="E21" t="s">
        <v>136</v>
      </c>
      <c r="F21" t="s">
        <v>37</v>
      </c>
      <c r="G21" t="s">
        <v>137</v>
      </c>
      <c r="H21" t="s">
        <v>138</v>
      </c>
      <c r="I21" t="s">
        <v>139</v>
      </c>
    </row>
    <row r="22" spans="1:9" x14ac:dyDescent="0.35">
      <c r="A22" s="56" t="s">
        <v>164</v>
      </c>
      <c r="B22">
        <v>2020</v>
      </c>
      <c r="C22" t="s">
        <v>11</v>
      </c>
      <c r="D22" s="56" t="s">
        <v>50</v>
      </c>
      <c r="E22" t="s">
        <v>13</v>
      </c>
      <c r="F22" t="s">
        <v>37</v>
      </c>
      <c r="G22" t="s">
        <v>165</v>
      </c>
      <c r="H22" t="s">
        <v>166</v>
      </c>
      <c r="I22" t="s">
        <v>167</v>
      </c>
    </row>
    <row r="23" spans="1:9" x14ac:dyDescent="0.35">
      <c r="A23" s="92" t="s">
        <v>141</v>
      </c>
      <c r="B23">
        <v>2020</v>
      </c>
      <c r="C23" t="s">
        <v>11</v>
      </c>
      <c r="D23" s="90" t="s">
        <v>142</v>
      </c>
      <c r="E23" t="s">
        <v>143</v>
      </c>
      <c r="F23" s="90" t="s">
        <v>37</v>
      </c>
      <c r="G23" s="90" t="s">
        <v>144</v>
      </c>
      <c r="H23" s="90" t="s">
        <v>39</v>
      </c>
      <c r="I23" s="90" t="s">
        <v>145</v>
      </c>
    </row>
    <row r="24" spans="1:9" x14ac:dyDescent="0.35">
      <c r="A24" s="92" t="s">
        <v>147</v>
      </c>
      <c r="B24">
        <v>2020</v>
      </c>
      <c r="C24" t="s">
        <v>11</v>
      </c>
      <c r="D24" s="90" t="s">
        <v>129</v>
      </c>
      <c r="E24" s="90" t="s">
        <v>148</v>
      </c>
      <c r="F24" t="s">
        <v>37</v>
      </c>
      <c r="G24" s="90" t="s">
        <v>149</v>
      </c>
      <c r="H24" s="90" t="s">
        <v>39</v>
      </c>
      <c r="I24" s="90" t="s">
        <v>150</v>
      </c>
    </row>
    <row r="25" spans="1:9" ht="12" customHeight="1" x14ac:dyDescent="0.35">
      <c r="A25" s="56" t="s">
        <v>151</v>
      </c>
      <c r="B25">
        <v>2020</v>
      </c>
      <c r="C25" t="s">
        <v>11</v>
      </c>
      <c r="D25" s="14" t="s">
        <v>152</v>
      </c>
      <c r="E25" t="s">
        <v>13</v>
      </c>
      <c r="F25" t="s">
        <v>153</v>
      </c>
      <c r="G25" t="s">
        <v>154</v>
      </c>
      <c r="H25" t="s">
        <v>155</v>
      </c>
      <c r="I25" t="s">
        <v>156</v>
      </c>
    </row>
    <row r="26" spans="1:9" s="88" customFormat="1" x14ac:dyDescent="0.35">
      <c r="A26" s="79" t="s">
        <v>369</v>
      </c>
      <c r="B26" s="88">
        <v>2021</v>
      </c>
      <c r="C26" s="88" t="s">
        <v>370</v>
      </c>
      <c r="D26" s="88" t="s">
        <v>248</v>
      </c>
      <c r="E26" s="88" t="s">
        <v>371</v>
      </c>
      <c r="F26" s="88" t="s">
        <v>37</v>
      </c>
      <c r="G26" s="88" t="s">
        <v>372</v>
      </c>
      <c r="H26" s="88" t="s">
        <v>373</v>
      </c>
      <c r="I26" s="88" t="s">
        <v>264</v>
      </c>
    </row>
    <row r="27" spans="1:9" x14ac:dyDescent="0.35">
      <c r="A27" s="56" t="s">
        <v>168</v>
      </c>
      <c r="B27">
        <v>2021</v>
      </c>
      <c r="C27" t="s">
        <v>11</v>
      </c>
      <c r="D27" s="67" t="s">
        <v>374</v>
      </c>
      <c r="E27" t="s">
        <v>375</v>
      </c>
      <c r="F27" t="s">
        <v>29</v>
      </c>
      <c r="G27" t="s">
        <v>171</v>
      </c>
      <c r="H27" t="s">
        <v>172</v>
      </c>
      <c r="I27" t="s">
        <v>173</v>
      </c>
    </row>
    <row r="28" spans="1:9" s="75" customFormat="1" x14ac:dyDescent="0.35">
      <c r="A28" s="56" t="s">
        <v>116</v>
      </c>
      <c r="B28">
        <v>2021</v>
      </c>
      <c r="C28" t="s">
        <v>75</v>
      </c>
      <c r="D28" s="67" t="s">
        <v>174</v>
      </c>
      <c r="E28" t="s">
        <v>175</v>
      </c>
      <c r="F28" t="s">
        <v>37</v>
      </c>
      <c r="G28" s="90" t="s">
        <v>176</v>
      </c>
      <c r="H28" s="90" t="s">
        <v>39</v>
      </c>
      <c r="I28" s="90" t="s">
        <v>177</v>
      </c>
    </row>
    <row r="29" spans="1:9" x14ac:dyDescent="0.35">
      <c r="A29" s="56" t="s">
        <v>178</v>
      </c>
      <c r="B29">
        <v>2021</v>
      </c>
      <c r="C29" t="s">
        <v>75</v>
      </c>
      <c r="D29" t="s">
        <v>179</v>
      </c>
      <c r="E29" t="s">
        <v>376</v>
      </c>
      <c r="F29" t="s">
        <v>37</v>
      </c>
      <c r="G29" t="s">
        <v>137</v>
      </c>
      <c r="H29" t="s">
        <v>138</v>
      </c>
      <c r="I29" t="s">
        <v>181</v>
      </c>
    </row>
    <row r="30" spans="1:9" ht="12.75" customHeight="1" x14ac:dyDescent="0.35">
      <c r="A30" s="56" t="s">
        <v>183</v>
      </c>
      <c r="B30">
        <v>2021</v>
      </c>
      <c r="C30" t="s">
        <v>377</v>
      </c>
      <c r="D30" s="67" t="s">
        <v>248</v>
      </c>
      <c r="E30" s="90" t="s">
        <v>185</v>
      </c>
      <c r="F30" t="s">
        <v>37</v>
      </c>
      <c r="G30" s="90" t="s">
        <v>84</v>
      </c>
      <c r="H30" t="s">
        <v>186</v>
      </c>
      <c r="I30" s="90" t="s">
        <v>187</v>
      </c>
    </row>
    <row r="31" spans="1:9" ht="14.25" customHeight="1" x14ac:dyDescent="0.35">
      <c r="A31" s="56" t="s">
        <v>189</v>
      </c>
      <c r="B31">
        <v>2021</v>
      </c>
      <c r="C31" t="s">
        <v>75</v>
      </c>
      <c r="D31" s="67" t="s">
        <v>190</v>
      </c>
      <c r="E31" t="s">
        <v>191</v>
      </c>
      <c r="F31" t="s">
        <v>37</v>
      </c>
      <c r="G31" t="s">
        <v>149</v>
      </c>
      <c r="H31" t="s">
        <v>39</v>
      </c>
      <c r="I31" t="s">
        <v>64</v>
      </c>
    </row>
    <row r="32" spans="1:9" s="73" customFormat="1" ht="12.75" customHeight="1" x14ac:dyDescent="0.35">
      <c r="A32" s="56" t="s">
        <v>192</v>
      </c>
      <c r="B32" s="73">
        <v>2021</v>
      </c>
      <c r="C32" s="73" t="s">
        <v>193</v>
      </c>
      <c r="D32" s="91" t="s">
        <v>194</v>
      </c>
      <c r="E32" s="91" t="s">
        <v>195</v>
      </c>
      <c r="F32" s="73" t="s">
        <v>37</v>
      </c>
      <c r="G32" s="91" t="s">
        <v>196</v>
      </c>
      <c r="H32" s="73" t="s">
        <v>197</v>
      </c>
      <c r="I32" s="91" t="s">
        <v>198</v>
      </c>
    </row>
    <row r="33" spans="1:9" ht="15" customHeight="1" x14ac:dyDescent="0.35">
      <c r="A33" s="56" t="s">
        <v>200</v>
      </c>
      <c r="B33">
        <v>2021</v>
      </c>
      <c r="C33" t="s">
        <v>75</v>
      </c>
      <c r="D33" s="90" t="s">
        <v>201</v>
      </c>
      <c r="E33" s="90" t="s">
        <v>202</v>
      </c>
      <c r="F33" t="s">
        <v>37</v>
      </c>
      <c r="G33" t="s">
        <v>203</v>
      </c>
      <c r="H33" t="s">
        <v>204</v>
      </c>
      <c r="I33" t="s">
        <v>139</v>
      </c>
    </row>
    <row r="34" spans="1:9" ht="14.25" customHeight="1" x14ac:dyDescent="0.35">
      <c r="A34" s="56" t="s">
        <v>206</v>
      </c>
      <c r="B34">
        <v>2021</v>
      </c>
      <c r="C34" t="s">
        <v>207</v>
      </c>
      <c r="D34" t="s">
        <v>208</v>
      </c>
      <c r="E34" t="s">
        <v>209</v>
      </c>
      <c r="F34" t="s">
        <v>37</v>
      </c>
      <c r="G34" t="s">
        <v>84</v>
      </c>
      <c r="H34" t="s">
        <v>39</v>
      </c>
      <c r="I34" t="s">
        <v>210</v>
      </c>
    </row>
    <row r="35" spans="1:9" x14ac:dyDescent="0.35">
      <c r="A35" s="15" t="s">
        <v>211</v>
      </c>
      <c r="B35">
        <v>2021</v>
      </c>
      <c r="C35" t="s">
        <v>11</v>
      </c>
      <c r="D35" t="s">
        <v>50</v>
      </c>
      <c r="E35" s="90" t="s">
        <v>212</v>
      </c>
      <c r="F35" t="s">
        <v>37</v>
      </c>
      <c r="G35" t="s">
        <v>213</v>
      </c>
      <c r="H35" t="s">
        <v>186</v>
      </c>
      <c r="I35" s="90" t="s">
        <v>214</v>
      </c>
    </row>
    <row r="36" spans="1:9" ht="14.25" customHeight="1" x14ac:dyDescent="0.35">
      <c r="A36" s="102" t="s">
        <v>215</v>
      </c>
      <c r="B36">
        <v>2021</v>
      </c>
      <c r="C36" t="s">
        <v>11</v>
      </c>
      <c r="D36" s="96" t="s">
        <v>216</v>
      </c>
      <c r="E36" s="90" t="s">
        <v>217</v>
      </c>
      <c r="F36" t="s">
        <v>37</v>
      </c>
      <c r="G36" s="90" t="s">
        <v>218</v>
      </c>
      <c r="H36" t="s">
        <v>39</v>
      </c>
      <c r="I36" s="90" t="s">
        <v>219</v>
      </c>
    </row>
    <row r="37" spans="1:9" ht="15" customHeight="1" x14ac:dyDescent="0.35">
      <c r="A37" s="56" t="s">
        <v>220</v>
      </c>
      <c r="B37">
        <v>2021</v>
      </c>
      <c r="C37" t="s">
        <v>11</v>
      </c>
      <c r="D37" s="67" t="s">
        <v>221</v>
      </c>
      <c r="E37" t="s">
        <v>222</v>
      </c>
      <c r="F37" t="s">
        <v>223</v>
      </c>
      <c r="G37" t="s">
        <v>224</v>
      </c>
      <c r="H37" t="s">
        <v>225</v>
      </c>
      <c r="I37" t="s">
        <v>226</v>
      </c>
    </row>
    <row r="38" spans="1:9" ht="13.5" customHeight="1" x14ac:dyDescent="0.35">
      <c r="A38" s="56" t="s">
        <v>227</v>
      </c>
      <c r="B38">
        <v>2021</v>
      </c>
      <c r="C38" t="s">
        <v>75</v>
      </c>
      <c r="D38" s="67" t="s">
        <v>228</v>
      </c>
      <c r="E38" t="s">
        <v>378</v>
      </c>
      <c r="F38" t="s">
        <v>37</v>
      </c>
      <c r="G38" t="s">
        <v>230</v>
      </c>
      <c r="H38" t="s">
        <v>132</v>
      </c>
      <c r="I38" s="14" t="s">
        <v>231</v>
      </c>
    </row>
    <row r="39" spans="1:9" x14ac:dyDescent="0.35">
      <c r="A39" s="56" t="s">
        <v>232</v>
      </c>
      <c r="B39">
        <v>2021</v>
      </c>
      <c r="C39" t="s">
        <v>11</v>
      </c>
      <c r="D39" s="67" t="s">
        <v>233</v>
      </c>
      <c r="E39" t="s">
        <v>234</v>
      </c>
      <c r="F39" t="s">
        <v>37</v>
      </c>
      <c r="G39" t="s">
        <v>235</v>
      </c>
      <c r="H39" t="s">
        <v>39</v>
      </c>
      <c r="I39" t="s">
        <v>64</v>
      </c>
    </row>
    <row r="40" spans="1:9" x14ac:dyDescent="0.35">
      <c r="A40" s="56" t="s">
        <v>236</v>
      </c>
      <c r="B40">
        <v>2021</v>
      </c>
      <c r="C40" t="s">
        <v>135</v>
      </c>
      <c r="D40" s="67" t="s">
        <v>237</v>
      </c>
      <c r="E40" t="s">
        <v>238</v>
      </c>
      <c r="F40" t="s">
        <v>37</v>
      </c>
      <c r="G40" t="s">
        <v>239</v>
      </c>
      <c r="H40" t="s">
        <v>132</v>
      </c>
      <c r="I40" t="s">
        <v>240</v>
      </c>
    </row>
    <row r="41" spans="1:9" ht="11.25" customHeight="1" x14ac:dyDescent="0.35">
      <c r="A41" s="56" t="s">
        <v>242</v>
      </c>
      <c r="B41" s="90">
        <v>2022</v>
      </c>
      <c r="C41" t="s">
        <v>11</v>
      </c>
      <c r="D41" s="67" t="s">
        <v>243</v>
      </c>
      <c r="E41" s="90" t="s">
        <v>244</v>
      </c>
      <c r="F41" t="s">
        <v>37</v>
      </c>
      <c r="G41" t="s">
        <v>245</v>
      </c>
      <c r="H41" t="s">
        <v>39</v>
      </c>
      <c r="I41" s="90" t="s">
        <v>246</v>
      </c>
    </row>
    <row r="42" spans="1:9" ht="12.75" customHeight="1" x14ac:dyDescent="0.35">
      <c r="A42" s="56" t="s">
        <v>247</v>
      </c>
      <c r="B42">
        <v>2022</v>
      </c>
      <c r="C42" t="s">
        <v>11</v>
      </c>
      <c r="D42" s="67" t="s">
        <v>96</v>
      </c>
      <c r="E42" t="s">
        <v>249</v>
      </c>
      <c r="F42" t="s">
        <v>37</v>
      </c>
      <c r="G42" t="s">
        <v>250</v>
      </c>
      <c r="H42" t="s">
        <v>251</v>
      </c>
      <c r="I42" t="s">
        <v>252</v>
      </c>
    </row>
    <row r="43" spans="1:9" x14ac:dyDescent="0.35">
      <c r="A43" s="56" t="s">
        <v>253</v>
      </c>
      <c r="B43">
        <v>2022</v>
      </c>
      <c r="C43" t="s">
        <v>11</v>
      </c>
      <c r="D43" t="s">
        <v>254</v>
      </c>
      <c r="E43" t="s">
        <v>255</v>
      </c>
      <c r="F43" t="s">
        <v>37</v>
      </c>
      <c r="G43" s="90" t="s">
        <v>256</v>
      </c>
      <c r="H43" t="s">
        <v>257</v>
      </c>
      <c r="I43" s="90" t="s">
        <v>258</v>
      </c>
    </row>
    <row r="44" spans="1:9" s="88" customFormat="1" x14ac:dyDescent="0.35">
      <c r="A44" s="79" t="s">
        <v>379</v>
      </c>
      <c r="B44" s="88">
        <v>2022</v>
      </c>
      <c r="C44" s="88" t="s">
        <v>11</v>
      </c>
      <c r="D44" s="88" t="s">
        <v>380</v>
      </c>
      <c r="E44" s="88" t="s">
        <v>381</v>
      </c>
      <c r="F44" s="88" t="s">
        <v>37</v>
      </c>
      <c r="G44" s="88" t="s">
        <v>382</v>
      </c>
      <c r="H44" s="89" t="s">
        <v>383</v>
      </c>
      <c r="I44" s="88" t="s">
        <v>384</v>
      </c>
    </row>
    <row r="45" spans="1:9" x14ac:dyDescent="0.35">
      <c r="A45" s="56" t="s">
        <v>385</v>
      </c>
      <c r="B45">
        <v>2022</v>
      </c>
      <c r="C45" s="90" t="s">
        <v>11</v>
      </c>
      <c r="D45" s="90" t="s">
        <v>386</v>
      </c>
      <c r="E45" s="90" t="s">
        <v>262</v>
      </c>
      <c r="F45" t="s">
        <v>37</v>
      </c>
      <c r="G45" s="90" t="s">
        <v>84</v>
      </c>
      <c r="H45" s="90" t="s">
        <v>39</v>
      </c>
      <c r="I45" s="90" t="s">
        <v>264</v>
      </c>
    </row>
    <row r="46" spans="1:9" ht="11.25" customHeight="1" x14ac:dyDescent="0.35">
      <c r="A46" s="56" t="s">
        <v>158</v>
      </c>
      <c r="B46">
        <v>2022</v>
      </c>
      <c r="C46" t="s">
        <v>11</v>
      </c>
      <c r="D46" t="s">
        <v>88</v>
      </c>
      <c r="E46" s="90" t="s">
        <v>159</v>
      </c>
      <c r="F46" t="s">
        <v>37</v>
      </c>
      <c r="G46" t="s">
        <v>160</v>
      </c>
      <c r="H46" t="s">
        <v>161</v>
      </c>
      <c r="I46" t="s">
        <v>162</v>
      </c>
    </row>
    <row r="47" spans="1:9" x14ac:dyDescent="0.35">
      <c r="A47" s="56" t="s">
        <v>232</v>
      </c>
      <c r="B47">
        <v>2022</v>
      </c>
      <c r="C47" t="s">
        <v>11</v>
      </c>
      <c r="D47" s="67" t="s">
        <v>248</v>
      </c>
      <c r="E47" s="30" t="s">
        <v>265</v>
      </c>
      <c r="F47" t="s">
        <v>37</v>
      </c>
      <c r="G47" t="s">
        <v>266</v>
      </c>
      <c r="H47" t="s">
        <v>267</v>
      </c>
      <c r="I47" t="s">
        <v>264</v>
      </c>
    </row>
    <row r="48" spans="1:9" x14ac:dyDescent="0.35">
      <c r="A48" s="56" t="s">
        <v>268</v>
      </c>
      <c r="B48">
        <v>2022</v>
      </c>
      <c r="C48" t="s">
        <v>269</v>
      </c>
      <c r="D48" t="s">
        <v>270</v>
      </c>
      <c r="E48" t="s">
        <v>271</v>
      </c>
      <c r="F48" t="s">
        <v>37</v>
      </c>
      <c r="G48" t="s">
        <v>272</v>
      </c>
      <c r="H48" t="s">
        <v>273</v>
      </c>
      <c r="I48" s="90" t="s">
        <v>274</v>
      </c>
    </row>
    <row r="49" spans="1:9" s="88" customFormat="1" x14ac:dyDescent="0.35">
      <c r="A49" s="79" t="s">
        <v>387</v>
      </c>
      <c r="B49" s="88">
        <v>2022</v>
      </c>
      <c r="C49" s="88" t="s">
        <v>11</v>
      </c>
      <c r="D49" s="88" t="s">
        <v>388</v>
      </c>
      <c r="E49" s="88" t="s">
        <v>389</v>
      </c>
      <c r="F49" s="88" t="s">
        <v>37</v>
      </c>
      <c r="G49" s="88" t="s">
        <v>382</v>
      </c>
      <c r="H49" s="88" t="s">
        <v>390</v>
      </c>
      <c r="I49" s="88" t="s">
        <v>391</v>
      </c>
    </row>
    <row r="50" spans="1:9" s="88" customFormat="1" ht="14.25" customHeight="1" x14ac:dyDescent="0.35">
      <c r="A50" s="79" t="s">
        <v>116</v>
      </c>
      <c r="B50" s="88">
        <v>2022</v>
      </c>
      <c r="C50" s="88" t="s">
        <v>20</v>
      </c>
      <c r="D50" s="88" t="s">
        <v>392</v>
      </c>
      <c r="E50" s="88" t="s">
        <v>393</v>
      </c>
      <c r="F50" s="88" t="s">
        <v>37</v>
      </c>
      <c r="G50" s="88" t="s">
        <v>296</v>
      </c>
      <c r="H50" s="88" t="s">
        <v>394</v>
      </c>
      <c r="I50" s="98" t="s">
        <v>231</v>
      </c>
    </row>
    <row r="51" spans="1:9" ht="145" x14ac:dyDescent="0.35">
      <c r="A51" s="56" t="s">
        <v>276</v>
      </c>
      <c r="B51">
        <v>2022</v>
      </c>
      <c r="C51" s="56" t="s">
        <v>207</v>
      </c>
      <c r="D51" s="101" t="s">
        <v>277</v>
      </c>
      <c r="E51" s="92" t="s">
        <v>278</v>
      </c>
      <c r="F51" t="s">
        <v>37</v>
      </c>
      <c r="G51" s="90" t="s">
        <v>279</v>
      </c>
      <c r="H51" t="s">
        <v>132</v>
      </c>
      <c r="I51" s="14" t="s">
        <v>231</v>
      </c>
    </row>
    <row r="52" spans="1:9" x14ac:dyDescent="0.35">
      <c r="A52" s="15" t="s">
        <v>281</v>
      </c>
      <c r="B52">
        <v>2022</v>
      </c>
      <c r="C52" t="s">
        <v>11</v>
      </c>
      <c r="D52" s="90" t="s">
        <v>282</v>
      </c>
      <c r="E52" t="s">
        <v>283</v>
      </c>
      <c r="F52" t="s">
        <v>37</v>
      </c>
      <c r="G52" s="90" t="s">
        <v>284</v>
      </c>
      <c r="H52" t="s">
        <v>39</v>
      </c>
      <c r="I52" t="s">
        <v>285</v>
      </c>
    </row>
    <row r="53" spans="1:9" x14ac:dyDescent="0.35">
      <c r="A53" s="56" t="s">
        <v>287</v>
      </c>
      <c r="B53">
        <v>2022</v>
      </c>
      <c r="C53" s="56" t="s">
        <v>11</v>
      </c>
      <c r="D53" s="56" t="s">
        <v>288</v>
      </c>
      <c r="E53" s="56" t="s">
        <v>289</v>
      </c>
      <c r="F53" t="s">
        <v>153</v>
      </c>
      <c r="G53" t="s">
        <v>290</v>
      </c>
      <c r="H53" t="s">
        <v>291</v>
      </c>
      <c r="I53" t="s">
        <v>292</v>
      </c>
    </row>
    <row r="54" spans="1:9" x14ac:dyDescent="0.35">
      <c r="A54" s="56" t="s">
        <v>293</v>
      </c>
      <c r="B54">
        <v>2022</v>
      </c>
      <c r="C54" s="56" t="s">
        <v>75</v>
      </c>
      <c r="D54" s="56" t="s">
        <v>294</v>
      </c>
      <c r="E54" s="56" t="s">
        <v>295</v>
      </c>
      <c r="F54" t="s">
        <v>37</v>
      </c>
      <c r="G54" t="s">
        <v>296</v>
      </c>
      <c r="H54" t="s">
        <v>132</v>
      </c>
      <c r="I54" t="s">
        <v>395</v>
      </c>
    </row>
    <row r="55" spans="1:9" x14ac:dyDescent="0.35">
      <c r="A55" s="56" t="s">
        <v>298</v>
      </c>
      <c r="B55">
        <v>2022</v>
      </c>
      <c r="C55" s="56" t="s">
        <v>11</v>
      </c>
      <c r="D55" s="56" t="s">
        <v>299</v>
      </c>
      <c r="E55" s="56" t="s">
        <v>300</v>
      </c>
      <c r="F55" t="s">
        <v>301</v>
      </c>
      <c r="G55" t="s">
        <v>302</v>
      </c>
      <c r="H55" t="s">
        <v>303</v>
      </c>
      <c r="I55" t="s">
        <v>304</v>
      </c>
    </row>
    <row r="56" spans="1:9" x14ac:dyDescent="0.35">
      <c r="A56" s="56" t="s">
        <v>236</v>
      </c>
      <c r="B56">
        <v>2022</v>
      </c>
      <c r="C56" s="56" t="s">
        <v>305</v>
      </c>
      <c r="D56" s="56" t="s">
        <v>306</v>
      </c>
      <c r="E56" s="56" t="s">
        <v>307</v>
      </c>
      <c r="F56" t="s">
        <v>37</v>
      </c>
      <c r="G56" t="s">
        <v>308</v>
      </c>
      <c r="H56" t="s">
        <v>309</v>
      </c>
      <c r="I56" t="s">
        <v>310</v>
      </c>
    </row>
    <row r="57" spans="1:9" x14ac:dyDescent="0.35">
      <c r="A57" s="56" t="s">
        <v>206</v>
      </c>
      <c r="B57">
        <v>2023</v>
      </c>
      <c r="C57" t="s">
        <v>11</v>
      </c>
      <c r="D57" t="s">
        <v>311</v>
      </c>
      <c r="E57" t="s">
        <v>312</v>
      </c>
      <c r="F57" t="s">
        <v>37</v>
      </c>
      <c r="G57" t="s">
        <v>84</v>
      </c>
      <c r="H57" t="s">
        <v>39</v>
      </c>
      <c r="I57" t="s">
        <v>313</v>
      </c>
    </row>
    <row r="58" spans="1:9" x14ac:dyDescent="0.35">
      <c r="A58" t="s">
        <v>315</v>
      </c>
      <c r="B58">
        <v>2023</v>
      </c>
      <c r="C58" t="s">
        <v>396</v>
      </c>
      <c r="D58" t="s">
        <v>317</v>
      </c>
      <c r="E58" t="s">
        <v>318</v>
      </c>
      <c r="F58" t="s">
        <v>37</v>
      </c>
      <c r="G58" t="s">
        <v>397</v>
      </c>
      <c r="H58" t="s">
        <v>398</v>
      </c>
      <c r="I58" t="s">
        <v>399</v>
      </c>
    </row>
    <row r="60" spans="1:9" x14ac:dyDescent="0.35">
      <c r="B60" s="93" t="s">
        <v>322</v>
      </c>
      <c r="C60" s="75" t="s">
        <v>323</v>
      </c>
      <c r="D60" s="88" t="s">
        <v>324</v>
      </c>
      <c r="E60" s="88"/>
    </row>
    <row r="61" spans="1:9" s="1" customFormat="1" x14ac:dyDescent="0.35">
      <c r="A61" s="1" t="s">
        <v>325</v>
      </c>
      <c r="B61" s="94" t="s">
        <v>326</v>
      </c>
      <c r="E61" s="1" t="s">
        <v>5</v>
      </c>
      <c r="F61" s="1" t="s">
        <v>327</v>
      </c>
      <c r="G61" s="1" t="s">
        <v>7</v>
      </c>
      <c r="H61" s="1" t="s">
        <v>327</v>
      </c>
    </row>
    <row r="62" spans="1:9" x14ac:dyDescent="0.35">
      <c r="A62">
        <v>2023</v>
      </c>
      <c r="B62">
        <f>COUNTIF(B1:B58, 2023)</f>
        <v>2</v>
      </c>
      <c r="E62" t="s">
        <v>37</v>
      </c>
      <c r="F62" s="95">
        <v>42</v>
      </c>
      <c r="G62" t="s">
        <v>39</v>
      </c>
      <c r="H62" s="94">
        <f>COUNTIF(H1:H58, "*IEMOCAP*")</f>
        <v>31</v>
      </c>
    </row>
    <row r="63" spans="1:9" x14ac:dyDescent="0.35">
      <c r="A63">
        <v>2022</v>
      </c>
      <c r="B63">
        <v>14</v>
      </c>
      <c r="E63" t="s">
        <v>328</v>
      </c>
      <c r="F63" s="95">
        <f>COUNTIF(F2:F59, "*French*")</f>
        <v>2</v>
      </c>
      <c r="G63" t="s">
        <v>138</v>
      </c>
      <c r="H63" s="94">
        <f>COUNTIF(H2:H59, "*MELD*")</f>
        <v>11</v>
      </c>
    </row>
    <row r="64" spans="1:9" x14ac:dyDescent="0.35">
      <c r="A64">
        <v>2021</v>
      </c>
      <c r="B64">
        <f>COUNTIF(B3:B60, 2021)</f>
        <v>15</v>
      </c>
      <c r="E64" t="s">
        <v>22</v>
      </c>
      <c r="F64" s="95">
        <f>COUNTIF(F3:F60, "*Chinese*")</f>
        <v>6</v>
      </c>
      <c r="G64" t="s">
        <v>400</v>
      </c>
      <c r="H64" s="94">
        <f>COUNTIF(H3:H60, "*MSP*")</f>
        <v>3</v>
      </c>
    </row>
    <row r="65" spans="1:8" x14ac:dyDescent="0.35">
      <c r="A65">
        <v>2020</v>
      </c>
      <c r="B65">
        <f>COUNTIF(B4:B61, 2020)</f>
        <v>6</v>
      </c>
      <c r="E65" t="s">
        <v>153</v>
      </c>
      <c r="F65" s="95">
        <f>COUNTIF(F4:F61, "*Dutch*")</f>
        <v>2</v>
      </c>
      <c r="G65" t="s">
        <v>332</v>
      </c>
      <c r="H65" s="94">
        <f>COUNTIF(H5:H63, "*NNIME*")</f>
        <v>3</v>
      </c>
    </row>
    <row r="66" spans="1:8" x14ac:dyDescent="0.35">
      <c r="A66">
        <v>2019</v>
      </c>
      <c r="B66">
        <f>COUNTIF(B5:B62, 2019)</f>
        <v>2</v>
      </c>
      <c r="E66" t="s">
        <v>331</v>
      </c>
      <c r="F66" s="95">
        <f>COUNTIF(F4:F61, "*Bengali*")</f>
        <v>1</v>
      </c>
      <c r="G66" t="s">
        <v>373</v>
      </c>
      <c r="H66" s="94">
        <f>COUNTIF(H6:H64, "*LSSED*")</f>
        <v>1</v>
      </c>
    </row>
    <row r="67" spans="1:8" x14ac:dyDescent="0.35">
      <c r="A67">
        <v>2018</v>
      </c>
      <c r="B67">
        <f>COUNTIF(B6:B63, 2018)</f>
        <v>6</v>
      </c>
      <c r="E67" t="s">
        <v>353</v>
      </c>
      <c r="F67" s="95">
        <v>2</v>
      </c>
      <c r="G67" t="s">
        <v>401</v>
      </c>
      <c r="H67" s="94">
        <v>4</v>
      </c>
    </row>
    <row r="68" spans="1:8" x14ac:dyDescent="0.35">
      <c r="A68">
        <v>2017</v>
      </c>
      <c r="B68">
        <f>COUNTIF(B7:B64, 2017)</f>
        <v>1</v>
      </c>
      <c r="E68" t="s">
        <v>14</v>
      </c>
      <c r="F68" s="1">
        <v>1</v>
      </c>
      <c r="G68" t="s">
        <v>402</v>
      </c>
      <c r="H68" s="94">
        <f>COUNTIF(H8:H65, "*interview*")</f>
        <v>1</v>
      </c>
    </row>
    <row r="69" spans="1:8" x14ac:dyDescent="0.35">
      <c r="A69">
        <v>2016</v>
      </c>
      <c r="B69">
        <f>COUNTIF(B8:B58, 2016)</f>
        <v>1</v>
      </c>
      <c r="E69" t="s">
        <v>69</v>
      </c>
      <c r="F69" s="1">
        <v>1</v>
      </c>
      <c r="G69" t="s">
        <v>403</v>
      </c>
      <c r="H69" s="94">
        <v>2</v>
      </c>
    </row>
    <row r="70" spans="1:8" x14ac:dyDescent="0.35">
      <c r="A70">
        <v>2015</v>
      </c>
      <c r="B70">
        <f>COUNTIF(B9:B58, 2015)</f>
        <v>1</v>
      </c>
      <c r="E70" t="s">
        <v>334</v>
      </c>
      <c r="F70" s="1">
        <v>1</v>
      </c>
      <c r="G70" t="s">
        <v>343</v>
      </c>
      <c r="H70" s="94">
        <f>COUNTIF(H10:H67, "*recola*")</f>
        <v>1</v>
      </c>
    </row>
    <row r="71" spans="1:8" x14ac:dyDescent="0.35">
      <c r="A71">
        <v>2014</v>
      </c>
      <c r="B71">
        <f>COUNTIF(B10:B58, 2014)</f>
        <v>0</v>
      </c>
      <c r="E71" t="s">
        <v>105</v>
      </c>
      <c r="F71" s="1">
        <v>1</v>
      </c>
      <c r="G71" t="s">
        <v>404</v>
      </c>
      <c r="H71" s="94">
        <f>COUNTIF(H11:H68, "*lab*")</f>
        <v>1</v>
      </c>
    </row>
    <row r="72" spans="1:8" x14ac:dyDescent="0.35">
      <c r="A72">
        <v>2013</v>
      </c>
      <c r="B72">
        <f>COUNTIF(B11:B59, 2013)</f>
        <v>0</v>
      </c>
      <c r="G72" t="s">
        <v>339</v>
      </c>
      <c r="H72" s="1">
        <v>1</v>
      </c>
    </row>
    <row r="73" spans="1:8" x14ac:dyDescent="0.35">
      <c r="A73">
        <v>2012</v>
      </c>
      <c r="B73">
        <f>COUNTIF(B12:B60, 2012)</f>
        <v>0</v>
      </c>
      <c r="G73" t="s">
        <v>405</v>
      </c>
      <c r="H73" s="1">
        <v>1</v>
      </c>
    </row>
    <row r="74" spans="1:8" x14ac:dyDescent="0.35">
      <c r="A74">
        <v>2011</v>
      </c>
      <c r="B74">
        <f>COUNTIF(B13:B61, 2012)</f>
        <v>0</v>
      </c>
      <c r="G74" t="s">
        <v>251</v>
      </c>
      <c r="H74">
        <f>COUNTIF(H1:H58, "*K-EmoCon*")</f>
        <v>2</v>
      </c>
    </row>
    <row r="75" spans="1:8" x14ac:dyDescent="0.35">
      <c r="A75">
        <v>2010</v>
      </c>
      <c r="B75">
        <f>COUNTIF(B14:B62, 2012)</f>
        <v>0</v>
      </c>
      <c r="G75" t="s">
        <v>406</v>
      </c>
      <c r="H75">
        <v>3</v>
      </c>
    </row>
    <row r="78" spans="1:8" x14ac:dyDescent="0.35">
      <c r="G78" t="s">
        <v>407</v>
      </c>
      <c r="H78" s="94">
        <f>COUNTIF(H4:H62, "*RAVDESS*")</f>
        <v>2</v>
      </c>
    </row>
  </sheetData>
  <autoFilter ref="I1:I58" xr:uid="{F8F85044-1191-4F9E-A89C-D749D19B504D}">
    <filterColumn colId="0">
      <filters>
        <filter val="Categorical - Memotion (Humor): 4, MUStARD_ext: 9, CMU-MOSEI: 6, MELD: 7"/>
        <filter val="Categorical (2 &amp; 25)"/>
        <filter val="Categorical (3): happy, angry, neutral"/>
        <filter val="Categorical (3): happy, angry, sad"/>
        <filter val="Categorical (4 - happy, angry, sad, neutral)"/>
        <filter val="Categorical (4 - neutral,happiness, anger, sadness)"/>
        <filter val="Categorical (4 &amp; 4): CEMO - positive, neutral, angry, fear &amp; IE - happy, neutral, angry, sad"/>
        <filter val="Categorical (4)"/>
        <filter val="Categorical (4): anger, happiness, sadness, neutral"/>
        <filter val="Categorical (6 &amp; 7)"/>
        <filter val="Categorical (6)"/>
        <filter val="Categorical (6): anger, disgust, sadness, fear, surprise, happiness"/>
        <filter val="Categorical (7 - anger,joy,sadness,neutral,disgust,fear,surprise)"/>
        <filter val="Categorical (7)"/>
        <filter val="Categorical (7): happy, bored, angry, anxious, sad, surprised, disgusted"/>
        <filter val="Categorical (8): neutral, calm, happy, sad, angry, fearful, disgust, surprised"/>
        <filter val="Categorical (9): overlapping speech, silence, neutral, sad, happy, surprised, recalling, tense, other"/>
        <filter val="Categorical (9): silence, neutral, calm, happy, sad, angry, fearful, disgust, surprised"/>
        <filter val="Categorical(2): anger, other"/>
        <filter val="Categorical(6): happy,sad,neutral,angry,excited,frustrated - (SEM: Dimensional continuous (4) - A/V/E/P)"/>
        <filter val="Dimensional &amp; Categorica"/>
        <filter val="Dimensional &amp; Categorical (2-leveled A/V &amp; 4 - happiness,sadness,neutral,anger)"/>
        <filter val="Dimensional &amp; Categorical (5)"/>
        <filter val="Dimensional &amp; Categorical (A/V &amp; happiness, anger, sadness, contentment)"/>
        <filter val="IE - Cat. (4): anger, happiness, sadness, neutral, MELD - Cat. (7): angry, joy, sad, neutral, disgust, fear, surprise"/>
        <filter val="IE: Categorical (6),MELD: Categorical (7)"/>
        <filter val="IE: Categorical(4&amp;6)"/>
      </filters>
    </filterColumn>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C15DF-696F-43B8-9128-DFA0FE37D642}">
  <dimension ref="A1:T14"/>
  <sheetViews>
    <sheetView workbookViewId="0">
      <pane xSplit="1" topLeftCell="C1" activePane="topRight" state="frozen"/>
      <selection pane="topRight" activeCell="C11" sqref="C11"/>
    </sheetView>
  </sheetViews>
  <sheetFormatPr defaultRowHeight="14.5" x14ac:dyDescent="0.35"/>
  <cols>
    <col min="1" max="2" width="14.7265625" customWidth="1"/>
    <col min="3" max="3" width="51.81640625" customWidth="1"/>
    <col min="4" max="4" width="29.1796875" customWidth="1"/>
    <col min="5" max="5" width="32.1796875" customWidth="1"/>
    <col min="6" max="6" width="29.1796875" customWidth="1"/>
    <col min="7" max="7" width="9.1796875" bestFit="1" customWidth="1"/>
    <col min="8" max="8" width="33.81640625" customWidth="1"/>
    <col min="9" max="9" width="10.54296875" customWidth="1"/>
    <col min="10" max="10" width="15.1796875" customWidth="1"/>
  </cols>
  <sheetData>
    <row r="1" spans="1:20" x14ac:dyDescent="0.35">
      <c r="A1" s="1" t="s">
        <v>408</v>
      </c>
      <c r="B1" s="1" t="s">
        <v>409</v>
      </c>
      <c r="C1" s="1" t="s">
        <v>410</v>
      </c>
      <c r="D1" s="1" t="s">
        <v>411</v>
      </c>
      <c r="E1" s="1" t="s">
        <v>412</v>
      </c>
      <c r="F1" s="1" t="s">
        <v>413</v>
      </c>
      <c r="G1" s="1" t="s">
        <v>414</v>
      </c>
      <c r="H1" s="1" t="s">
        <v>415</v>
      </c>
      <c r="I1" s="1" t="s">
        <v>7</v>
      </c>
      <c r="J1" s="1" t="s">
        <v>416</v>
      </c>
      <c r="K1" s="1" t="s">
        <v>417</v>
      </c>
      <c r="L1" s="1" t="s">
        <v>418</v>
      </c>
      <c r="M1" s="1" t="s">
        <v>419</v>
      </c>
      <c r="N1" s="1" t="s">
        <v>420</v>
      </c>
      <c r="O1" s="1" t="s">
        <v>421</v>
      </c>
      <c r="P1" s="1" t="s">
        <v>422</v>
      </c>
      <c r="Q1" s="1" t="s">
        <v>423</v>
      </c>
      <c r="R1" s="1" t="s">
        <v>424</v>
      </c>
      <c r="S1" s="1" t="s">
        <v>425</v>
      </c>
      <c r="T1" s="1" t="s">
        <v>426</v>
      </c>
    </row>
    <row r="2" spans="1:20" ht="58" x14ac:dyDescent="0.35">
      <c r="A2" t="s">
        <v>427</v>
      </c>
      <c r="C2" s="17" t="s">
        <v>428</v>
      </c>
      <c r="D2" t="s">
        <v>429</v>
      </c>
      <c r="E2" t="s">
        <v>430</v>
      </c>
      <c r="F2" t="s">
        <v>431</v>
      </c>
      <c r="G2" t="s">
        <v>37</v>
      </c>
      <c r="H2" s="18" t="s">
        <v>432</v>
      </c>
      <c r="I2" t="s">
        <v>39</v>
      </c>
      <c r="R2" t="s">
        <v>433</v>
      </c>
      <c r="T2" t="s">
        <v>434</v>
      </c>
    </row>
    <row r="3" spans="1:20" ht="72.5" x14ac:dyDescent="0.35">
      <c r="A3" t="s">
        <v>427</v>
      </c>
      <c r="C3" s="17" t="s">
        <v>428</v>
      </c>
      <c r="D3" t="s">
        <v>429</v>
      </c>
      <c r="E3" t="s">
        <v>430</v>
      </c>
      <c r="F3" t="s">
        <v>435</v>
      </c>
      <c r="G3" t="s">
        <v>37</v>
      </c>
      <c r="H3" s="18" t="s">
        <v>436</v>
      </c>
      <c r="I3" t="s">
        <v>138</v>
      </c>
      <c r="T3" t="s">
        <v>437</v>
      </c>
    </row>
    <row r="4" spans="1:20" x14ac:dyDescent="0.35">
      <c r="A4" t="s">
        <v>438</v>
      </c>
      <c r="B4" t="s">
        <v>439</v>
      </c>
      <c r="C4" t="s">
        <v>440</v>
      </c>
      <c r="D4" t="s">
        <v>11</v>
      </c>
      <c r="E4" s="67" t="s">
        <v>441</v>
      </c>
      <c r="F4" t="s">
        <v>442</v>
      </c>
      <c r="G4" t="s">
        <v>22</v>
      </c>
      <c r="H4" t="s">
        <v>443</v>
      </c>
      <c r="I4" t="s">
        <v>332</v>
      </c>
      <c r="R4" t="s">
        <v>444</v>
      </c>
      <c r="T4" t="s">
        <v>434</v>
      </c>
    </row>
    <row r="5" spans="1:20" x14ac:dyDescent="0.35">
      <c r="A5" t="s">
        <v>445</v>
      </c>
      <c r="B5" t="s">
        <v>446</v>
      </c>
      <c r="C5" t="s">
        <v>447</v>
      </c>
      <c r="D5" t="s">
        <v>448</v>
      </c>
      <c r="E5" t="s">
        <v>449</v>
      </c>
      <c r="F5" t="s">
        <v>450</v>
      </c>
      <c r="G5" t="s">
        <v>37</v>
      </c>
      <c r="H5" s="70" t="s">
        <v>451</v>
      </c>
      <c r="I5" t="s">
        <v>138</v>
      </c>
      <c r="T5" t="s">
        <v>437</v>
      </c>
    </row>
    <row r="6" spans="1:20" ht="58" x14ac:dyDescent="0.35">
      <c r="A6" t="s">
        <v>452</v>
      </c>
      <c r="B6" t="s">
        <v>453</v>
      </c>
      <c r="C6" s="14" t="s">
        <v>454</v>
      </c>
      <c r="D6" t="s">
        <v>455</v>
      </c>
      <c r="E6" t="s">
        <v>456</v>
      </c>
      <c r="F6" t="s">
        <v>457</v>
      </c>
      <c r="H6" s="71" t="s">
        <v>458</v>
      </c>
      <c r="I6" t="s">
        <v>257</v>
      </c>
      <c r="R6" s="14" t="s">
        <v>459</v>
      </c>
      <c r="S6" t="s">
        <v>460</v>
      </c>
      <c r="T6" t="s">
        <v>434</v>
      </c>
    </row>
    <row r="7" spans="1:20" ht="72.5" x14ac:dyDescent="0.35">
      <c r="A7" t="s">
        <v>461</v>
      </c>
      <c r="B7" t="s">
        <v>462</v>
      </c>
      <c r="C7" t="s">
        <v>463</v>
      </c>
      <c r="D7" s="56" t="s">
        <v>207</v>
      </c>
      <c r="E7" s="56" t="s">
        <v>464</v>
      </c>
      <c r="F7" s="56" t="s">
        <v>465</v>
      </c>
      <c r="G7" t="s">
        <v>37</v>
      </c>
      <c r="H7" s="72" t="s">
        <v>466</v>
      </c>
      <c r="I7" t="s">
        <v>132</v>
      </c>
      <c r="T7" t="s">
        <v>434</v>
      </c>
    </row>
    <row r="8" spans="1:20" x14ac:dyDescent="0.35">
      <c r="A8" t="s">
        <v>467</v>
      </c>
      <c r="B8" t="s">
        <v>468</v>
      </c>
      <c r="C8" t="s">
        <v>469</v>
      </c>
      <c r="D8" t="s">
        <v>470</v>
      </c>
      <c r="E8" t="s">
        <v>471</v>
      </c>
      <c r="F8" t="s">
        <v>472</v>
      </c>
      <c r="G8" t="s">
        <v>37</v>
      </c>
      <c r="H8" t="s">
        <v>473</v>
      </c>
      <c r="I8" t="s">
        <v>39</v>
      </c>
      <c r="T8">
        <v>6</v>
      </c>
    </row>
    <row r="9" spans="1:20" x14ac:dyDescent="0.35">
      <c r="A9" t="s">
        <v>474</v>
      </c>
      <c r="C9" t="s">
        <v>475</v>
      </c>
      <c r="D9" t="s">
        <v>476</v>
      </c>
      <c r="E9" t="s">
        <v>477</v>
      </c>
      <c r="F9" t="s">
        <v>478</v>
      </c>
      <c r="G9" t="s">
        <v>37</v>
      </c>
      <c r="H9">
        <v>147025</v>
      </c>
      <c r="I9" t="s">
        <v>373</v>
      </c>
      <c r="T9">
        <v>4</v>
      </c>
    </row>
    <row r="10" spans="1:20" x14ac:dyDescent="0.35">
      <c r="A10" t="s">
        <v>479</v>
      </c>
      <c r="C10" t="s">
        <v>480</v>
      </c>
      <c r="D10" t="s">
        <v>481</v>
      </c>
      <c r="E10" t="s">
        <v>477</v>
      </c>
      <c r="F10" t="s">
        <v>482</v>
      </c>
      <c r="G10" t="s">
        <v>37</v>
      </c>
      <c r="H10">
        <v>147025</v>
      </c>
      <c r="I10" t="s">
        <v>483</v>
      </c>
      <c r="T10">
        <v>4</v>
      </c>
    </row>
    <row r="11" spans="1:20" x14ac:dyDescent="0.35">
      <c r="A11" t="s">
        <v>479</v>
      </c>
      <c r="C11" t="s">
        <v>480</v>
      </c>
      <c r="D11" t="s">
        <v>481</v>
      </c>
      <c r="E11" t="s">
        <v>471</v>
      </c>
      <c r="F11" t="s">
        <v>482</v>
      </c>
      <c r="G11" t="s">
        <v>37</v>
      </c>
      <c r="H11">
        <v>7433</v>
      </c>
      <c r="I11" t="s">
        <v>39</v>
      </c>
      <c r="T11">
        <v>4</v>
      </c>
    </row>
    <row r="12" spans="1:20" x14ac:dyDescent="0.35">
      <c r="A12" t="s">
        <v>484</v>
      </c>
      <c r="C12" t="s">
        <v>485</v>
      </c>
      <c r="D12" t="s">
        <v>470</v>
      </c>
      <c r="E12" t="s">
        <v>248</v>
      </c>
      <c r="F12" t="s">
        <v>486</v>
      </c>
      <c r="G12" t="s">
        <v>37</v>
      </c>
      <c r="H12">
        <v>2943</v>
      </c>
      <c r="I12" t="s">
        <v>39</v>
      </c>
      <c r="T12">
        <v>4</v>
      </c>
    </row>
    <row r="13" spans="1:20" x14ac:dyDescent="0.35">
      <c r="A13" t="s">
        <v>484</v>
      </c>
      <c r="C13" t="s">
        <v>485</v>
      </c>
      <c r="D13" t="s">
        <v>470</v>
      </c>
      <c r="E13" t="s">
        <v>248</v>
      </c>
      <c r="F13" t="s">
        <v>486</v>
      </c>
      <c r="G13" t="s">
        <v>37</v>
      </c>
      <c r="H13">
        <v>4379</v>
      </c>
      <c r="I13" t="s">
        <v>333</v>
      </c>
      <c r="T13">
        <v>4</v>
      </c>
    </row>
    <row r="14" spans="1:20" x14ac:dyDescent="0.35">
      <c r="A14" s="56" t="s">
        <v>484</v>
      </c>
      <c r="B14" s="56"/>
      <c r="C14" s="56" t="s">
        <v>485</v>
      </c>
      <c r="D14" s="56" t="s">
        <v>470</v>
      </c>
      <c r="E14" s="56" t="s">
        <v>248</v>
      </c>
      <c r="F14" s="56" t="s">
        <v>486</v>
      </c>
      <c r="G14" s="56" t="s">
        <v>37</v>
      </c>
      <c r="H14">
        <v>7062</v>
      </c>
      <c r="I14" t="s">
        <v>138</v>
      </c>
      <c r="T14">
        <v>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23D9-FE6E-4E72-8EE6-6C2930C4257C}">
  <dimension ref="A1:S40"/>
  <sheetViews>
    <sheetView topLeftCell="A20" zoomScale="94" zoomScaleNormal="94" workbookViewId="0">
      <pane xSplit="1" topLeftCell="B1" activePane="topRight" state="frozen"/>
      <selection pane="topRight" activeCell="E24" sqref="E24"/>
    </sheetView>
  </sheetViews>
  <sheetFormatPr defaultRowHeight="14.5" x14ac:dyDescent="0.35"/>
  <cols>
    <col min="1" max="1" width="27.54296875" customWidth="1"/>
    <col min="2" max="2" width="67.26953125" customWidth="1"/>
    <col min="3" max="3" width="14.26953125" customWidth="1"/>
    <col min="4" max="4" width="17.453125" customWidth="1"/>
    <col min="5" max="5" width="19.1796875" customWidth="1"/>
    <col min="7" max="7" width="12.81640625" customWidth="1"/>
    <col min="8" max="8" width="17.7265625" customWidth="1"/>
    <col min="10" max="10" width="24" customWidth="1"/>
    <col min="15" max="15" width="28" customWidth="1"/>
    <col min="16" max="16" width="31.26953125" customWidth="1"/>
  </cols>
  <sheetData>
    <row r="1" spans="1:19" x14ac:dyDescent="0.35">
      <c r="A1" s="58" t="s">
        <v>408</v>
      </c>
      <c r="B1" s="1" t="s">
        <v>410</v>
      </c>
      <c r="C1" s="1" t="s">
        <v>411</v>
      </c>
      <c r="D1" s="58" t="s">
        <v>412</v>
      </c>
      <c r="E1" s="58" t="s">
        <v>413</v>
      </c>
      <c r="F1" s="58" t="s">
        <v>414</v>
      </c>
      <c r="G1" s="58" t="s">
        <v>415</v>
      </c>
      <c r="H1" s="58" t="s">
        <v>7</v>
      </c>
      <c r="I1" s="1" t="s">
        <v>416</v>
      </c>
      <c r="J1" s="1" t="s">
        <v>417</v>
      </c>
      <c r="K1" s="1" t="s">
        <v>418</v>
      </c>
      <c r="L1" s="1" t="s">
        <v>419</v>
      </c>
      <c r="M1" s="1" t="s">
        <v>420</v>
      </c>
      <c r="N1" s="1" t="s">
        <v>421</v>
      </c>
      <c r="O1" s="1" t="s">
        <v>422</v>
      </c>
      <c r="P1" s="1" t="s">
        <v>487</v>
      </c>
      <c r="Q1" s="1" t="s">
        <v>424</v>
      </c>
      <c r="R1" s="1" t="s">
        <v>425</v>
      </c>
      <c r="S1" s="1" t="s">
        <v>426</v>
      </c>
    </row>
    <row r="2" spans="1:19" s="30" customFormat="1" x14ac:dyDescent="0.35">
      <c r="A2" s="30" t="s">
        <v>488</v>
      </c>
      <c r="B2" s="30" t="s">
        <v>489</v>
      </c>
      <c r="C2" s="30" t="s">
        <v>20</v>
      </c>
      <c r="E2" s="30" t="s">
        <v>490</v>
      </c>
      <c r="F2" s="30" t="s">
        <v>37</v>
      </c>
      <c r="G2" s="32">
        <v>10110</v>
      </c>
      <c r="H2" s="30" t="s">
        <v>39</v>
      </c>
      <c r="J2" s="30" t="s">
        <v>491</v>
      </c>
      <c r="M2" s="30" t="s">
        <v>492</v>
      </c>
      <c r="Q2" s="30" t="s">
        <v>493</v>
      </c>
      <c r="R2" s="30" t="s">
        <v>494</v>
      </c>
      <c r="S2" s="30" t="s">
        <v>495</v>
      </c>
    </row>
    <row r="3" spans="1:19" s="63" customFormat="1" x14ac:dyDescent="0.35">
      <c r="A3" s="61" t="s">
        <v>496</v>
      </c>
      <c r="B3" s="63" t="s">
        <v>497</v>
      </c>
      <c r="C3" s="63" t="s">
        <v>11</v>
      </c>
      <c r="D3" s="63" t="s">
        <v>498</v>
      </c>
      <c r="E3" s="63" t="s">
        <v>13</v>
      </c>
      <c r="F3" s="63" t="s">
        <v>14</v>
      </c>
      <c r="G3" s="63">
        <v>1396</v>
      </c>
      <c r="H3" s="63" t="s">
        <v>401</v>
      </c>
      <c r="O3" s="63" t="s">
        <v>499</v>
      </c>
      <c r="P3" s="63" t="s">
        <v>500</v>
      </c>
      <c r="Q3" s="63" t="s">
        <v>493</v>
      </c>
    </row>
    <row r="4" spans="1:19" s="7" customFormat="1" x14ac:dyDescent="0.35">
      <c r="A4" s="7" t="s">
        <v>501</v>
      </c>
      <c r="B4" s="7" t="s">
        <v>502</v>
      </c>
      <c r="C4" s="7" t="s">
        <v>11</v>
      </c>
      <c r="D4" s="7" t="s">
        <v>248</v>
      </c>
      <c r="E4" s="7" t="s">
        <v>503</v>
      </c>
      <c r="F4" s="7" t="s">
        <v>37</v>
      </c>
      <c r="G4" s="7">
        <f>119*60/4.5</f>
        <v>1586.6666666666667</v>
      </c>
      <c r="H4" s="7" t="s">
        <v>39</v>
      </c>
      <c r="I4" s="7" t="s">
        <v>504</v>
      </c>
    </row>
    <row r="5" spans="1:19" x14ac:dyDescent="0.35">
      <c r="A5" s="1" t="s">
        <v>505</v>
      </c>
      <c r="B5" t="s">
        <v>506</v>
      </c>
      <c r="C5" t="s">
        <v>470</v>
      </c>
      <c r="D5" t="s">
        <v>507</v>
      </c>
      <c r="E5" t="s">
        <v>508</v>
      </c>
    </row>
    <row r="6" spans="1:19" ht="29" x14ac:dyDescent="0.35">
      <c r="A6" s="1" t="s">
        <v>509</v>
      </c>
      <c r="B6" s="14" t="s">
        <v>510</v>
      </c>
      <c r="C6" t="s">
        <v>511</v>
      </c>
      <c r="D6" t="s">
        <v>512</v>
      </c>
      <c r="E6" t="s">
        <v>13</v>
      </c>
      <c r="F6" t="s">
        <v>22</v>
      </c>
      <c r="G6" t="s">
        <v>513</v>
      </c>
      <c r="J6" t="s">
        <v>514</v>
      </c>
    </row>
    <row r="7" spans="1:19" s="63" customFormat="1" ht="29" x14ac:dyDescent="0.35">
      <c r="A7" s="61" t="s">
        <v>509</v>
      </c>
      <c r="B7" s="62" t="s">
        <v>510</v>
      </c>
      <c r="C7" s="62" t="s">
        <v>511</v>
      </c>
      <c r="D7" s="63" t="s">
        <v>512</v>
      </c>
      <c r="E7" s="63" t="s">
        <v>13</v>
      </c>
      <c r="F7" s="63" t="s">
        <v>22</v>
      </c>
      <c r="G7" s="63" t="s">
        <v>515</v>
      </c>
      <c r="J7" s="63" t="s">
        <v>516</v>
      </c>
    </row>
    <row r="8" spans="1:19" s="30" customFormat="1" ht="29" x14ac:dyDescent="0.35">
      <c r="A8" s="30" t="s">
        <v>517</v>
      </c>
      <c r="B8" s="31" t="s">
        <v>518</v>
      </c>
      <c r="C8" s="30" t="s">
        <v>470</v>
      </c>
      <c r="D8" s="30" t="s">
        <v>519</v>
      </c>
      <c r="E8" s="30" t="s">
        <v>520</v>
      </c>
      <c r="F8" s="30" t="s">
        <v>37</v>
      </c>
      <c r="G8" s="30" t="s">
        <v>521</v>
      </c>
    </row>
    <row r="9" spans="1:19" s="30" customFormat="1" ht="29" x14ac:dyDescent="0.35">
      <c r="A9" s="30" t="s">
        <v>517</v>
      </c>
      <c r="B9" s="31" t="s">
        <v>518</v>
      </c>
      <c r="C9" s="30" t="s">
        <v>470</v>
      </c>
      <c r="D9" s="30" t="s">
        <v>519</v>
      </c>
      <c r="E9" s="30" t="s">
        <v>520</v>
      </c>
      <c r="F9" s="30" t="s">
        <v>37</v>
      </c>
      <c r="G9" s="30" t="s">
        <v>522</v>
      </c>
    </row>
    <row r="10" spans="1:19" s="63" customFormat="1" ht="29" x14ac:dyDescent="0.35">
      <c r="A10" s="61" t="s">
        <v>523</v>
      </c>
      <c r="B10" s="62" t="s">
        <v>524</v>
      </c>
      <c r="C10" s="63" t="s">
        <v>470</v>
      </c>
      <c r="D10" s="63" t="s">
        <v>525</v>
      </c>
      <c r="E10" s="63" t="s">
        <v>111</v>
      </c>
      <c r="F10" s="63" t="s">
        <v>37</v>
      </c>
      <c r="G10" s="63" t="s">
        <v>526</v>
      </c>
      <c r="J10" s="63" t="s">
        <v>527</v>
      </c>
      <c r="M10" s="63" t="s">
        <v>528</v>
      </c>
    </row>
    <row r="11" spans="1:19" s="30" customFormat="1" x14ac:dyDescent="0.35">
      <c r="A11" s="30" t="s">
        <v>529</v>
      </c>
      <c r="B11" s="31" t="s">
        <v>530</v>
      </c>
      <c r="C11" s="30" t="s">
        <v>11</v>
      </c>
      <c r="D11" s="30" t="s">
        <v>11</v>
      </c>
      <c r="E11" s="30" t="s">
        <v>531</v>
      </c>
      <c r="F11" s="30" t="s">
        <v>37</v>
      </c>
      <c r="G11" s="30" t="s">
        <v>39</v>
      </c>
    </row>
    <row r="12" spans="1:19" s="63" customFormat="1" x14ac:dyDescent="0.35">
      <c r="A12" s="61" t="s">
        <v>532</v>
      </c>
      <c r="B12" s="63" t="s">
        <v>533</v>
      </c>
      <c r="C12" s="63" t="s">
        <v>11</v>
      </c>
      <c r="D12" s="63" t="s">
        <v>534</v>
      </c>
      <c r="F12" s="63" t="s">
        <v>334</v>
      </c>
      <c r="G12" s="63" t="s">
        <v>535</v>
      </c>
      <c r="J12" s="63" t="s">
        <v>536</v>
      </c>
    </row>
    <row r="13" spans="1:19" x14ac:dyDescent="0.35">
      <c r="A13" s="1" t="s">
        <v>532</v>
      </c>
      <c r="B13" t="s">
        <v>533</v>
      </c>
      <c r="C13" t="s">
        <v>11</v>
      </c>
      <c r="D13" t="s">
        <v>534</v>
      </c>
      <c r="F13" t="s">
        <v>37</v>
      </c>
      <c r="G13" t="s">
        <v>537</v>
      </c>
      <c r="J13" t="s">
        <v>538</v>
      </c>
    </row>
    <row r="14" spans="1:19" s="30" customFormat="1" x14ac:dyDescent="0.35">
      <c r="A14" s="30" t="s">
        <v>539</v>
      </c>
      <c r="B14" s="31" t="s">
        <v>540</v>
      </c>
      <c r="C14" s="30" t="s">
        <v>511</v>
      </c>
      <c r="D14" s="30" t="s">
        <v>470</v>
      </c>
      <c r="E14" s="30" t="s">
        <v>541</v>
      </c>
      <c r="F14" s="30" t="s">
        <v>37</v>
      </c>
      <c r="G14" s="30" t="s">
        <v>39</v>
      </c>
    </row>
    <row r="15" spans="1:19" s="30" customFormat="1" x14ac:dyDescent="0.35">
      <c r="A15" s="30" t="s">
        <v>542</v>
      </c>
      <c r="B15" s="31" t="s">
        <v>540</v>
      </c>
      <c r="C15" s="30" t="s">
        <v>511</v>
      </c>
      <c r="D15" s="30" t="s">
        <v>470</v>
      </c>
      <c r="E15" s="30" t="s">
        <v>541</v>
      </c>
      <c r="F15" s="30" t="s">
        <v>37</v>
      </c>
      <c r="G15" s="30" t="s">
        <v>138</v>
      </c>
    </row>
    <row r="16" spans="1:19" s="30" customFormat="1" x14ac:dyDescent="0.35">
      <c r="A16" s="30" t="s">
        <v>543</v>
      </c>
      <c r="B16" s="30" t="s">
        <v>544</v>
      </c>
      <c r="C16" s="30" t="s">
        <v>470</v>
      </c>
      <c r="D16" s="30" t="s">
        <v>470</v>
      </c>
      <c r="E16" s="30" t="s">
        <v>545</v>
      </c>
      <c r="F16" s="30" t="s">
        <v>37</v>
      </c>
      <c r="G16" s="30" t="s">
        <v>39</v>
      </c>
    </row>
    <row r="17" spans="1:15" s="63" customFormat="1" ht="232" x14ac:dyDescent="0.35">
      <c r="A17" s="61" t="s">
        <v>546</v>
      </c>
      <c r="B17" s="62" t="s">
        <v>547</v>
      </c>
      <c r="C17" s="63" t="s">
        <v>470</v>
      </c>
      <c r="D17" s="62" t="s">
        <v>548</v>
      </c>
      <c r="E17" s="62" t="s">
        <v>549</v>
      </c>
      <c r="F17" s="63" t="s">
        <v>37</v>
      </c>
      <c r="G17" s="63" t="s">
        <v>39</v>
      </c>
      <c r="H17" s="63">
        <v>5338</v>
      </c>
    </row>
    <row r="18" spans="1:15" s="29" customFormat="1" x14ac:dyDescent="0.35">
      <c r="A18" s="29" t="s">
        <v>550</v>
      </c>
      <c r="B18" s="29" t="s">
        <v>551</v>
      </c>
      <c r="C18" s="29" t="s">
        <v>552</v>
      </c>
      <c r="D18" s="29" t="s">
        <v>248</v>
      </c>
      <c r="E18" s="29" t="s">
        <v>553</v>
      </c>
      <c r="F18" s="29" t="s">
        <v>37</v>
      </c>
      <c r="G18" s="29" t="s">
        <v>407</v>
      </c>
      <c r="H18" s="29">
        <v>1440</v>
      </c>
      <c r="I18" s="29" t="s">
        <v>554</v>
      </c>
    </row>
    <row r="19" spans="1:15" s="30" customFormat="1" ht="72.5" x14ac:dyDescent="0.35">
      <c r="A19" s="30" t="s">
        <v>555</v>
      </c>
      <c r="B19" s="31" t="s">
        <v>556</v>
      </c>
      <c r="C19" s="30" t="s">
        <v>470</v>
      </c>
      <c r="D19" s="30" t="s">
        <v>11</v>
      </c>
      <c r="E19" s="31" t="s">
        <v>557</v>
      </c>
      <c r="F19" s="30" t="s">
        <v>37</v>
      </c>
      <c r="G19" s="30" t="s">
        <v>558</v>
      </c>
      <c r="H19" s="30" t="s">
        <v>559</v>
      </c>
      <c r="I19" s="30" t="s">
        <v>560</v>
      </c>
    </row>
    <row r="20" spans="1:15" s="30" customFormat="1" ht="72.5" x14ac:dyDescent="0.35">
      <c r="A20" s="30" t="s">
        <v>561</v>
      </c>
      <c r="B20" s="31" t="s">
        <v>556</v>
      </c>
      <c r="C20" s="30" t="s">
        <v>470</v>
      </c>
      <c r="D20" s="30" t="s">
        <v>11</v>
      </c>
      <c r="E20" s="31" t="s">
        <v>557</v>
      </c>
      <c r="F20" s="30" t="s">
        <v>37</v>
      </c>
      <c r="G20" s="30" t="s">
        <v>558</v>
      </c>
      <c r="H20" s="30" t="s">
        <v>562</v>
      </c>
      <c r="I20" s="30" t="s">
        <v>563</v>
      </c>
    </row>
    <row r="21" spans="1:15" s="66" customFormat="1" ht="43.5" x14ac:dyDescent="0.35">
      <c r="A21" s="64" t="s">
        <v>564</v>
      </c>
      <c r="B21" s="65" t="s">
        <v>565</v>
      </c>
      <c r="C21" s="66" t="s">
        <v>470</v>
      </c>
      <c r="D21" s="66" t="s">
        <v>248</v>
      </c>
      <c r="E21" s="66" t="s">
        <v>566</v>
      </c>
      <c r="F21" s="66" t="s">
        <v>353</v>
      </c>
      <c r="G21" s="66">
        <v>234</v>
      </c>
      <c r="H21" s="66" t="s">
        <v>339</v>
      </c>
      <c r="L21" s="66" t="s">
        <v>567</v>
      </c>
    </row>
    <row r="22" spans="1:15" ht="43.5" x14ac:dyDescent="0.35">
      <c r="A22" s="1" t="s">
        <v>564</v>
      </c>
      <c r="B22" s="14" t="s">
        <v>565</v>
      </c>
      <c r="C22" t="s">
        <v>568</v>
      </c>
      <c r="D22" t="s">
        <v>569</v>
      </c>
      <c r="E22" t="s">
        <v>566</v>
      </c>
      <c r="F22" t="s">
        <v>353</v>
      </c>
      <c r="G22">
        <v>1486</v>
      </c>
      <c r="H22" t="s">
        <v>339</v>
      </c>
      <c r="L22" t="s">
        <v>570</v>
      </c>
    </row>
    <row r="23" spans="1:15" ht="43.5" x14ac:dyDescent="0.35">
      <c r="A23" s="1" t="s">
        <v>564</v>
      </c>
      <c r="B23" s="14" t="s">
        <v>565</v>
      </c>
      <c r="C23" t="s">
        <v>571</v>
      </c>
      <c r="D23" t="s">
        <v>572</v>
      </c>
      <c r="E23" t="s">
        <v>566</v>
      </c>
      <c r="F23" t="s">
        <v>353</v>
      </c>
      <c r="H23" t="s">
        <v>339</v>
      </c>
      <c r="L23" t="s">
        <v>573</v>
      </c>
    </row>
    <row r="24" spans="1:15" s="66" customFormat="1" ht="29" x14ac:dyDescent="0.35">
      <c r="A24" s="64" t="s">
        <v>574</v>
      </c>
      <c r="B24" s="65" t="s">
        <v>575</v>
      </c>
      <c r="C24" s="66" t="s">
        <v>470</v>
      </c>
      <c r="D24" s="66" t="s">
        <v>498</v>
      </c>
      <c r="E24" s="66" t="s">
        <v>576</v>
      </c>
      <c r="F24" s="66" t="s">
        <v>37</v>
      </c>
      <c r="G24" s="66" t="s">
        <v>577</v>
      </c>
      <c r="H24" s="66" t="s">
        <v>39</v>
      </c>
      <c r="J24" s="66" t="s">
        <v>578</v>
      </c>
    </row>
    <row r="25" spans="1:15" ht="29" x14ac:dyDescent="0.35">
      <c r="A25" s="1" t="s">
        <v>574</v>
      </c>
      <c r="B25" s="14" t="s">
        <v>575</v>
      </c>
      <c r="C25" t="s">
        <v>470</v>
      </c>
      <c r="D25" t="s">
        <v>498</v>
      </c>
      <c r="E25" t="s">
        <v>576</v>
      </c>
      <c r="F25" t="s">
        <v>37</v>
      </c>
      <c r="G25">
        <v>109</v>
      </c>
      <c r="H25" t="s">
        <v>579</v>
      </c>
    </row>
    <row r="26" spans="1:15" s="66" customFormat="1" x14ac:dyDescent="0.35">
      <c r="A26" s="64" t="s">
        <v>580</v>
      </c>
      <c r="B26" s="65" t="s">
        <v>581</v>
      </c>
      <c r="C26" s="66" t="s">
        <v>470</v>
      </c>
      <c r="D26" s="66" t="s">
        <v>248</v>
      </c>
      <c r="E26" s="66" t="s">
        <v>582</v>
      </c>
      <c r="F26" s="66" t="s">
        <v>37</v>
      </c>
      <c r="G26" s="66">
        <v>2048</v>
      </c>
      <c r="H26" s="66" t="s">
        <v>39</v>
      </c>
      <c r="M26" s="66" t="s">
        <v>583</v>
      </c>
    </row>
    <row r="27" spans="1:15" s="30" customFormat="1" ht="29" x14ac:dyDescent="0.35">
      <c r="A27" s="30" t="s">
        <v>584</v>
      </c>
      <c r="B27" s="31" t="s">
        <v>585</v>
      </c>
      <c r="C27" s="30" t="s">
        <v>470</v>
      </c>
      <c r="D27" s="30" t="s">
        <v>11</v>
      </c>
      <c r="E27" s="30" t="s">
        <v>586</v>
      </c>
      <c r="F27" s="30" t="s">
        <v>37</v>
      </c>
      <c r="H27" s="30" t="s">
        <v>39</v>
      </c>
    </row>
    <row r="28" spans="1:15" s="66" customFormat="1" x14ac:dyDescent="0.35">
      <c r="A28" s="64" t="s">
        <v>587</v>
      </c>
      <c r="B28" s="66" t="s">
        <v>588</v>
      </c>
      <c r="C28" s="66" t="s">
        <v>470</v>
      </c>
      <c r="D28" s="66" t="s">
        <v>248</v>
      </c>
      <c r="E28" s="66" t="s">
        <v>589</v>
      </c>
      <c r="F28" s="66" t="s">
        <v>37</v>
      </c>
      <c r="G28" s="66" t="s">
        <v>590</v>
      </c>
      <c r="H28" s="66" t="s">
        <v>39</v>
      </c>
      <c r="L28" s="66" t="s">
        <v>591</v>
      </c>
    </row>
    <row r="29" spans="1:15" x14ac:dyDescent="0.35">
      <c r="A29" s="1" t="s">
        <v>587</v>
      </c>
      <c r="B29" t="s">
        <v>588</v>
      </c>
      <c r="C29" t="s">
        <v>568</v>
      </c>
      <c r="D29" t="s">
        <v>592</v>
      </c>
      <c r="F29" t="s">
        <v>37</v>
      </c>
      <c r="G29" t="s">
        <v>593</v>
      </c>
      <c r="H29" t="s">
        <v>348</v>
      </c>
      <c r="L29" t="s">
        <v>594</v>
      </c>
    </row>
    <row r="30" spans="1:15" s="66" customFormat="1" ht="29" x14ac:dyDescent="0.35">
      <c r="A30" s="64" t="s">
        <v>595</v>
      </c>
      <c r="B30" s="65" t="s">
        <v>596</v>
      </c>
      <c r="C30" s="66" t="s">
        <v>597</v>
      </c>
      <c r="D30" s="66" t="s">
        <v>498</v>
      </c>
      <c r="E30" s="66" t="s">
        <v>598</v>
      </c>
      <c r="F30" s="66" t="s">
        <v>37</v>
      </c>
      <c r="G30" s="66">
        <v>4290</v>
      </c>
      <c r="H30" s="66" t="s">
        <v>39</v>
      </c>
      <c r="J30" s="66" t="s">
        <v>599</v>
      </c>
      <c r="O30" s="66" t="s">
        <v>600</v>
      </c>
    </row>
    <row r="31" spans="1:15" ht="29" x14ac:dyDescent="0.35">
      <c r="A31" s="1" t="s">
        <v>595</v>
      </c>
      <c r="B31" s="14" t="s">
        <v>596</v>
      </c>
      <c r="C31" t="s">
        <v>597</v>
      </c>
      <c r="D31" t="s">
        <v>498</v>
      </c>
      <c r="E31" t="s">
        <v>598</v>
      </c>
      <c r="F31" t="s">
        <v>37</v>
      </c>
      <c r="G31">
        <v>4290</v>
      </c>
      <c r="H31" t="s">
        <v>39</v>
      </c>
      <c r="J31" t="s">
        <v>601</v>
      </c>
    </row>
    <row r="32" spans="1:15" s="66" customFormat="1" x14ac:dyDescent="0.35">
      <c r="A32" s="64" t="s">
        <v>602</v>
      </c>
      <c r="B32" s="68" t="s">
        <v>603</v>
      </c>
      <c r="C32" s="66" t="s">
        <v>470</v>
      </c>
      <c r="D32" s="66" t="s">
        <v>604</v>
      </c>
      <c r="E32" s="66" t="s">
        <v>605</v>
      </c>
      <c r="F32" s="66" t="s">
        <v>606</v>
      </c>
      <c r="G32" s="66" t="s">
        <v>607</v>
      </c>
      <c r="H32" s="66" t="s">
        <v>608</v>
      </c>
      <c r="O32" s="66" t="s">
        <v>609</v>
      </c>
    </row>
    <row r="33" spans="1:16" s="66" customFormat="1" x14ac:dyDescent="0.35">
      <c r="A33" s="64" t="s">
        <v>610</v>
      </c>
      <c r="B33" s="66" t="s">
        <v>611</v>
      </c>
    </row>
    <row r="34" spans="1:16" s="66" customFormat="1" ht="29" x14ac:dyDescent="0.35">
      <c r="A34" s="64" t="s">
        <v>612</v>
      </c>
      <c r="B34" s="65" t="s">
        <v>613</v>
      </c>
      <c r="C34" s="66" t="s">
        <v>470</v>
      </c>
      <c r="D34" s="66" t="s">
        <v>248</v>
      </c>
      <c r="E34" s="66" t="s">
        <v>582</v>
      </c>
      <c r="F34" s="66" t="s">
        <v>37</v>
      </c>
      <c r="G34" s="66">
        <v>5538</v>
      </c>
      <c r="H34" s="66" t="s">
        <v>39</v>
      </c>
      <c r="J34" s="66" t="s">
        <v>614</v>
      </c>
      <c r="M34" s="66" t="s">
        <v>615</v>
      </c>
    </row>
    <row r="35" spans="1:16" s="66" customFormat="1" x14ac:dyDescent="0.35">
      <c r="A35" s="64" t="s">
        <v>616</v>
      </c>
      <c r="B35" s="66" t="s">
        <v>617</v>
      </c>
      <c r="G35" s="66" t="s">
        <v>618</v>
      </c>
      <c r="H35" s="66" t="s">
        <v>39</v>
      </c>
      <c r="M35" s="66" t="s">
        <v>615</v>
      </c>
    </row>
    <row r="36" spans="1:16" s="66" customFormat="1" x14ac:dyDescent="0.35">
      <c r="A36" s="64" t="s">
        <v>619</v>
      </c>
      <c r="B36" s="66" t="s">
        <v>611</v>
      </c>
      <c r="F36" s="66" t="s">
        <v>620</v>
      </c>
      <c r="G36" s="66" t="s">
        <v>621</v>
      </c>
      <c r="H36" s="66" t="s">
        <v>622</v>
      </c>
      <c r="J36" s="66" t="s">
        <v>623</v>
      </c>
    </row>
    <row r="37" spans="1:16" s="66" customFormat="1" ht="58" x14ac:dyDescent="0.35">
      <c r="A37" s="64" t="s">
        <v>624</v>
      </c>
      <c r="B37" s="66" t="s">
        <v>625</v>
      </c>
      <c r="C37" s="66" t="s">
        <v>470</v>
      </c>
      <c r="D37" s="65" t="s">
        <v>626</v>
      </c>
      <c r="E37" s="66" t="s">
        <v>627</v>
      </c>
      <c r="F37" s="66" t="s">
        <v>37</v>
      </c>
      <c r="G37" s="66" t="s">
        <v>618</v>
      </c>
      <c r="H37" s="66" t="s">
        <v>39</v>
      </c>
      <c r="O37" s="66" t="s">
        <v>628</v>
      </c>
    </row>
    <row r="38" spans="1:16" s="66" customFormat="1" x14ac:dyDescent="0.35">
      <c r="A38" s="64" t="s">
        <v>629</v>
      </c>
      <c r="B38" s="66" t="s">
        <v>630</v>
      </c>
      <c r="C38" s="66" t="s">
        <v>470</v>
      </c>
      <c r="D38" s="66" t="s">
        <v>248</v>
      </c>
      <c r="E38" s="66" t="s">
        <v>283</v>
      </c>
      <c r="F38" s="66" t="s">
        <v>37</v>
      </c>
      <c r="G38" s="66" t="s">
        <v>618</v>
      </c>
      <c r="H38" s="66" t="s">
        <v>39</v>
      </c>
      <c r="M38" s="66" t="s">
        <v>631</v>
      </c>
      <c r="O38" s="66" t="s">
        <v>632</v>
      </c>
      <c r="P38" s="66" t="s">
        <v>633</v>
      </c>
    </row>
    <row r="39" spans="1:16" s="66" customFormat="1" x14ac:dyDescent="0.35">
      <c r="A39" s="64" t="s">
        <v>616</v>
      </c>
      <c r="B39" s="66" t="s">
        <v>634</v>
      </c>
      <c r="F39" s="66" t="s">
        <v>37</v>
      </c>
      <c r="G39" s="66" t="s">
        <v>618</v>
      </c>
      <c r="H39" s="66" t="s">
        <v>39</v>
      </c>
      <c r="M39" s="66" t="s">
        <v>615</v>
      </c>
    </row>
    <row r="40" spans="1:16" s="66" customFormat="1" x14ac:dyDescent="0.35">
      <c r="A40" s="64" t="s">
        <v>635</v>
      </c>
      <c r="B40" s="66" t="s">
        <v>636</v>
      </c>
      <c r="C40" s="66" t="s">
        <v>511</v>
      </c>
      <c r="D40" s="66" t="s">
        <v>248</v>
      </c>
      <c r="E40" s="66" t="s">
        <v>111</v>
      </c>
      <c r="F40" s="66" t="s">
        <v>37</v>
      </c>
      <c r="G40" s="66" t="s">
        <v>637</v>
      </c>
      <c r="H40" s="66" t="s">
        <v>251</v>
      </c>
    </row>
  </sheetData>
  <phoneticPr fontId="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66622-2C00-4FDD-9AC6-83A9761D2FF5}">
  <dimension ref="A1:P108"/>
  <sheetViews>
    <sheetView topLeftCell="A44" zoomScale="116" zoomScaleNormal="116" workbookViewId="0">
      <selection activeCell="C39" sqref="C39:F40"/>
    </sheetView>
  </sheetViews>
  <sheetFormatPr defaultRowHeight="14.5" x14ac:dyDescent="0.35"/>
  <cols>
    <col min="1" max="1" width="16.1796875" customWidth="1"/>
    <col min="7" max="7" width="12.81640625" customWidth="1"/>
    <col min="15" max="15" width="12" customWidth="1"/>
  </cols>
  <sheetData>
    <row r="1" spans="1:16" ht="54.65" customHeight="1" thickBot="1" x14ac:dyDescent="0.4">
      <c r="D1" t="s">
        <v>638</v>
      </c>
      <c r="G1" t="s">
        <v>639</v>
      </c>
      <c r="N1" s="5" t="s">
        <v>640</v>
      </c>
      <c r="O1" s="6" t="s">
        <v>641</v>
      </c>
    </row>
    <row r="2" spans="1:16" ht="15.65" customHeight="1" thickBot="1" x14ac:dyDescent="0.4">
      <c r="C2" s="116" t="s">
        <v>642</v>
      </c>
      <c r="D2" s="116"/>
      <c r="E2" s="116"/>
      <c r="F2" s="116" t="s">
        <v>643</v>
      </c>
      <c r="G2" s="116"/>
      <c r="H2" s="116"/>
      <c r="J2" s="10" t="s">
        <v>644</v>
      </c>
      <c r="K2" s="10"/>
      <c r="L2" s="10" t="s">
        <v>645</v>
      </c>
      <c r="N2" s="22" t="s">
        <v>646</v>
      </c>
      <c r="O2" s="23">
        <v>1656</v>
      </c>
    </row>
    <row r="3" spans="1:16" ht="15" thickBot="1" x14ac:dyDescent="0.4">
      <c r="A3" s="3" t="s">
        <v>647</v>
      </c>
      <c r="C3" t="s">
        <v>648</v>
      </c>
      <c r="D3" t="s">
        <v>649</v>
      </c>
      <c r="E3" t="s">
        <v>650</v>
      </c>
      <c r="F3" t="s">
        <v>651</v>
      </c>
      <c r="G3" t="s">
        <v>652</v>
      </c>
      <c r="H3" t="s">
        <v>653</v>
      </c>
      <c r="J3" s="11">
        <f>AVERAGE(O2,O6,O7)</f>
        <v>1648.6666666666667</v>
      </c>
      <c r="K3" s="10"/>
      <c r="L3" s="12">
        <f>AVERAGE(O3,O4,O5)</f>
        <v>1558.6666666666667</v>
      </c>
      <c r="N3" s="22" t="s">
        <v>654</v>
      </c>
      <c r="O3" s="23">
        <v>1714</v>
      </c>
    </row>
    <row r="4" spans="1:16" ht="15" thickBot="1" x14ac:dyDescent="0.4">
      <c r="B4" t="s">
        <v>655</v>
      </c>
      <c r="C4">
        <v>30.6</v>
      </c>
      <c r="D4">
        <v>59.5</v>
      </c>
      <c r="E4">
        <v>66.5</v>
      </c>
      <c r="F4">
        <v>78.7</v>
      </c>
      <c r="G4">
        <v>60.3</v>
      </c>
      <c r="H4">
        <v>68.099999999999994</v>
      </c>
      <c r="L4" s="4"/>
      <c r="N4" s="22" t="s">
        <v>656</v>
      </c>
      <c r="O4" s="23">
        <v>1718</v>
      </c>
    </row>
    <row r="5" spans="1:16" ht="27.5" thickBot="1" x14ac:dyDescent="0.4">
      <c r="B5" t="s">
        <v>657</v>
      </c>
      <c r="C5">
        <v>37</v>
      </c>
      <c r="D5">
        <v>60.7</v>
      </c>
      <c r="E5">
        <v>69.2</v>
      </c>
      <c r="F5">
        <v>72.099999999999994</v>
      </c>
      <c r="G5">
        <v>66.099999999999994</v>
      </c>
      <c r="H5">
        <v>67.3</v>
      </c>
      <c r="N5" s="22" t="s">
        <v>658</v>
      </c>
      <c r="O5" s="23">
        <v>1244</v>
      </c>
    </row>
    <row r="6" spans="1:16" ht="27.5" thickBot="1" x14ac:dyDescent="0.4">
      <c r="B6" t="s">
        <v>659</v>
      </c>
      <c r="C6" s="116">
        <f>AVERAGE(C4:E4)</f>
        <v>52.199999999999996</v>
      </c>
      <c r="D6" s="116"/>
      <c r="E6" s="116"/>
      <c r="F6" s="116">
        <f>AVERAGE(F4:H4)</f>
        <v>69.033333333333331</v>
      </c>
      <c r="G6" s="116"/>
      <c r="H6" s="116"/>
      <c r="N6" s="22" t="s">
        <v>660</v>
      </c>
      <c r="O6" s="23">
        <v>1023</v>
      </c>
    </row>
    <row r="7" spans="1:16" ht="15" thickBot="1" x14ac:dyDescent="0.4">
      <c r="B7" t="s">
        <v>661</v>
      </c>
      <c r="C7" s="116">
        <f>AVERAGE(C5:E5)</f>
        <v>55.633333333333333</v>
      </c>
      <c r="D7" s="116"/>
      <c r="E7" s="116"/>
      <c r="F7" s="116">
        <f>AVERAGE(F5:H5)</f>
        <v>68.5</v>
      </c>
      <c r="G7" s="116"/>
      <c r="H7" s="116"/>
      <c r="N7" s="22" t="s">
        <v>662</v>
      </c>
      <c r="O7" s="23">
        <v>2267</v>
      </c>
    </row>
    <row r="8" spans="1:16" s="7" customFormat="1" ht="15" thickBot="1" x14ac:dyDescent="0.4">
      <c r="N8" s="8"/>
      <c r="O8" s="9"/>
    </row>
    <row r="9" spans="1:16" x14ac:dyDescent="0.35">
      <c r="A9" s="3" t="s">
        <v>505</v>
      </c>
      <c r="D9" t="s">
        <v>638</v>
      </c>
      <c r="G9" t="s">
        <v>639</v>
      </c>
    </row>
    <row r="10" spans="1:16" x14ac:dyDescent="0.35">
      <c r="C10" s="116" t="s">
        <v>642</v>
      </c>
      <c r="D10" s="116"/>
      <c r="E10" s="116"/>
      <c r="F10" s="116" t="s">
        <v>643</v>
      </c>
      <c r="G10" s="116"/>
      <c r="H10" s="116"/>
      <c r="K10" t="s">
        <v>646</v>
      </c>
      <c r="L10" t="s">
        <v>662</v>
      </c>
      <c r="M10" t="s">
        <v>663</v>
      </c>
      <c r="N10" t="s">
        <v>654</v>
      </c>
      <c r="O10" s="24" t="s">
        <v>664</v>
      </c>
      <c r="P10" t="s">
        <v>663</v>
      </c>
    </row>
    <row r="11" spans="1:16" x14ac:dyDescent="0.35">
      <c r="C11" t="s">
        <v>646</v>
      </c>
      <c r="D11" t="s">
        <v>649</v>
      </c>
      <c r="E11" t="s">
        <v>663</v>
      </c>
      <c r="F11" t="s">
        <v>653</v>
      </c>
      <c r="G11" t="s">
        <v>654</v>
      </c>
      <c r="H11" t="s">
        <v>663</v>
      </c>
      <c r="J11" t="s">
        <v>39</v>
      </c>
      <c r="K11">
        <v>648</v>
      </c>
      <c r="L11">
        <v>1708</v>
      </c>
      <c r="M11">
        <f>AVERAGE(K11:L11)</f>
        <v>1178</v>
      </c>
      <c r="N11">
        <v>11084</v>
      </c>
      <c r="O11">
        <v>1103</v>
      </c>
      <c r="P11">
        <f>AVERAGE(N11:O11)</f>
        <v>6093.5</v>
      </c>
    </row>
    <row r="12" spans="1:16" x14ac:dyDescent="0.35">
      <c r="A12" t="s">
        <v>39</v>
      </c>
      <c r="B12" t="s">
        <v>665</v>
      </c>
      <c r="C12">
        <v>70.5</v>
      </c>
      <c r="D12">
        <v>60</v>
      </c>
      <c r="E12">
        <f>AVERAGE(C12:D12)</f>
        <v>65.25</v>
      </c>
      <c r="F12">
        <v>70.3</v>
      </c>
      <c r="G12">
        <v>79.599999999999994</v>
      </c>
      <c r="H12">
        <f>AVERAGE(F12:G12)</f>
        <v>74.949999999999989</v>
      </c>
      <c r="J12" t="s">
        <v>138</v>
      </c>
      <c r="K12">
        <v>2308</v>
      </c>
      <c r="L12">
        <v>6436</v>
      </c>
      <c r="M12">
        <f>AVERAGE(K12:L12)</f>
        <v>4372</v>
      </c>
      <c r="N12">
        <v>1002</v>
      </c>
      <c r="O12">
        <v>1607</v>
      </c>
      <c r="P12">
        <f>AVERAGE(N12:O12)</f>
        <v>1304.5</v>
      </c>
    </row>
    <row r="13" spans="1:16" x14ac:dyDescent="0.35">
      <c r="A13" t="s">
        <v>138</v>
      </c>
      <c r="B13" t="s">
        <v>665</v>
      </c>
      <c r="C13">
        <v>29.7</v>
      </c>
      <c r="D13">
        <v>49.4</v>
      </c>
      <c r="E13">
        <f>AVERAGE(C13:D13)</f>
        <v>39.549999999999997</v>
      </c>
      <c r="F13">
        <v>40.799999999999997</v>
      </c>
      <c r="G13">
        <v>41.4</v>
      </c>
      <c r="H13">
        <f>AVERAGE(F13:G13)</f>
        <v>41.099999999999994</v>
      </c>
    </row>
    <row r="14" spans="1:16" x14ac:dyDescent="0.35">
      <c r="J14">
        <v>65684000</v>
      </c>
      <c r="P14">
        <v>65117555</v>
      </c>
    </row>
    <row r="16" spans="1:16" s="13" customFormat="1" x14ac:dyDescent="0.35"/>
    <row r="17" spans="1:12" x14ac:dyDescent="0.35">
      <c r="A17" t="s">
        <v>509</v>
      </c>
      <c r="D17" t="s">
        <v>638</v>
      </c>
      <c r="G17" t="s">
        <v>639</v>
      </c>
    </row>
    <row r="18" spans="1:12" x14ac:dyDescent="0.35">
      <c r="C18" s="116" t="s">
        <v>642</v>
      </c>
      <c r="D18" s="116"/>
      <c r="E18" s="116"/>
      <c r="F18" s="116" t="s">
        <v>643</v>
      </c>
      <c r="G18" s="116"/>
      <c r="H18" s="116"/>
    </row>
    <row r="19" spans="1:12" x14ac:dyDescent="0.35">
      <c r="C19" t="s">
        <v>646</v>
      </c>
      <c r="D19" t="s">
        <v>649</v>
      </c>
      <c r="E19" t="s">
        <v>663</v>
      </c>
      <c r="F19" t="s">
        <v>653</v>
      </c>
      <c r="G19" t="s">
        <v>654</v>
      </c>
      <c r="H19" t="s">
        <v>663</v>
      </c>
    </row>
    <row r="20" spans="1:12" x14ac:dyDescent="0.35">
      <c r="A20" t="s">
        <v>519</v>
      </c>
      <c r="B20" t="s">
        <v>655</v>
      </c>
      <c r="C20">
        <v>87</v>
      </c>
      <c r="D20">
        <v>84</v>
      </c>
      <c r="E20">
        <f>AVERAGE(C20:D20)</f>
        <v>85.5</v>
      </c>
      <c r="F20" s="1">
        <v>90</v>
      </c>
      <c r="G20">
        <v>87</v>
      </c>
      <c r="H20" s="1">
        <f>AVERAGE(F20:G20)</f>
        <v>88.5</v>
      </c>
    </row>
    <row r="21" spans="1:12" x14ac:dyDescent="0.35">
      <c r="A21" t="s">
        <v>568</v>
      </c>
      <c r="B21" t="s">
        <v>655</v>
      </c>
      <c r="C21">
        <v>43</v>
      </c>
      <c r="D21">
        <v>62</v>
      </c>
      <c r="E21">
        <f>AVERAGE(C21:D21)</f>
        <v>52.5</v>
      </c>
      <c r="F21" s="1">
        <v>68</v>
      </c>
      <c r="G21">
        <v>43</v>
      </c>
      <c r="H21" s="1">
        <f>AVERAGE(F21:G21)</f>
        <v>55.5</v>
      </c>
    </row>
    <row r="23" spans="1:12" s="13" customFormat="1" x14ac:dyDescent="0.35"/>
    <row r="24" spans="1:12" x14ac:dyDescent="0.35">
      <c r="A24" t="s">
        <v>666</v>
      </c>
      <c r="D24" t="s">
        <v>638</v>
      </c>
      <c r="I24" t="s">
        <v>639</v>
      </c>
    </row>
    <row r="25" spans="1:12" x14ac:dyDescent="0.35">
      <c r="C25" s="116" t="s">
        <v>642</v>
      </c>
      <c r="D25" s="116"/>
      <c r="E25" s="116"/>
      <c r="H25" s="116" t="s">
        <v>643</v>
      </c>
      <c r="I25" s="116"/>
      <c r="J25" s="116"/>
    </row>
    <row r="26" spans="1:12" x14ac:dyDescent="0.35">
      <c r="C26" t="s">
        <v>648</v>
      </c>
      <c r="D26" t="s">
        <v>649</v>
      </c>
      <c r="E26" t="s">
        <v>650</v>
      </c>
      <c r="F26" t="s">
        <v>663</v>
      </c>
      <c r="H26" t="s">
        <v>651</v>
      </c>
      <c r="I26" t="s">
        <v>652</v>
      </c>
      <c r="J26" t="s">
        <v>653</v>
      </c>
      <c r="K26" t="s">
        <v>663</v>
      </c>
    </row>
    <row r="27" spans="1:12" x14ac:dyDescent="0.35">
      <c r="A27" t="s">
        <v>39</v>
      </c>
      <c r="B27" t="s">
        <v>655</v>
      </c>
      <c r="C27">
        <v>55.11</v>
      </c>
      <c r="D27">
        <v>66.75</v>
      </c>
      <c r="E27">
        <v>65.25</v>
      </c>
      <c r="F27" s="1">
        <f>AVERAGE(C27:E27)</f>
        <v>62.370000000000005</v>
      </c>
      <c r="H27">
        <v>70.78</v>
      </c>
      <c r="I27">
        <v>65.67</v>
      </c>
      <c r="J27">
        <v>62.12</v>
      </c>
      <c r="K27" s="1">
        <f>AVERAGE(H27:J27)</f>
        <v>66.19</v>
      </c>
    </row>
    <row r="28" spans="1:12" x14ac:dyDescent="0.35">
      <c r="B28" t="s">
        <v>657</v>
      </c>
      <c r="C28">
        <v>55.75</v>
      </c>
      <c r="D28">
        <v>61.88</v>
      </c>
      <c r="E28">
        <v>69.5</v>
      </c>
      <c r="F28" s="1">
        <f>AVERAGE(C28:E28)</f>
        <v>62.376666666666665</v>
      </c>
      <c r="H28">
        <v>73.3</v>
      </c>
      <c r="I28">
        <v>64.209999999999994</v>
      </c>
      <c r="J28">
        <v>65.959999999999994</v>
      </c>
      <c r="K28" s="1">
        <f>AVERAGE(H28:J28)</f>
        <v>67.823333333333323</v>
      </c>
    </row>
    <row r="30" spans="1:12" x14ac:dyDescent="0.35">
      <c r="A30" t="s">
        <v>138</v>
      </c>
      <c r="D30" t="s">
        <v>638</v>
      </c>
      <c r="I30" t="s">
        <v>639</v>
      </c>
    </row>
    <row r="31" spans="1:12" x14ac:dyDescent="0.35">
      <c r="C31" s="116" t="s">
        <v>642</v>
      </c>
      <c r="D31" s="116"/>
      <c r="E31" s="116"/>
      <c r="H31" s="116" t="s">
        <v>643</v>
      </c>
      <c r="I31" s="116"/>
      <c r="J31" s="116"/>
    </row>
    <row r="32" spans="1:12" x14ac:dyDescent="0.35">
      <c r="C32" t="s">
        <v>667</v>
      </c>
      <c r="D32" t="s">
        <v>649</v>
      </c>
      <c r="E32" t="s">
        <v>668</v>
      </c>
      <c r="F32" t="s">
        <v>663</v>
      </c>
      <c r="H32" t="s">
        <v>651</v>
      </c>
      <c r="I32" t="s">
        <v>669</v>
      </c>
      <c r="J32" t="s">
        <v>653</v>
      </c>
      <c r="K32" t="s">
        <v>670</v>
      </c>
      <c r="L32" t="s">
        <v>663</v>
      </c>
    </row>
    <row r="33" spans="1:12" x14ac:dyDescent="0.35">
      <c r="B33" t="s">
        <v>655</v>
      </c>
      <c r="C33">
        <v>55.37</v>
      </c>
      <c r="D33">
        <v>83.46</v>
      </c>
      <c r="E33">
        <v>52.89</v>
      </c>
      <c r="F33" s="1">
        <f>AVERAGE(C33:E33)</f>
        <v>63.906666666666659</v>
      </c>
      <c r="H33">
        <v>16.11</v>
      </c>
      <c r="I33">
        <v>8.6</v>
      </c>
      <c r="J33">
        <v>38.700000000000003</v>
      </c>
      <c r="K33">
        <v>16.47</v>
      </c>
      <c r="L33" s="1">
        <f>AVERAGE(H33:K33)</f>
        <v>19.97</v>
      </c>
    </row>
    <row r="34" spans="1:12" x14ac:dyDescent="0.35">
      <c r="B34" t="s">
        <v>657</v>
      </c>
      <c r="C34">
        <v>53.18</v>
      </c>
      <c r="D34">
        <v>76.650000000000006</v>
      </c>
      <c r="E34">
        <v>53.62</v>
      </c>
      <c r="F34" s="1">
        <f>AVERAGE(C34:E34)</f>
        <v>61.150000000000006</v>
      </c>
      <c r="H34">
        <v>21.82</v>
      </c>
      <c r="I34">
        <v>11.7</v>
      </c>
      <c r="J34">
        <v>42.55</v>
      </c>
      <c r="K34">
        <v>21.86</v>
      </c>
      <c r="L34" s="1">
        <f>AVERAGE(H34:K34)</f>
        <v>24.482499999999998</v>
      </c>
    </row>
    <row r="35" spans="1:12" s="13" customFormat="1" x14ac:dyDescent="0.35"/>
    <row r="36" spans="1:12" x14ac:dyDescent="0.35">
      <c r="A36" t="s">
        <v>671</v>
      </c>
      <c r="E36" t="s">
        <v>638</v>
      </c>
      <c r="H36" t="s">
        <v>639</v>
      </c>
    </row>
    <row r="37" spans="1:12" x14ac:dyDescent="0.35">
      <c r="D37" s="116" t="s">
        <v>642</v>
      </c>
      <c r="E37" s="116"/>
      <c r="F37" s="116"/>
      <c r="G37" s="116" t="s">
        <v>643</v>
      </c>
      <c r="H37" s="116"/>
      <c r="I37" s="116"/>
    </row>
    <row r="38" spans="1:12" x14ac:dyDescent="0.35">
      <c r="D38" t="s">
        <v>646</v>
      </c>
      <c r="E38" t="s">
        <v>649</v>
      </c>
      <c r="F38" t="s">
        <v>663</v>
      </c>
      <c r="G38" t="s">
        <v>653</v>
      </c>
      <c r="H38" t="s">
        <v>654</v>
      </c>
      <c r="I38" t="s">
        <v>663</v>
      </c>
      <c r="K38" t="s">
        <v>672</v>
      </c>
    </row>
    <row r="39" spans="1:12" x14ac:dyDescent="0.35">
      <c r="C39" t="s">
        <v>655</v>
      </c>
      <c r="D39">
        <v>87</v>
      </c>
      <c r="E39">
        <v>84</v>
      </c>
      <c r="F39">
        <f>AVERAGE(D39:E39)</f>
        <v>85.5</v>
      </c>
      <c r="G39" s="1">
        <v>90</v>
      </c>
      <c r="H39">
        <v>87</v>
      </c>
      <c r="I39" s="1">
        <f>AVERAGE(G39:H39)</f>
        <v>88.5</v>
      </c>
      <c r="K39">
        <v>69.150000000000006</v>
      </c>
      <c r="L39" t="s">
        <v>673</v>
      </c>
    </row>
    <row r="40" spans="1:12" x14ac:dyDescent="0.35">
      <c r="C40" t="s">
        <v>674</v>
      </c>
      <c r="D40">
        <v>282</v>
      </c>
      <c r="E40">
        <v>1081</v>
      </c>
      <c r="F40">
        <f>SUM(D40:E40)</f>
        <v>1363</v>
      </c>
      <c r="G40">
        <v>292</v>
      </c>
      <c r="H40">
        <v>591</v>
      </c>
      <c r="I40">
        <f>SUM(G40:H40)</f>
        <v>883</v>
      </c>
      <c r="K40">
        <v>66.959999999999994</v>
      </c>
      <c r="L40" t="s">
        <v>675</v>
      </c>
    </row>
    <row r="42" spans="1:12" x14ac:dyDescent="0.35">
      <c r="D42" t="s">
        <v>676</v>
      </c>
      <c r="E42" t="s">
        <v>649</v>
      </c>
      <c r="F42" t="s">
        <v>663</v>
      </c>
      <c r="G42" t="s">
        <v>653</v>
      </c>
      <c r="H42" t="s">
        <v>654</v>
      </c>
      <c r="I42" t="s">
        <v>663</v>
      </c>
      <c r="K42" t="s">
        <v>677</v>
      </c>
    </row>
    <row r="43" spans="1:12" x14ac:dyDescent="0.35">
      <c r="C43" t="s">
        <v>655</v>
      </c>
      <c r="K43">
        <v>66.67</v>
      </c>
      <c r="L43" t="s">
        <v>673</v>
      </c>
    </row>
    <row r="44" spans="1:12" x14ac:dyDescent="0.35">
      <c r="C44" t="s">
        <v>674</v>
      </c>
      <c r="D44">
        <v>664</v>
      </c>
      <c r="E44">
        <v>1081</v>
      </c>
      <c r="F44">
        <f>SUM(D44:E44)</f>
        <v>1745</v>
      </c>
      <c r="G44">
        <v>292</v>
      </c>
      <c r="H44">
        <v>591</v>
      </c>
      <c r="I44">
        <f>SUM(G44:H44)</f>
        <v>883</v>
      </c>
      <c r="K44">
        <v>66.42</v>
      </c>
      <c r="L44" t="s">
        <v>675</v>
      </c>
    </row>
    <row r="45" spans="1:12" s="13" customFormat="1" x14ac:dyDescent="0.35"/>
    <row r="46" spans="1:12" x14ac:dyDescent="0.35">
      <c r="A46" s="3" t="s">
        <v>678</v>
      </c>
      <c r="E46" t="s">
        <v>638</v>
      </c>
      <c r="I46" t="s">
        <v>639</v>
      </c>
    </row>
    <row r="47" spans="1:12" x14ac:dyDescent="0.35">
      <c r="D47" s="116" t="s">
        <v>642</v>
      </c>
      <c r="E47" s="116"/>
      <c r="F47" s="116"/>
      <c r="H47" s="116" t="s">
        <v>643</v>
      </c>
      <c r="I47" s="116"/>
      <c r="J47" s="116"/>
    </row>
    <row r="48" spans="1:12" x14ac:dyDescent="0.35">
      <c r="D48" t="s">
        <v>646</v>
      </c>
      <c r="E48" t="s">
        <v>649</v>
      </c>
      <c r="F48" t="s">
        <v>679</v>
      </c>
      <c r="G48" t="s">
        <v>663</v>
      </c>
      <c r="H48" t="s">
        <v>653</v>
      </c>
      <c r="I48" t="s">
        <v>654</v>
      </c>
      <c r="J48" t="s">
        <v>680</v>
      </c>
      <c r="K48" t="s">
        <v>663</v>
      </c>
    </row>
    <row r="49" spans="1:16" x14ac:dyDescent="0.35">
      <c r="C49" t="s">
        <v>423</v>
      </c>
      <c r="D49">
        <v>66.900000000000006</v>
      </c>
      <c r="E49">
        <v>51.3</v>
      </c>
      <c r="F49">
        <v>52.2</v>
      </c>
      <c r="G49">
        <f>AVERAGE(D49:F49)</f>
        <v>56.800000000000004</v>
      </c>
      <c r="H49">
        <v>64.7</v>
      </c>
      <c r="I49">
        <v>79.599999999999994</v>
      </c>
      <c r="J49">
        <v>50.07</v>
      </c>
      <c r="K49">
        <f>AVERAGE(H49:J49)</f>
        <v>64.790000000000006</v>
      </c>
    </row>
    <row r="50" spans="1:16" x14ac:dyDescent="0.35">
      <c r="C50" t="s">
        <v>674</v>
      </c>
      <c r="D50">
        <v>595</v>
      </c>
      <c r="E50">
        <v>1708</v>
      </c>
      <c r="F50">
        <v>1041</v>
      </c>
      <c r="G50">
        <f>SUM(D50:F50)</f>
        <v>3344</v>
      </c>
      <c r="H50">
        <v>1103</v>
      </c>
      <c r="I50">
        <v>1084</v>
      </c>
      <c r="J50">
        <v>1849</v>
      </c>
      <c r="K50">
        <f>SUM(H50:J50)</f>
        <v>4036</v>
      </c>
    </row>
    <row r="51" spans="1:16" s="13" customFormat="1" x14ac:dyDescent="0.35"/>
    <row r="52" spans="1:16" x14ac:dyDescent="0.35">
      <c r="A52" t="s">
        <v>532</v>
      </c>
      <c r="C52" t="s">
        <v>681</v>
      </c>
      <c r="D52" t="s">
        <v>682</v>
      </c>
      <c r="E52" t="s">
        <v>683</v>
      </c>
      <c r="F52" t="s">
        <v>684</v>
      </c>
    </row>
    <row r="54" spans="1:16" x14ac:dyDescent="0.35">
      <c r="C54" t="s">
        <v>685</v>
      </c>
      <c r="D54" t="s">
        <v>686</v>
      </c>
      <c r="E54" t="s">
        <v>687</v>
      </c>
      <c r="F54" t="s">
        <v>688</v>
      </c>
    </row>
    <row r="55" spans="1:16" s="13" customFormat="1" x14ac:dyDescent="0.35"/>
    <row r="56" spans="1:16" x14ac:dyDescent="0.35">
      <c r="A56" t="s">
        <v>689</v>
      </c>
      <c r="E56" t="s">
        <v>638</v>
      </c>
      <c r="J56" t="s">
        <v>639</v>
      </c>
    </row>
    <row r="57" spans="1:16" x14ac:dyDescent="0.35">
      <c r="B57" t="s">
        <v>39</v>
      </c>
      <c r="D57" s="116" t="s">
        <v>642</v>
      </c>
      <c r="E57" s="116"/>
      <c r="F57" s="116"/>
      <c r="I57" s="116" t="s">
        <v>643</v>
      </c>
      <c r="J57" s="116"/>
      <c r="K57" s="116"/>
    </row>
    <row r="58" spans="1:16" x14ac:dyDescent="0.35">
      <c r="D58" t="s">
        <v>648</v>
      </c>
      <c r="E58" t="s">
        <v>649</v>
      </c>
      <c r="F58" t="s">
        <v>650</v>
      </c>
      <c r="G58" t="s">
        <v>663</v>
      </c>
      <c r="I58" t="s">
        <v>651</v>
      </c>
      <c r="J58" t="s">
        <v>652</v>
      </c>
      <c r="K58" t="s">
        <v>653</v>
      </c>
      <c r="L58" t="s">
        <v>663</v>
      </c>
    </row>
    <row r="59" spans="1:16" x14ac:dyDescent="0.35">
      <c r="C59" t="s">
        <v>655</v>
      </c>
      <c r="D59">
        <v>43.1</v>
      </c>
      <c r="E59">
        <v>66.400000000000006</v>
      </c>
      <c r="F59">
        <v>88.3</v>
      </c>
      <c r="G59" s="1">
        <f>AVERAGE(D59:F59)</f>
        <v>65.933333333333337</v>
      </c>
      <c r="I59">
        <v>73.099999999999994</v>
      </c>
      <c r="J59">
        <v>67.2</v>
      </c>
      <c r="K59">
        <v>63.5</v>
      </c>
      <c r="L59" s="1">
        <f>AVERAGE(I59:K59)</f>
        <v>67.933333333333337</v>
      </c>
    </row>
    <row r="60" spans="1:16" x14ac:dyDescent="0.35">
      <c r="C60" t="s">
        <v>657</v>
      </c>
      <c r="D60">
        <v>50.6</v>
      </c>
      <c r="E60">
        <v>62.9</v>
      </c>
      <c r="F60">
        <v>77.900000000000006</v>
      </c>
      <c r="G60" s="1">
        <f>AVERAGE(D60:F60)</f>
        <v>63.800000000000004</v>
      </c>
      <c r="I60">
        <v>78</v>
      </c>
      <c r="J60">
        <v>59.4</v>
      </c>
      <c r="K60">
        <v>48.2</v>
      </c>
      <c r="L60" s="1">
        <f>AVERAGE(I60:K60)</f>
        <v>61.866666666666674</v>
      </c>
    </row>
    <row r="61" spans="1:16" x14ac:dyDescent="0.35">
      <c r="O61" t="s">
        <v>39</v>
      </c>
      <c r="P61">
        <v>6093.5</v>
      </c>
    </row>
    <row r="62" spans="1:16" x14ac:dyDescent="0.35">
      <c r="E62" t="s">
        <v>638</v>
      </c>
      <c r="J62" t="s">
        <v>639</v>
      </c>
      <c r="O62" t="s">
        <v>138</v>
      </c>
      <c r="P62">
        <v>1304.5</v>
      </c>
    </row>
    <row r="63" spans="1:16" x14ac:dyDescent="0.35">
      <c r="D63" s="116" t="s">
        <v>642</v>
      </c>
      <c r="E63" s="116"/>
      <c r="F63" s="116"/>
      <c r="I63" s="116" t="s">
        <v>643</v>
      </c>
      <c r="J63" s="116"/>
      <c r="K63" s="116"/>
    </row>
    <row r="64" spans="1:16" x14ac:dyDescent="0.35">
      <c r="B64" t="s">
        <v>138</v>
      </c>
      <c r="D64" t="s">
        <v>667</v>
      </c>
      <c r="E64" t="s">
        <v>649</v>
      </c>
      <c r="F64" t="s">
        <v>668</v>
      </c>
      <c r="G64" t="s">
        <v>663</v>
      </c>
      <c r="I64" t="s">
        <v>651</v>
      </c>
      <c r="J64" t="s">
        <v>669</v>
      </c>
      <c r="K64" t="s">
        <v>653</v>
      </c>
      <c r="L64" t="s">
        <v>670</v>
      </c>
      <c r="M64" t="s">
        <v>663</v>
      </c>
    </row>
    <row r="65" spans="1:13" x14ac:dyDescent="0.35">
      <c r="C65" t="s">
        <v>655</v>
      </c>
      <c r="G65" s="1" t="e">
        <f>AVERAGE(D65:F65)</f>
        <v>#DIV/0!</v>
      </c>
      <c r="J65">
        <v>8.6</v>
      </c>
      <c r="K65">
        <v>38.700000000000003</v>
      </c>
      <c r="L65">
        <v>16.47</v>
      </c>
      <c r="M65" s="1">
        <f>AVERAGE(I65:L65)</f>
        <v>21.256666666666668</v>
      </c>
    </row>
    <row r="66" spans="1:13" x14ac:dyDescent="0.35">
      <c r="C66" t="s">
        <v>657</v>
      </c>
      <c r="D66">
        <v>57.73</v>
      </c>
      <c r="E66">
        <v>78.94</v>
      </c>
      <c r="F66">
        <v>57.41</v>
      </c>
      <c r="G66" s="1">
        <f>AVERAGE(D66:F66)</f>
        <v>64.693333333333328</v>
      </c>
      <c r="I66">
        <v>29.92</v>
      </c>
      <c r="J66">
        <v>12.1</v>
      </c>
      <c r="K66">
        <v>40.98</v>
      </c>
      <c r="L66">
        <v>3.47</v>
      </c>
      <c r="M66" s="1">
        <f>AVERAGE(I66:L66)</f>
        <v>21.6175</v>
      </c>
    </row>
    <row r="67" spans="1:13" s="13" customFormat="1" x14ac:dyDescent="0.35"/>
    <row r="68" spans="1:13" x14ac:dyDescent="0.35">
      <c r="A68" t="s">
        <v>690</v>
      </c>
      <c r="E68" t="s">
        <v>638</v>
      </c>
      <c r="J68" t="s">
        <v>639</v>
      </c>
    </row>
    <row r="69" spans="1:13" x14ac:dyDescent="0.35">
      <c r="D69" s="116" t="s">
        <v>642</v>
      </c>
      <c r="E69" s="116"/>
      <c r="F69" s="116"/>
      <c r="I69" s="116" t="s">
        <v>643</v>
      </c>
      <c r="J69" s="116"/>
      <c r="K69" s="116"/>
    </row>
    <row r="70" spans="1:13" x14ac:dyDescent="0.35">
      <c r="D70" t="s">
        <v>648</v>
      </c>
      <c r="E70" t="s">
        <v>649</v>
      </c>
      <c r="F70" t="s">
        <v>650</v>
      </c>
      <c r="G70" t="s">
        <v>663</v>
      </c>
      <c r="I70" t="s">
        <v>651</v>
      </c>
      <c r="J70" t="s">
        <v>652</v>
      </c>
      <c r="K70" t="s">
        <v>653</v>
      </c>
      <c r="L70" t="s">
        <v>663</v>
      </c>
    </row>
    <row r="71" spans="1:13" x14ac:dyDescent="0.35">
      <c r="C71" t="s">
        <v>655</v>
      </c>
      <c r="D71">
        <v>54.94</v>
      </c>
      <c r="E71">
        <v>61.7</v>
      </c>
      <c r="F71">
        <v>64.11</v>
      </c>
      <c r="G71" s="1">
        <f>AVERAGE(D71:F71)</f>
        <v>60.25</v>
      </c>
      <c r="I71">
        <v>56.7</v>
      </c>
      <c r="J71">
        <v>72.7</v>
      </c>
      <c r="K71">
        <v>73</v>
      </c>
      <c r="L71" s="1">
        <f>AVERAGE(I71:K71)</f>
        <v>67.466666666666669</v>
      </c>
    </row>
    <row r="72" spans="1:13" x14ac:dyDescent="0.35">
      <c r="C72" t="s">
        <v>657</v>
      </c>
      <c r="D72">
        <v>54.84</v>
      </c>
      <c r="E72">
        <v>59.7</v>
      </c>
      <c r="F72">
        <v>65</v>
      </c>
      <c r="G72" s="1">
        <f>AVERAGE(D72:F72)</f>
        <v>59.846666666666671</v>
      </c>
      <c r="I72">
        <v>56.6</v>
      </c>
      <c r="J72">
        <v>69.7</v>
      </c>
      <c r="K72">
        <v>67</v>
      </c>
      <c r="L72" s="1">
        <f>AVERAGE(I72:K72)</f>
        <v>64.433333333333337</v>
      </c>
    </row>
    <row r="73" spans="1:13" s="13" customFormat="1" x14ac:dyDescent="0.35"/>
    <row r="74" spans="1:13" x14ac:dyDescent="0.35">
      <c r="A74" t="s">
        <v>546</v>
      </c>
      <c r="B74" t="s">
        <v>691</v>
      </c>
      <c r="F74" t="s">
        <v>638</v>
      </c>
      <c r="K74" t="s">
        <v>639</v>
      </c>
    </row>
    <row r="75" spans="1:13" x14ac:dyDescent="0.35">
      <c r="E75" s="116" t="s">
        <v>642</v>
      </c>
      <c r="F75" s="116"/>
      <c r="G75" s="116"/>
      <c r="J75" s="116" t="s">
        <v>643</v>
      </c>
      <c r="K75" s="116"/>
      <c r="L75" s="116"/>
    </row>
    <row r="76" spans="1:13" x14ac:dyDescent="0.35">
      <c r="E76" t="s">
        <v>648</v>
      </c>
      <c r="F76" t="s">
        <v>649</v>
      </c>
      <c r="G76" t="s">
        <v>650</v>
      </c>
      <c r="H76" t="s">
        <v>663</v>
      </c>
      <c r="J76" t="s">
        <v>651</v>
      </c>
      <c r="K76" t="s">
        <v>652</v>
      </c>
      <c r="L76" t="s">
        <v>653</v>
      </c>
      <c r="M76" t="s">
        <v>663</v>
      </c>
    </row>
    <row r="77" spans="1:13" x14ac:dyDescent="0.35">
      <c r="C77" t="s">
        <v>692</v>
      </c>
      <c r="D77" t="s">
        <v>693</v>
      </c>
      <c r="E77">
        <v>72.099999999999994</v>
      </c>
      <c r="F77">
        <v>53.1</v>
      </c>
      <c r="H77" s="1">
        <f>AVERAGE(E77:G77)</f>
        <v>62.599999999999994</v>
      </c>
      <c r="J77">
        <v>74.599999999999994</v>
      </c>
      <c r="L77">
        <v>72.099999999999994</v>
      </c>
      <c r="M77" s="1">
        <f>AVERAGE(J77:L77)</f>
        <v>73.349999999999994</v>
      </c>
    </row>
    <row r="78" spans="1:13" s="13" customFormat="1" x14ac:dyDescent="0.35"/>
    <row r="79" spans="1:13" x14ac:dyDescent="0.35">
      <c r="A79" t="s">
        <v>694</v>
      </c>
      <c r="C79" t="s">
        <v>695</v>
      </c>
    </row>
    <row r="80" spans="1:13" x14ac:dyDescent="0.35">
      <c r="B80" t="s">
        <v>39</v>
      </c>
      <c r="C80" t="s">
        <v>696</v>
      </c>
      <c r="E80" t="s">
        <v>697</v>
      </c>
    </row>
    <row r="81" spans="1:15" x14ac:dyDescent="0.35">
      <c r="C81" t="s">
        <v>698</v>
      </c>
      <c r="D81">
        <v>0.77</v>
      </c>
      <c r="E81" t="s">
        <v>698</v>
      </c>
      <c r="F81">
        <v>0.73</v>
      </c>
      <c r="G81" t="s">
        <v>699</v>
      </c>
      <c r="H81" t="s">
        <v>700</v>
      </c>
    </row>
    <row r="82" spans="1:15" x14ac:dyDescent="0.35">
      <c r="C82" t="s">
        <v>701</v>
      </c>
      <c r="D82">
        <v>0.83</v>
      </c>
      <c r="E82" t="s">
        <v>701</v>
      </c>
      <c r="F82">
        <v>0.59</v>
      </c>
      <c r="H82">
        <v>2200</v>
      </c>
    </row>
    <row r="83" spans="1:15" x14ac:dyDescent="0.35">
      <c r="C83" t="s">
        <v>663</v>
      </c>
      <c r="D83">
        <f>AVERAGE(D81:D82)</f>
        <v>0.8</v>
      </c>
      <c r="E83" t="s">
        <v>663</v>
      </c>
      <c r="F83">
        <f t="shared" ref="F83" si="0">AVERAGE(F81:F82)</f>
        <v>0.65999999999999992</v>
      </c>
    </row>
    <row r="85" spans="1:15" x14ac:dyDescent="0.35">
      <c r="B85" t="s">
        <v>702</v>
      </c>
      <c r="D85" t="s">
        <v>701</v>
      </c>
      <c r="F85" t="s">
        <v>698</v>
      </c>
      <c r="G85" t="s">
        <v>703</v>
      </c>
      <c r="H85" t="s">
        <v>700</v>
      </c>
      <c r="J85" t="s">
        <v>425</v>
      </c>
    </row>
    <row r="86" spans="1:15" x14ac:dyDescent="0.35">
      <c r="C86" t="s">
        <v>704</v>
      </c>
      <c r="D86">
        <v>0.49</v>
      </c>
      <c r="E86" t="s">
        <v>704</v>
      </c>
      <c r="F86">
        <v>0.46</v>
      </c>
      <c r="H86">
        <v>109</v>
      </c>
      <c r="J86">
        <f>(4+5+6)/3</f>
        <v>5</v>
      </c>
    </row>
    <row r="87" spans="1:15" x14ac:dyDescent="0.35">
      <c r="C87" t="s">
        <v>705</v>
      </c>
      <c r="D87">
        <v>0.39</v>
      </c>
      <c r="E87" t="s">
        <v>705</v>
      </c>
      <c r="F87">
        <v>0.41</v>
      </c>
      <c r="H87">
        <v>106</v>
      </c>
      <c r="J87">
        <v>27</v>
      </c>
    </row>
    <row r="88" spans="1:15" x14ac:dyDescent="0.35">
      <c r="C88" t="s">
        <v>663</v>
      </c>
      <c r="D88">
        <f>AVERAGE(D86:D87)</f>
        <v>0.44</v>
      </c>
      <c r="E88" t="s">
        <v>663</v>
      </c>
      <c r="F88">
        <f t="shared" ref="F88" si="1">AVERAGE(F86:F87)</f>
        <v>0.435</v>
      </c>
    </row>
    <row r="89" spans="1:15" s="13" customFormat="1" x14ac:dyDescent="0.35"/>
    <row r="90" spans="1:15" x14ac:dyDescent="0.35">
      <c r="A90" t="s">
        <v>580</v>
      </c>
      <c r="E90" t="s">
        <v>638</v>
      </c>
      <c r="J90" t="s">
        <v>639</v>
      </c>
    </row>
    <row r="91" spans="1:15" x14ac:dyDescent="0.35">
      <c r="D91" s="116" t="s">
        <v>642</v>
      </c>
      <c r="E91" s="116"/>
      <c r="F91" s="116"/>
      <c r="G91" t="s">
        <v>706</v>
      </c>
      <c r="I91" s="116" t="s">
        <v>643</v>
      </c>
      <c r="J91" s="116"/>
      <c r="K91" s="116"/>
    </row>
    <row r="92" spans="1:15" x14ac:dyDescent="0.35">
      <c r="D92" t="s">
        <v>648</v>
      </c>
      <c r="E92" t="s">
        <v>649</v>
      </c>
      <c r="F92" t="s">
        <v>663</v>
      </c>
      <c r="I92" t="s">
        <v>651</v>
      </c>
      <c r="J92" t="s">
        <v>652</v>
      </c>
      <c r="K92" t="s">
        <v>653</v>
      </c>
      <c r="L92" t="s">
        <v>663</v>
      </c>
    </row>
    <row r="93" spans="1:15" x14ac:dyDescent="0.35">
      <c r="C93" t="s">
        <v>657</v>
      </c>
      <c r="D93">
        <v>54.7</v>
      </c>
      <c r="E93">
        <v>39.9</v>
      </c>
      <c r="F93" s="1">
        <f>AVERAGE(D93:E93)</f>
        <v>47.3</v>
      </c>
      <c r="I93">
        <v>68.8</v>
      </c>
      <c r="J93">
        <v>48.5</v>
      </c>
      <c r="K93">
        <v>54.2</v>
      </c>
      <c r="L93" s="1">
        <f>AVERAGE(I93:K93)</f>
        <v>57.166666666666664</v>
      </c>
    </row>
    <row r="94" spans="1:15" s="13" customFormat="1" x14ac:dyDescent="0.35"/>
    <row r="95" spans="1:15" x14ac:dyDescent="0.35">
      <c r="A95" t="s">
        <v>707</v>
      </c>
      <c r="E95" t="s">
        <v>638</v>
      </c>
      <c r="J95" t="s">
        <v>639</v>
      </c>
    </row>
    <row r="96" spans="1:15" x14ac:dyDescent="0.35">
      <c r="D96" s="116" t="s">
        <v>642</v>
      </c>
      <c r="E96" s="116"/>
      <c r="F96" s="116"/>
      <c r="I96" s="116" t="s">
        <v>643</v>
      </c>
      <c r="J96" s="116"/>
      <c r="K96" s="116"/>
      <c r="O96" t="s">
        <v>708</v>
      </c>
    </row>
    <row r="97" spans="1:12" x14ac:dyDescent="0.35">
      <c r="D97" t="s">
        <v>648</v>
      </c>
      <c r="E97" t="s">
        <v>649</v>
      </c>
      <c r="F97" t="s">
        <v>650</v>
      </c>
      <c r="G97" t="s">
        <v>663</v>
      </c>
      <c r="I97" t="s">
        <v>651</v>
      </c>
      <c r="J97" t="s">
        <v>652</v>
      </c>
      <c r="K97" t="s">
        <v>653</v>
      </c>
      <c r="L97" t="s">
        <v>663</v>
      </c>
    </row>
    <row r="98" spans="1:12" x14ac:dyDescent="0.35">
      <c r="C98" t="s">
        <v>657</v>
      </c>
      <c r="D98">
        <v>48.21</v>
      </c>
      <c r="E98">
        <v>63.37</v>
      </c>
      <c r="F98">
        <v>70.41</v>
      </c>
      <c r="G98" s="1">
        <f>AVERAGE(D98:F98)</f>
        <v>60.663333333333334</v>
      </c>
      <c r="I98">
        <v>72.58</v>
      </c>
      <c r="J98">
        <v>64.680000000000007</v>
      </c>
      <c r="K98">
        <v>65.94</v>
      </c>
      <c r="L98" s="1">
        <f>AVERAGE(I98:K98)</f>
        <v>67.733333333333334</v>
      </c>
    </row>
    <row r="99" spans="1:12" s="13" customFormat="1" x14ac:dyDescent="0.35">
      <c r="L99" s="20"/>
    </row>
    <row r="100" spans="1:12" ht="15" customHeight="1" x14ac:dyDescent="0.35">
      <c r="A100" t="s">
        <v>709</v>
      </c>
      <c r="D100" t="s">
        <v>638</v>
      </c>
      <c r="I100" t="s">
        <v>639</v>
      </c>
    </row>
    <row r="101" spans="1:12" x14ac:dyDescent="0.35">
      <c r="C101" s="116" t="s">
        <v>642</v>
      </c>
      <c r="D101" s="116"/>
      <c r="E101" s="116"/>
      <c r="H101" s="116" t="s">
        <v>643</v>
      </c>
      <c r="I101" s="116"/>
      <c r="J101" s="116"/>
      <c r="L101" t="s">
        <v>710</v>
      </c>
    </row>
    <row r="102" spans="1:12" x14ac:dyDescent="0.35">
      <c r="C102" t="s">
        <v>648</v>
      </c>
      <c r="D102" t="s">
        <v>649</v>
      </c>
      <c r="E102" t="s">
        <v>650</v>
      </c>
      <c r="F102" t="s">
        <v>663</v>
      </c>
      <c r="H102" t="s">
        <v>651</v>
      </c>
      <c r="J102" t="s">
        <v>653</v>
      </c>
      <c r="K102" t="s">
        <v>663</v>
      </c>
    </row>
    <row r="103" spans="1:12" x14ac:dyDescent="0.35">
      <c r="B103" t="s">
        <v>711</v>
      </c>
      <c r="C103">
        <v>81.75</v>
      </c>
      <c r="D103">
        <v>67.319999999999993</v>
      </c>
      <c r="F103" s="1">
        <f>AVERAGE(C103:D103)</f>
        <v>74.534999999999997</v>
      </c>
      <c r="H103">
        <v>77.62</v>
      </c>
      <c r="J103">
        <v>89.88</v>
      </c>
      <c r="K103" s="1">
        <f>AVERAGE(H103:J103)</f>
        <v>83.75</v>
      </c>
    </row>
    <row r="106" spans="1:12" s="33" customFormat="1" x14ac:dyDescent="0.35"/>
    <row r="107" spans="1:12" x14ac:dyDescent="0.35">
      <c r="J107" t="s">
        <v>677</v>
      </c>
      <c r="K107" t="s">
        <v>672</v>
      </c>
    </row>
    <row r="108" spans="1:12" ht="116" x14ac:dyDescent="0.35">
      <c r="A108" s="1" t="s">
        <v>624</v>
      </c>
      <c r="B108" t="s">
        <v>625</v>
      </c>
      <c r="C108" t="s">
        <v>470</v>
      </c>
      <c r="D108" s="14" t="s">
        <v>626</v>
      </c>
      <c r="E108" t="s">
        <v>627</v>
      </c>
      <c r="F108" t="s">
        <v>37</v>
      </c>
      <c r="G108" t="s">
        <v>618</v>
      </c>
      <c r="H108" t="s">
        <v>39</v>
      </c>
      <c r="I108" t="s">
        <v>693</v>
      </c>
      <c r="J108">
        <f>(53.69+58.62)/2</f>
        <v>56.155000000000001</v>
      </c>
      <c r="K108">
        <f>(67.5+60.2)/2</f>
        <v>63.85</v>
      </c>
    </row>
  </sheetData>
  <mergeCells count="32">
    <mergeCell ref="C2:E2"/>
    <mergeCell ref="F2:H2"/>
    <mergeCell ref="C7:E7"/>
    <mergeCell ref="F7:H7"/>
    <mergeCell ref="C6:E6"/>
    <mergeCell ref="F6:H6"/>
    <mergeCell ref="C10:E10"/>
    <mergeCell ref="F10:H10"/>
    <mergeCell ref="C18:E18"/>
    <mergeCell ref="F18:H18"/>
    <mergeCell ref="H25:J25"/>
    <mergeCell ref="C25:E25"/>
    <mergeCell ref="C31:E31"/>
    <mergeCell ref="H31:J31"/>
    <mergeCell ref="D37:F37"/>
    <mergeCell ref="G37:I37"/>
    <mergeCell ref="D47:F47"/>
    <mergeCell ref="H47:J47"/>
    <mergeCell ref="D57:F57"/>
    <mergeCell ref="I57:K57"/>
    <mergeCell ref="D63:F63"/>
    <mergeCell ref="I63:K63"/>
    <mergeCell ref="D69:F69"/>
    <mergeCell ref="I69:K69"/>
    <mergeCell ref="C101:E101"/>
    <mergeCell ref="H101:J101"/>
    <mergeCell ref="E75:G75"/>
    <mergeCell ref="J75:L75"/>
    <mergeCell ref="D91:F91"/>
    <mergeCell ref="I91:K91"/>
    <mergeCell ref="D96:F96"/>
    <mergeCell ref="I96:K9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B5421-DECE-421F-A865-12AD49A39855}">
  <dimension ref="A1:M60"/>
  <sheetViews>
    <sheetView topLeftCell="H1" zoomScale="96" zoomScaleNormal="96" workbookViewId="0">
      <pane ySplit="1" topLeftCell="A50" activePane="bottomLeft" state="frozen"/>
      <selection pane="bottomLeft" activeCell="A57" sqref="A57"/>
    </sheetView>
  </sheetViews>
  <sheetFormatPr defaultRowHeight="14.5" x14ac:dyDescent="0.35"/>
  <cols>
    <col min="1" max="1" width="23.1796875" customWidth="1"/>
    <col min="2" max="2" width="32.54296875" customWidth="1"/>
    <col min="3" max="3" width="16.453125" customWidth="1"/>
    <col min="4" max="4" width="15" customWidth="1"/>
    <col min="5" max="5" width="14.7265625" customWidth="1"/>
    <col min="6" max="6" width="15" customWidth="1"/>
    <col min="11" max="11" width="10.26953125" bestFit="1" customWidth="1"/>
    <col min="12" max="12" width="11.26953125" customWidth="1"/>
    <col min="13" max="13" width="28.453125" customWidth="1"/>
  </cols>
  <sheetData>
    <row r="1" spans="1:13" ht="68" thickBot="1" x14ac:dyDescent="0.4">
      <c r="A1" s="1" t="s">
        <v>712</v>
      </c>
      <c r="B1" s="28" t="s">
        <v>713</v>
      </c>
      <c r="C1" s="28" t="s">
        <v>714</v>
      </c>
      <c r="D1" s="28" t="s">
        <v>715</v>
      </c>
      <c r="E1" s="28" t="s">
        <v>716</v>
      </c>
      <c r="F1" s="28" t="s">
        <v>717</v>
      </c>
      <c r="G1" s="28" t="s">
        <v>718</v>
      </c>
      <c r="H1" s="69" t="s">
        <v>719</v>
      </c>
      <c r="I1" s="28" t="s">
        <v>720</v>
      </c>
      <c r="J1" s="1" t="s">
        <v>721</v>
      </c>
      <c r="K1" s="1" t="s">
        <v>722</v>
      </c>
    </row>
    <row r="2" spans="1:13" s="88" customFormat="1" x14ac:dyDescent="0.35">
      <c r="A2" s="88" t="s">
        <v>723</v>
      </c>
      <c r="B2" s="88">
        <v>0</v>
      </c>
      <c r="C2" s="88">
        <v>1</v>
      </c>
      <c r="D2" s="88">
        <v>1</v>
      </c>
      <c r="E2" s="88">
        <v>0</v>
      </c>
      <c r="F2" s="88">
        <v>4</v>
      </c>
      <c r="G2" s="88">
        <v>3</v>
      </c>
      <c r="H2" s="88">
        <v>3</v>
      </c>
      <c r="I2" s="88">
        <v>4</v>
      </c>
      <c r="J2" s="88">
        <f t="shared" ref="J2:J8" si="0">SUM(B2:I2)</f>
        <v>16</v>
      </c>
      <c r="K2" s="88">
        <f t="shared" ref="K2:K8" si="1">(J2*5)/24</f>
        <v>3.3333333333333335</v>
      </c>
      <c r="M2" s="88" t="s">
        <v>724</v>
      </c>
    </row>
    <row r="3" spans="1:13" x14ac:dyDescent="0.35">
      <c r="A3" t="s">
        <v>496</v>
      </c>
      <c r="B3">
        <v>0</v>
      </c>
      <c r="C3" s="107">
        <v>0</v>
      </c>
      <c r="D3" s="107">
        <v>1</v>
      </c>
      <c r="E3" s="107">
        <v>0</v>
      </c>
      <c r="F3" s="107">
        <v>1</v>
      </c>
      <c r="G3" s="107">
        <v>1</v>
      </c>
      <c r="H3" s="108">
        <v>3</v>
      </c>
      <c r="I3" s="107">
        <v>4</v>
      </c>
      <c r="J3">
        <f t="shared" si="0"/>
        <v>10</v>
      </c>
      <c r="K3">
        <f t="shared" si="1"/>
        <v>2.0833333333333335</v>
      </c>
      <c r="M3" t="s">
        <v>725</v>
      </c>
    </row>
    <row r="4" spans="1:13" s="88" customFormat="1" x14ac:dyDescent="0.35">
      <c r="A4" s="88" t="s">
        <v>726</v>
      </c>
      <c r="B4" s="88">
        <v>0</v>
      </c>
      <c r="C4" s="88">
        <v>1</v>
      </c>
      <c r="D4" s="88">
        <v>1</v>
      </c>
      <c r="E4" s="88">
        <v>0</v>
      </c>
      <c r="F4" s="88">
        <v>3</v>
      </c>
      <c r="G4" s="88">
        <v>4</v>
      </c>
      <c r="H4" s="88">
        <v>2</v>
      </c>
      <c r="I4" s="88">
        <v>2</v>
      </c>
      <c r="J4" s="88">
        <f t="shared" si="0"/>
        <v>13</v>
      </c>
      <c r="K4" s="88">
        <f t="shared" si="1"/>
        <v>2.7083333333333335</v>
      </c>
      <c r="M4" s="88" t="s">
        <v>727</v>
      </c>
    </row>
    <row r="5" spans="1:13" x14ac:dyDescent="0.35">
      <c r="A5" t="s">
        <v>728</v>
      </c>
      <c r="B5">
        <v>0</v>
      </c>
      <c r="C5">
        <v>1</v>
      </c>
      <c r="D5">
        <v>1</v>
      </c>
      <c r="E5">
        <v>0</v>
      </c>
      <c r="F5">
        <v>2</v>
      </c>
      <c r="G5">
        <v>2</v>
      </c>
      <c r="H5">
        <v>2</v>
      </c>
      <c r="I5">
        <v>3</v>
      </c>
      <c r="J5">
        <f t="shared" si="0"/>
        <v>11</v>
      </c>
      <c r="K5">
        <f t="shared" si="1"/>
        <v>2.2916666666666665</v>
      </c>
      <c r="L5" t="s">
        <v>138</v>
      </c>
      <c r="M5">
        <f>27+25+24+25+27+24</f>
        <v>152</v>
      </c>
    </row>
    <row r="6" spans="1:13" x14ac:dyDescent="0.35">
      <c r="A6" t="s">
        <v>729</v>
      </c>
      <c r="B6">
        <v>0</v>
      </c>
      <c r="C6">
        <v>0</v>
      </c>
      <c r="D6">
        <v>0</v>
      </c>
      <c r="E6">
        <v>0</v>
      </c>
      <c r="F6">
        <v>1</v>
      </c>
      <c r="G6">
        <v>3</v>
      </c>
      <c r="H6">
        <v>1</v>
      </c>
      <c r="I6">
        <v>3</v>
      </c>
      <c r="J6">
        <f t="shared" si="0"/>
        <v>8</v>
      </c>
      <c r="K6">
        <f t="shared" si="1"/>
        <v>1.6666666666666667</v>
      </c>
    </row>
    <row r="7" spans="1:13" x14ac:dyDescent="0.35">
      <c r="A7" t="s">
        <v>730</v>
      </c>
      <c r="B7">
        <v>0</v>
      </c>
      <c r="C7" s="109">
        <v>0</v>
      </c>
      <c r="D7" s="109">
        <v>0</v>
      </c>
      <c r="E7" s="109">
        <v>1</v>
      </c>
      <c r="F7" s="109">
        <v>1</v>
      </c>
      <c r="G7" s="109">
        <v>2</v>
      </c>
      <c r="H7" s="110">
        <v>3</v>
      </c>
      <c r="I7" s="109">
        <v>3</v>
      </c>
      <c r="J7">
        <f t="shared" si="0"/>
        <v>10</v>
      </c>
      <c r="K7">
        <f t="shared" si="1"/>
        <v>2.0833333333333335</v>
      </c>
      <c r="M7" s="111" t="s">
        <v>731</v>
      </c>
    </row>
    <row r="8" spans="1:13" x14ac:dyDescent="0.35">
      <c r="A8" t="s">
        <v>732</v>
      </c>
      <c r="B8">
        <v>0</v>
      </c>
      <c r="C8" s="103">
        <v>0</v>
      </c>
      <c r="D8" s="103">
        <v>1</v>
      </c>
      <c r="E8" s="103">
        <v>0</v>
      </c>
      <c r="F8" s="103">
        <v>1</v>
      </c>
      <c r="G8" s="103">
        <v>3</v>
      </c>
      <c r="H8" s="104">
        <v>5</v>
      </c>
      <c r="I8" s="103">
        <v>2</v>
      </c>
      <c r="J8">
        <f t="shared" si="0"/>
        <v>12</v>
      </c>
      <c r="K8">
        <f t="shared" si="1"/>
        <v>2.5</v>
      </c>
    </row>
    <row r="9" spans="1:13" x14ac:dyDescent="0.35">
      <c r="A9" t="s">
        <v>733</v>
      </c>
      <c r="B9">
        <v>0</v>
      </c>
      <c r="C9">
        <v>1</v>
      </c>
      <c r="D9">
        <v>0</v>
      </c>
      <c r="E9">
        <v>0</v>
      </c>
      <c r="F9">
        <v>1</v>
      </c>
      <c r="G9">
        <v>2</v>
      </c>
      <c r="H9">
        <v>5</v>
      </c>
      <c r="I9">
        <v>2</v>
      </c>
      <c r="J9">
        <f t="shared" ref="J9" si="2">SUM(B9:I9)</f>
        <v>11</v>
      </c>
      <c r="K9">
        <f t="shared" ref="K9" si="3">(J9*5)/24</f>
        <v>2.2916666666666665</v>
      </c>
    </row>
    <row r="10" spans="1:13" x14ac:dyDescent="0.35">
      <c r="A10" t="s">
        <v>734</v>
      </c>
      <c r="B10">
        <v>1</v>
      </c>
      <c r="C10">
        <v>1</v>
      </c>
      <c r="D10">
        <v>0</v>
      </c>
      <c r="E10">
        <v>0</v>
      </c>
      <c r="F10">
        <v>1</v>
      </c>
      <c r="G10">
        <v>4</v>
      </c>
      <c r="H10">
        <v>4</v>
      </c>
      <c r="I10">
        <v>5</v>
      </c>
      <c r="J10">
        <f t="shared" ref="J10:J11" si="4">SUM(B10:I10)</f>
        <v>16</v>
      </c>
      <c r="K10">
        <f t="shared" ref="K10:K11" si="5">(J10*5)/24</f>
        <v>3.3333333333333335</v>
      </c>
    </row>
    <row r="11" spans="1:13" x14ac:dyDescent="0.35">
      <c r="A11" t="s">
        <v>735</v>
      </c>
      <c r="B11">
        <v>0</v>
      </c>
      <c r="C11">
        <v>0</v>
      </c>
      <c r="D11">
        <v>0</v>
      </c>
      <c r="E11">
        <v>0</v>
      </c>
      <c r="F11">
        <v>1</v>
      </c>
      <c r="G11">
        <v>1</v>
      </c>
      <c r="H11">
        <v>1</v>
      </c>
      <c r="I11">
        <v>3</v>
      </c>
      <c r="J11">
        <f t="shared" si="4"/>
        <v>6</v>
      </c>
      <c r="K11">
        <f t="shared" si="5"/>
        <v>1.25</v>
      </c>
    </row>
    <row r="12" spans="1:13" x14ac:dyDescent="0.35">
      <c r="A12" t="s">
        <v>736</v>
      </c>
      <c r="B12">
        <v>0</v>
      </c>
      <c r="C12">
        <v>0</v>
      </c>
      <c r="D12">
        <v>1</v>
      </c>
      <c r="E12">
        <v>0</v>
      </c>
      <c r="F12">
        <v>3</v>
      </c>
      <c r="G12">
        <v>4</v>
      </c>
      <c r="H12">
        <v>5</v>
      </c>
      <c r="I12">
        <v>4</v>
      </c>
      <c r="J12">
        <f>SUM(B12:I12)</f>
        <v>17</v>
      </c>
      <c r="K12">
        <f>(J12*5)/24</f>
        <v>3.5416666666666665</v>
      </c>
      <c r="L12" t="s">
        <v>737</v>
      </c>
      <c r="M12" t="s">
        <v>738</v>
      </c>
    </row>
    <row r="13" spans="1:13" x14ac:dyDescent="0.35">
      <c r="A13" t="s">
        <v>739</v>
      </c>
      <c r="B13">
        <v>1</v>
      </c>
      <c r="C13">
        <v>0</v>
      </c>
      <c r="D13">
        <v>1</v>
      </c>
      <c r="E13">
        <v>1</v>
      </c>
      <c r="F13">
        <v>0</v>
      </c>
      <c r="G13">
        <v>3</v>
      </c>
      <c r="H13">
        <v>5</v>
      </c>
      <c r="I13">
        <v>3</v>
      </c>
      <c r="J13">
        <f>SUM(B13:I13)</f>
        <v>14</v>
      </c>
      <c r="K13">
        <f>(J13*5)/24</f>
        <v>2.9166666666666665</v>
      </c>
      <c r="M13" t="e">
        <f>(#REF!+M14)/2</f>
        <v>#REF!</v>
      </c>
    </row>
    <row r="14" spans="1:13" x14ac:dyDescent="0.35">
      <c r="A14" t="s">
        <v>740</v>
      </c>
      <c r="B14">
        <v>0</v>
      </c>
      <c r="C14">
        <v>0</v>
      </c>
      <c r="D14">
        <v>1</v>
      </c>
      <c r="E14">
        <v>0</v>
      </c>
      <c r="F14">
        <v>5</v>
      </c>
      <c r="G14">
        <v>4</v>
      </c>
      <c r="H14">
        <v>5</v>
      </c>
      <c r="I14">
        <v>5</v>
      </c>
      <c r="J14">
        <f>SUM(B14:I14)</f>
        <v>20</v>
      </c>
      <c r="K14">
        <f>(J14*5)/24</f>
        <v>4.166666666666667</v>
      </c>
      <c r="L14" t="s">
        <v>741</v>
      </c>
      <c r="M14">
        <f>212/6</f>
        <v>35.333333333333336</v>
      </c>
    </row>
    <row r="15" spans="1:13" x14ac:dyDescent="0.35">
      <c r="A15" t="s">
        <v>742</v>
      </c>
      <c r="B15">
        <v>0</v>
      </c>
      <c r="C15">
        <v>0</v>
      </c>
      <c r="D15">
        <v>1</v>
      </c>
      <c r="E15">
        <v>0</v>
      </c>
      <c r="F15">
        <v>5</v>
      </c>
      <c r="G15">
        <v>4</v>
      </c>
      <c r="H15">
        <v>5</v>
      </c>
      <c r="I15">
        <v>5</v>
      </c>
      <c r="J15">
        <f t="shared" ref="J15:J44" si="6">SUM(B15:I15)</f>
        <v>20</v>
      </c>
      <c r="K15">
        <f t="shared" ref="K15:K44" si="7">(J15*5)/24</f>
        <v>4.166666666666667</v>
      </c>
    </row>
    <row r="16" spans="1:13" x14ac:dyDescent="0.35">
      <c r="A16" t="s">
        <v>743</v>
      </c>
      <c r="B16">
        <v>0</v>
      </c>
      <c r="C16">
        <v>0</v>
      </c>
      <c r="D16">
        <v>0</v>
      </c>
      <c r="E16">
        <v>0</v>
      </c>
      <c r="F16">
        <v>0</v>
      </c>
      <c r="G16">
        <v>3</v>
      </c>
      <c r="H16">
        <v>3</v>
      </c>
      <c r="I16">
        <v>2</v>
      </c>
      <c r="J16">
        <f t="shared" si="6"/>
        <v>8</v>
      </c>
      <c r="K16">
        <f t="shared" si="7"/>
        <v>1.6666666666666667</v>
      </c>
    </row>
    <row r="17" spans="1:13" x14ac:dyDescent="0.35">
      <c r="A17" t="s">
        <v>744</v>
      </c>
      <c r="B17">
        <v>0</v>
      </c>
      <c r="C17">
        <v>0</v>
      </c>
      <c r="D17">
        <v>0</v>
      </c>
      <c r="E17">
        <v>1</v>
      </c>
      <c r="F17">
        <v>1</v>
      </c>
      <c r="G17">
        <v>3</v>
      </c>
      <c r="H17">
        <v>3</v>
      </c>
      <c r="I17">
        <v>3</v>
      </c>
      <c r="J17">
        <f t="shared" si="6"/>
        <v>11</v>
      </c>
      <c r="K17">
        <f t="shared" si="7"/>
        <v>2.2916666666666665</v>
      </c>
    </row>
    <row r="18" spans="1:13" x14ac:dyDescent="0.35">
      <c r="A18" t="s">
        <v>745</v>
      </c>
      <c r="B18">
        <v>0</v>
      </c>
      <c r="C18">
        <v>0</v>
      </c>
      <c r="D18">
        <v>1</v>
      </c>
      <c r="E18">
        <v>0</v>
      </c>
      <c r="F18">
        <v>3</v>
      </c>
      <c r="G18">
        <v>3</v>
      </c>
      <c r="H18">
        <v>2</v>
      </c>
      <c r="I18">
        <v>3</v>
      </c>
      <c r="J18">
        <f t="shared" si="6"/>
        <v>12</v>
      </c>
      <c r="K18">
        <f t="shared" si="7"/>
        <v>2.5</v>
      </c>
    </row>
    <row r="19" spans="1:13" x14ac:dyDescent="0.35">
      <c r="A19" t="s">
        <v>746</v>
      </c>
      <c r="B19">
        <v>0</v>
      </c>
      <c r="C19">
        <v>0</v>
      </c>
      <c r="D19">
        <v>1</v>
      </c>
      <c r="E19">
        <v>0</v>
      </c>
      <c r="F19">
        <v>2</v>
      </c>
      <c r="G19">
        <v>3</v>
      </c>
      <c r="H19">
        <v>4</v>
      </c>
      <c r="I19">
        <v>4</v>
      </c>
      <c r="J19">
        <f t="shared" si="6"/>
        <v>14</v>
      </c>
      <c r="K19">
        <f t="shared" si="7"/>
        <v>2.9166666666666665</v>
      </c>
    </row>
    <row r="20" spans="1:13" x14ac:dyDescent="0.35">
      <c r="A20" t="s">
        <v>747</v>
      </c>
      <c r="B20">
        <v>0</v>
      </c>
      <c r="C20">
        <v>0</v>
      </c>
      <c r="D20">
        <v>1</v>
      </c>
      <c r="E20">
        <v>0</v>
      </c>
      <c r="F20">
        <v>2</v>
      </c>
      <c r="G20">
        <v>3</v>
      </c>
      <c r="H20">
        <v>5</v>
      </c>
      <c r="I20">
        <v>5</v>
      </c>
      <c r="J20">
        <f>SUM(B20:I20)</f>
        <v>16</v>
      </c>
      <c r="K20">
        <f>(J20*5)/24</f>
        <v>3.3333333333333335</v>
      </c>
      <c r="M20">
        <f>152+60</f>
        <v>212</v>
      </c>
    </row>
    <row r="21" spans="1:13" x14ac:dyDescent="0.35">
      <c r="A21" s="15" t="s">
        <v>748</v>
      </c>
      <c r="B21">
        <v>0</v>
      </c>
      <c r="C21">
        <v>0</v>
      </c>
      <c r="D21">
        <v>0</v>
      </c>
      <c r="E21">
        <v>0</v>
      </c>
      <c r="F21">
        <v>1</v>
      </c>
      <c r="G21">
        <v>2</v>
      </c>
      <c r="H21">
        <v>1</v>
      </c>
      <c r="I21">
        <v>4</v>
      </c>
      <c r="J21">
        <f t="shared" si="6"/>
        <v>8</v>
      </c>
      <c r="K21">
        <f t="shared" si="7"/>
        <v>1.6666666666666667</v>
      </c>
    </row>
    <row r="22" spans="1:13" x14ac:dyDescent="0.35">
      <c r="A22" t="s">
        <v>749</v>
      </c>
      <c r="B22">
        <v>0</v>
      </c>
      <c r="C22">
        <v>0</v>
      </c>
      <c r="D22">
        <v>1</v>
      </c>
      <c r="E22">
        <v>0</v>
      </c>
      <c r="F22">
        <v>2</v>
      </c>
      <c r="G22">
        <v>3</v>
      </c>
      <c r="H22">
        <v>5</v>
      </c>
      <c r="I22">
        <v>3</v>
      </c>
      <c r="J22">
        <f t="shared" ref="J22:J33" si="8">SUM(B22:I22)</f>
        <v>14</v>
      </c>
      <c r="K22">
        <f t="shared" ref="K22:K33" si="9">(J22*5)/24</f>
        <v>2.9166666666666665</v>
      </c>
      <c r="L22" t="s">
        <v>750</v>
      </c>
      <c r="M22" s="111" t="s">
        <v>751</v>
      </c>
    </row>
    <row r="23" spans="1:13" x14ac:dyDescent="0.35">
      <c r="A23" t="s">
        <v>752</v>
      </c>
      <c r="B23">
        <v>0</v>
      </c>
      <c r="C23">
        <v>0</v>
      </c>
      <c r="D23">
        <v>1</v>
      </c>
      <c r="E23">
        <v>0</v>
      </c>
      <c r="F23">
        <v>2</v>
      </c>
      <c r="G23">
        <v>4</v>
      </c>
      <c r="H23">
        <v>5</v>
      </c>
      <c r="I23">
        <v>3</v>
      </c>
      <c r="J23">
        <f t="shared" si="8"/>
        <v>15</v>
      </c>
      <c r="K23">
        <f t="shared" si="9"/>
        <v>3.125</v>
      </c>
    </row>
    <row r="24" spans="1:13" x14ac:dyDescent="0.35">
      <c r="A24" t="s">
        <v>753</v>
      </c>
      <c r="B24">
        <v>0</v>
      </c>
      <c r="C24" s="105">
        <v>0</v>
      </c>
      <c r="D24" s="105">
        <v>1</v>
      </c>
      <c r="E24" s="105">
        <v>0</v>
      </c>
      <c r="F24" s="105">
        <v>5</v>
      </c>
      <c r="G24" s="105">
        <v>4</v>
      </c>
      <c r="H24" s="106">
        <v>5</v>
      </c>
      <c r="I24" s="105">
        <v>4</v>
      </c>
      <c r="J24">
        <f t="shared" si="8"/>
        <v>19</v>
      </c>
      <c r="K24">
        <f t="shared" si="9"/>
        <v>3.9583333333333335</v>
      </c>
    </row>
    <row r="25" spans="1:13" x14ac:dyDescent="0.35">
      <c r="A25" t="s">
        <v>754</v>
      </c>
      <c r="B25">
        <v>0</v>
      </c>
      <c r="C25" s="109">
        <v>0</v>
      </c>
      <c r="D25" s="109">
        <v>0</v>
      </c>
      <c r="E25" s="109">
        <v>0</v>
      </c>
      <c r="F25" s="109">
        <v>0</v>
      </c>
      <c r="G25" s="109">
        <v>2</v>
      </c>
      <c r="H25" s="110">
        <v>2</v>
      </c>
      <c r="I25" s="109">
        <v>3</v>
      </c>
      <c r="J25">
        <f t="shared" si="8"/>
        <v>7</v>
      </c>
      <c r="K25">
        <f t="shared" si="9"/>
        <v>1.4583333333333333</v>
      </c>
      <c r="M25" t="s">
        <v>755</v>
      </c>
    </row>
    <row r="26" spans="1:13" x14ac:dyDescent="0.35">
      <c r="A26" t="s">
        <v>756</v>
      </c>
      <c r="B26">
        <v>0</v>
      </c>
      <c r="C26" s="109">
        <v>0</v>
      </c>
      <c r="D26" s="109">
        <v>1</v>
      </c>
      <c r="E26" s="109">
        <v>0</v>
      </c>
      <c r="F26" s="109">
        <v>5</v>
      </c>
      <c r="G26" s="109">
        <v>2</v>
      </c>
      <c r="H26" s="110">
        <v>4</v>
      </c>
      <c r="I26" s="109">
        <v>3</v>
      </c>
      <c r="J26">
        <f t="shared" si="8"/>
        <v>15</v>
      </c>
      <c r="K26">
        <f t="shared" si="9"/>
        <v>3.125</v>
      </c>
      <c r="M26" t="s">
        <v>757</v>
      </c>
    </row>
    <row r="27" spans="1:13" x14ac:dyDescent="0.35">
      <c r="A27" t="s">
        <v>758</v>
      </c>
      <c r="B27">
        <v>0</v>
      </c>
      <c r="C27" s="109">
        <v>0</v>
      </c>
      <c r="D27" s="109">
        <v>1</v>
      </c>
      <c r="E27" s="109">
        <v>0</v>
      </c>
      <c r="F27" s="109">
        <v>3</v>
      </c>
      <c r="G27" s="109">
        <v>4</v>
      </c>
      <c r="H27" s="110">
        <v>5</v>
      </c>
      <c r="I27" s="109">
        <v>4</v>
      </c>
      <c r="J27">
        <f t="shared" si="8"/>
        <v>17</v>
      </c>
      <c r="K27">
        <f t="shared" si="9"/>
        <v>3.5416666666666665</v>
      </c>
      <c r="M27" t="s">
        <v>759</v>
      </c>
    </row>
    <row r="28" spans="1:13" x14ac:dyDescent="0.35">
      <c r="A28" t="s">
        <v>760</v>
      </c>
      <c r="B28">
        <v>0</v>
      </c>
      <c r="C28">
        <v>0</v>
      </c>
      <c r="D28">
        <v>0</v>
      </c>
      <c r="E28">
        <v>0</v>
      </c>
      <c r="F28">
        <v>5</v>
      </c>
      <c r="G28">
        <v>3</v>
      </c>
      <c r="H28">
        <v>5</v>
      </c>
      <c r="I28">
        <v>3</v>
      </c>
      <c r="J28">
        <f t="shared" si="8"/>
        <v>16</v>
      </c>
      <c r="K28">
        <f t="shared" si="9"/>
        <v>3.3333333333333335</v>
      </c>
    </row>
    <row r="29" spans="1:13" x14ac:dyDescent="0.35">
      <c r="A29" t="s">
        <v>761</v>
      </c>
      <c r="B29">
        <v>0</v>
      </c>
      <c r="C29">
        <v>0</v>
      </c>
      <c r="D29">
        <v>1</v>
      </c>
      <c r="E29">
        <v>0</v>
      </c>
      <c r="F29">
        <v>3</v>
      </c>
      <c r="G29">
        <v>5</v>
      </c>
      <c r="H29">
        <v>2</v>
      </c>
      <c r="I29">
        <v>4</v>
      </c>
      <c r="J29">
        <f t="shared" si="8"/>
        <v>15</v>
      </c>
      <c r="K29">
        <f t="shared" si="9"/>
        <v>3.125</v>
      </c>
    </row>
    <row r="30" spans="1:13" x14ac:dyDescent="0.35">
      <c r="A30" t="s">
        <v>762</v>
      </c>
      <c r="B30">
        <v>0</v>
      </c>
      <c r="C30" s="103">
        <v>0</v>
      </c>
      <c r="D30" s="103">
        <v>1</v>
      </c>
      <c r="E30" s="103">
        <v>0</v>
      </c>
      <c r="F30" s="103">
        <v>4</v>
      </c>
      <c r="G30" s="103">
        <v>4</v>
      </c>
      <c r="H30" s="104">
        <v>4</v>
      </c>
      <c r="I30" s="103">
        <v>4</v>
      </c>
      <c r="J30">
        <f t="shared" si="8"/>
        <v>17</v>
      </c>
      <c r="K30">
        <f t="shared" si="9"/>
        <v>3.5416666666666665</v>
      </c>
    </row>
    <row r="31" spans="1:13" x14ac:dyDescent="0.35">
      <c r="A31" t="s">
        <v>763</v>
      </c>
      <c r="B31">
        <v>0</v>
      </c>
      <c r="C31" s="103">
        <v>0</v>
      </c>
      <c r="D31" s="103">
        <v>1</v>
      </c>
      <c r="E31" s="103">
        <v>0</v>
      </c>
      <c r="F31" s="103">
        <v>4</v>
      </c>
      <c r="G31" s="103">
        <v>5</v>
      </c>
      <c r="H31" s="104">
        <v>5</v>
      </c>
      <c r="I31" s="103">
        <v>3</v>
      </c>
      <c r="J31">
        <f t="shared" si="8"/>
        <v>18</v>
      </c>
      <c r="K31">
        <f t="shared" si="9"/>
        <v>3.75</v>
      </c>
    </row>
    <row r="32" spans="1:13" s="80" customFormat="1" x14ac:dyDescent="0.35">
      <c r="A32" s="80" t="s">
        <v>764</v>
      </c>
      <c r="B32" s="80">
        <v>0</v>
      </c>
      <c r="C32" s="80">
        <v>1</v>
      </c>
      <c r="D32" s="80">
        <v>1</v>
      </c>
      <c r="E32" s="80">
        <v>0</v>
      </c>
      <c r="F32" s="80">
        <v>5</v>
      </c>
      <c r="G32" s="80">
        <v>3</v>
      </c>
      <c r="H32" s="80">
        <v>5</v>
      </c>
      <c r="I32" s="80">
        <v>3</v>
      </c>
      <c r="J32" s="80">
        <f t="shared" si="8"/>
        <v>18</v>
      </c>
      <c r="K32" s="80">
        <f t="shared" si="9"/>
        <v>3.75</v>
      </c>
    </row>
    <row r="33" spans="1:13" x14ac:dyDescent="0.35">
      <c r="A33" t="s">
        <v>765</v>
      </c>
      <c r="B33">
        <v>0</v>
      </c>
      <c r="C33" s="103">
        <v>0</v>
      </c>
      <c r="D33" s="103">
        <v>1</v>
      </c>
      <c r="E33" s="103">
        <v>0</v>
      </c>
      <c r="F33" s="103">
        <v>2</v>
      </c>
      <c r="G33" s="103">
        <v>2</v>
      </c>
      <c r="H33" s="104">
        <v>5</v>
      </c>
      <c r="I33" s="103">
        <v>1</v>
      </c>
      <c r="J33">
        <f t="shared" si="8"/>
        <v>11</v>
      </c>
      <c r="K33">
        <f t="shared" si="9"/>
        <v>2.2916666666666665</v>
      </c>
    </row>
    <row r="34" spans="1:13" x14ac:dyDescent="0.35">
      <c r="A34" s="15" t="s">
        <v>766</v>
      </c>
      <c r="B34">
        <v>0</v>
      </c>
      <c r="C34">
        <v>0</v>
      </c>
      <c r="D34">
        <v>1</v>
      </c>
      <c r="E34">
        <v>0</v>
      </c>
      <c r="F34">
        <v>5</v>
      </c>
      <c r="G34">
        <v>4</v>
      </c>
      <c r="H34">
        <v>5</v>
      </c>
      <c r="I34">
        <v>4</v>
      </c>
      <c r="J34">
        <f t="shared" si="6"/>
        <v>19</v>
      </c>
      <c r="K34">
        <f t="shared" si="7"/>
        <v>3.9583333333333335</v>
      </c>
    </row>
    <row r="35" spans="1:13" x14ac:dyDescent="0.35">
      <c r="A35" s="15" t="s">
        <v>767</v>
      </c>
      <c r="B35">
        <v>0</v>
      </c>
      <c r="C35">
        <v>0</v>
      </c>
      <c r="D35">
        <v>1</v>
      </c>
      <c r="E35">
        <v>0</v>
      </c>
      <c r="F35">
        <v>4</v>
      </c>
      <c r="G35">
        <v>3</v>
      </c>
      <c r="H35">
        <v>5</v>
      </c>
      <c r="I35">
        <v>3</v>
      </c>
      <c r="J35">
        <f t="shared" si="6"/>
        <v>16</v>
      </c>
      <c r="K35">
        <f t="shared" si="7"/>
        <v>3.3333333333333335</v>
      </c>
    </row>
    <row r="36" spans="1:13" x14ac:dyDescent="0.35">
      <c r="A36" s="15" t="s">
        <v>647</v>
      </c>
      <c r="B36">
        <v>0</v>
      </c>
      <c r="C36">
        <v>0</v>
      </c>
      <c r="D36">
        <v>1</v>
      </c>
      <c r="E36">
        <v>0</v>
      </c>
      <c r="F36">
        <v>5</v>
      </c>
      <c r="G36">
        <v>4</v>
      </c>
      <c r="H36">
        <v>5</v>
      </c>
      <c r="I36">
        <v>4</v>
      </c>
      <c r="J36">
        <f t="shared" si="6"/>
        <v>19</v>
      </c>
      <c r="K36">
        <f t="shared" si="7"/>
        <v>3.9583333333333335</v>
      </c>
    </row>
    <row r="37" spans="1:13" x14ac:dyDescent="0.35">
      <c r="A37" s="15" t="s">
        <v>768</v>
      </c>
      <c r="B37">
        <v>1</v>
      </c>
      <c r="C37">
        <v>0</v>
      </c>
      <c r="D37">
        <v>1</v>
      </c>
      <c r="E37">
        <v>1</v>
      </c>
      <c r="F37">
        <v>3</v>
      </c>
      <c r="G37">
        <v>3</v>
      </c>
      <c r="H37">
        <v>5</v>
      </c>
      <c r="I37">
        <v>4</v>
      </c>
      <c r="J37">
        <f t="shared" si="6"/>
        <v>18</v>
      </c>
      <c r="K37">
        <f t="shared" si="7"/>
        <v>3.75</v>
      </c>
    </row>
    <row r="38" spans="1:13" x14ac:dyDescent="0.35">
      <c r="A38" s="15" t="s">
        <v>769</v>
      </c>
      <c r="B38">
        <v>0</v>
      </c>
      <c r="C38">
        <v>0</v>
      </c>
      <c r="D38">
        <v>1</v>
      </c>
      <c r="E38">
        <v>0</v>
      </c>
      <c r="F38">
        <v>5</v>
      </c>
      <c r="G38">
        <v>5</v>
      </c>
      <c r="H38">
        <v>5</v>
      </c>
      <c r="I38">
        <v>5</v>
      </c>
      <c r="J38">
        <f t="shared" si="6"/>
        <v>21</v>
      </c>
      <c r="K38">
        <f t="shared" si="7"/>
        <v>4.375</v>
      </c>
    </row>
    <row r="39" spans="1:13" x14ac:dyDescent="0.35">
      <c r="A39" s="15" t="s">
        <v>770</v>
      </c>
      <c r="B39">
        <v>0</v>
      </c>
      <c r="C39">
        <v>0</v>
      </c>
      <c r="D39">
        <v>1</v>
      </c>
      <c r="E39">
        <v>0</v>
      </c>
      <c r="F39">
        <v>4</v>
      </c>
      <c r="G39">
        <v>4</v>
      </c>
      <c r="H39">
        <v>5</v>
      </c>
      <c r="I39">
        <v>2</v>
      </c>
      <c r="J39">
        <f t="shared" si="6"/>
        <v>16</v>
      </c>
      <c r="K39">
        <f t="shared" si="7"/>
        <v>3.3333333333333335</v>
      </c>
    </row>
    <row r="40" spans="1:13" x14ac:dyDescent="0.35">
      <c r="A40" s="15" t="s">
        <v>771</v>
      </c>
      <c r="B40">
        <v>0</v>
      </c>
      <c r="C40">
        <v>0</v>
      </c>
      <c r="D40">
        <v>1</v>
      </c>
      <c r="E40">
        <v>0</v>
      </c>
      <c r="F40">
        <v>4</v>
      </c>
      <c r="G40">
        <v>5</v>
      </c>
      <c r="H40">
        <v>5</v>
      </c>
      <c r="I40">
        <v>4</v>
      </c>
      <c r="J40">
        <f t="shared" si="6"/>
        <v>19</v>
      </c>
      <c r="K40">
        <f t="shared" si="7"/>
        <v>3.9583333333333335</v>
      </c>
    </row>
    <row r="41" spans="1:13" s="88" customFormat="1" x14ac:dyDescent="0.35">
      <c r="A41" s="97" t="s">
        <v>772</v>
      </c>
      <c r="B41" s="88">
        <v>0</v>
      </c>
      <c r="C41" s="88">
        <v>0</v>
      </c>
      <c r="D41" s="88">
        <v>1</v>
      </c>
      <c r="E41" s="88">
        <v>0</v>
      </c>
      <c r="F41" s="88">
        <v>5</v>
      </c>
      <c r="G41" s="88">
        <v>2</v>
      </c>
      <c r="H41" s="88">
        <v>3</v>
      </c>
      <c r="I41" s="88">
        <v>4</v>
      </c>
      <c r="J41" s="88">
        <f t="shared" si="6"/>
        <v>15</v>
      </c>
      <c r="K41" s="88">
        <f t="shared" si="7"/>
        <v>3.125</v>
      </c>
    </row>
    <row r="42" spans="1:13" s="88" customFormat="1" x14ac:dyDescent="0.35">
      <c r="A42" s="97" t="s">
        <v>773</v>
      </c>
      <c r="B42" s="88">
        <v>1</v>
      </c>
      <c r="C42" s="88">
        <v>0</v>
      </c>
      <c r="D42" s="88">
        <v>1</v>
      </c>
      <c r="E42" s="88">
        <v>0</v>
      </c>
      <c r="F42" s="88">
        <v>5</v>
      </c>
      <c r="G42" s="88">
        <v>3</v>
      </c>
      <c r="H42" s="88">
        <v>3</v>
      </c>
      <c r="I42" s="88">
        <v>4</v>
      </c>
      <c r="J42" s="88">
        <f t="shared" si="6"/>
        <v>17</v>
      </c>
      <c r="K42" s="88">
        <f t="shared" si="7"/>
        <v>3.5416666666666665</v>
      </c>
    </row>
    <row r="43" spans="1:13" x14ac:dyDescent="0.35">
      <c r="A43" s="15" t="s">
        <v>774</v>
      </c>
      <c r="B43">
        <v>0</v>
      </c>
      <c r="C43">
        <v>0</v>
      </c>
      <c r="D43">
        <v>0</v>
      </c>
      <c r="E43">
        <v>0</v>
      </c>
      <c r="F43">
        <v>5</v>
      </c>
      <c r="G43">
        <v>3</v>
      </c>
      <c r="H43">
        <v>3</v>
      </c>
      <c r="I43">
        <v>3</v>
      </c>
      <c r="J43">
        <f t="shared" si="6"/>
        <v>14</v>
      </c>
      <c r="K43">
        <f t="shared" si="7"/>
        <v>2.9166666666666665</v>
      </c>
    </row>
    <row r="44" spans="1:13" x14ac:dyDescent="0.35">
      <c r="A44" s="15" t="s">
        <v>775</v>
      </c>
      <c r="B44">
        <v>0</v>
      </c>
      <c r="C44">
        <v>0</v>
      </c>
      <c r="D44">
        <v>1</v>
      </c>
      <c r="E44">
        <v>0</v>
      </c>
      <c r="F44">
        <v>5</v>
      </c>
      <c r="G44">
        <v>5</v>
      </c>
      <c r="H44">
        <v>5</v>
      </c>
      <c r="I44">
        <v>3</v>
      </c>
      <c r="J44">
        <f t="shared" si="6"/>
        <v>19</v>
      </c>
      <c r="K44">
        <f t="shared" si="7"/>
        <v>3.9583333333333335</v>
      </c>
    </row>
    <row r="45" spans="1:13" x14ac:dyDescent="0.35">
      <c r="A45" s="15" t="s">
        <v>776</v>
      </c>
      <c r="B45">
        <v>0</v>
      </c>
      <c r="C45">
        <v>0</v>
      </c>
      <c r="D45">
        <v>1</v>
      </c>
      <c r="E45">
        <v>0</v>
      </c>
      <c r="F45">
        <v>3</v>
      </c>
      <c r="G45">
        <v>3</v>
      </c>
      <c r="H45">
        <v>5</v>
      </c>
      <c r="I45">
        <v>3</v>
      </c>
      <c r="J45">
        <f t="shared" ref="J45:J57" si="10">SUM(B45:I45)</f>
        <v>15</v>
      </c>
      <c r="K45">
        <f t="shared" ref="K45:K57" si="11">(J45*5)/24</f>
        <v>3.125</v>
      </c>
    </row>
    <row r="46" spans="1:13" x14ac:dyDescent="0.35">
      <c r="A46" s="15" t="s">
        <v>777</v>
      </c>
      <c r="B46">
        <v>0</v>
      </c>
      <c r="C46">
        <v>0</v>
      </c>
      <c r="D46">
        <v>1</v>
      </c>
      <c r="E46">
        <v>0</v>
      </c>
      <c r="F46">
        <v>5</v>
      </c>
      <c r="G46">
        <v>5</v>
      </c>
      <c r="H46">
        <v>5</v>
      </c>
      <c r="I46">
        <v>4</v>
      </c>
      <c r="J46">
        <f t="shared" si="10"/>
        <v>20</v>
      </c>
      <c r="K46">
        <f t="shared" si="11"/>
        <v>4.166666666666667</v>
      </c>
    </row>
    <row r="47" spans="1:13" x14ac:dyDescent="0.35">
      <c r="A47" t="s">
        <v>778</v>
      </c>
      <c r="B47">
        <v>0</v>
      </c>
      <c r="C47">
        <v>1</v>
      </c>
      <c r="D47">
        <v>1</v>
      </c>
      <c r="E47">
        <v>1</v>
      </c>
      <c r="F47">
        <v>5</v>
      </c>
      <c r="G47">
        <v>5</v>
      </c>
      <c r="H47">
        <v>5</v>
      </c>
      <c r="I47">
        <v>5</v>
      </c>
      <c r="J47">
        <f t="shared" ref="J47:J56" si="12">SUM(B47:I47)</f>
        <v>23</v>
      </c>
      <c r="K47">
        <f t="shared" ref="K47:K56" si="13">(J47*5)/24</f>
        <v>4.791666666666667</v>
      </c>
    </row>
    <row r="48" spans="1:13" x14ac:dyDescent="0.35">
      <c r="A48" t="s">
        <v>779</v>
      </c>
      <c r="B48">
        <v>0</v>
      </c>
      <c r="C48">
        <v>0</v>
      </c>
      <c r="D48">
        <v>1</v>
      </c>
      <c r="E48">
        <v>0</v>
      </c>
      <c r="F48">
        <v>2</v>
      </c>
      <c r="G48">
        <v>5</v>
      </c>
      <c r="H48">
        <v>5</v>
      </c>
      <c r="I48">
        <v>4</v>
      </c>
      <c r="J48">
        <f>SUM(B48:I48)</f>
        <v>17</v>
      </c>
      <c r="K48">
        <f>(J48*5)/24</f>
        <v>3.5416666666666665</v>
      </c>
      <c r="L48" t="s">
        <v>780</v>
      </c>
      <c r="M48" t="s">
        <v>781</v>
      </c>
    </row>
    <row r="49" spans="1:11" x14ac:dyDescent="0.35">
      <c r="A49" t="s">
        <v>782</v>
      </c>
      <c r="B49">
        <v>0</v>
      </c>
      <c r="C49">
        <v>0</v>
      </c>
      <c r="D49">
        <v>1</v>
      </c>
      <c r="E49">
        <v>0</v>
      </c>
      <c r="F49">
        <v>2</v>
      </c>
      <c r="G49">
        <v>3</v>
      </c>
      <c r="H49">
        <v>4</v>
      </c>
      <c r="I49">
        <v>1</v>
      </c>
      <c r="J49">
        <f t="shared" si="12"/>
        <v>11</v>
      </c>
      <c r="K49">
        <f t="shared" si="13"/>
        <v>2.2916666666666665</v>
      </c>
    </row>
    <row r="50" spans="1:11" s="88" customFormat="1" x14ac:dyDescent="0.35">
      <c r="A50" s="88" t="s">
        <v>783</v>
      </c>
      <c r="B50" s="88">
        <v>0</v>
      </c>
      <c r="C50" s="99">
        <v>1</v>
      </c>
      <c r="D50" s="99">
        <v>1</v>
      </c>
      <c r="E50" s="99">
        <v>0</v>
      </c>
      <c r="F50" s="99">
        <v>4</v>
      </c>
      <c r="G50" s="99">
        <v>4</v>
      </c>
      <c r="H50" s="100">
        <v>5</v>
      </c>
      <c r="I50" s="99">
        <v>3</v>
      </c>
      <c r="J50" s="88">
        <f t="shared" si="12"/>
        <v>18</v>
      </c>
      <c r="K50" s="88">
        <f t="shared" si="13"/>
        <v>3.75</v>
      </c>
    </row>
    <row r="51" spans="1:11" x14ac:dyDescent="0.35">
      <c r="A51" t="s">
        <v>784</v>
      </c>
      <c r="B51">
        <v>0</v>
      </c>
      <c r="C51" s="103">
        <v>1</v>
      </c>
      <c r="D51" s="103">
        <v>1</v>
      </c>
      <c r="E51" s="103">
        <v>0</v>
      </c>
      <c r="F51" s="103">
        <v>3</v>
      </c>
      <c r="G51" s="103">
        <v>4</v>
      </c>
      <c r="H51" s="104">
        <v>5</v>
      </c>
      <c r="I51" s="103">
        <v>5</v>
      </c>
      <c r="J51">
        <f t="shared" si="12"/>
        <v>19</v>
      </c>
      <c r="K51">
        <f t="shared" si="13"/>
        <v>3.9583333333333335</v>
      </c>
    </row>
    <row r="52" spans="1:11" x14ac:dyDescent="0.35">
      <c r="A52" t="s">
        <v>785</v>
      </c>
      <c r="B52">
        <v>0</v>
      </c>
      <c r="C52" s="105">
        <v>1</v>
      </c>
      <c r="D52" s="105">
        <v>1</v>
      </c>
      <c r="E52" s="105">
        <v>0</v>
      </c>
      <c r="F52" s="105">
        <v>5</v>
      </c>
      <c r="G52" s="105">
        <v>5</v>
      </c>
      <c r="H52" s="106">
        <v>5</v>
      </c>
      <c r="I52" s="105">
        <v>4</v>
      </c>
      <c r="J52">
        <f t="shared" si="12"/>
        <v>21</v>
      </c>
      <c r="K52">
        <f t="shared" si="13"/>
        <v>4.375</v>
      </c>
    </row>
    <row r="53" spans="1:11" x14ac:dyDescent="0.35">
      <c r="A53" t="s">
        <v>786</v>
      </c>
      <c r="B53">
        <v>0</v>
      </c>
      <c r="C53">
        <v>1</v>
      </c>
      <c r="D53">
        <v>1</v>
      </c>
      <c r="E53">
        <v>0</v>
      </c>
      <c r="F53">
        <v>5</v>
      </c>
      <c r="G53">
        <v>5</v>
      </c>
      <c r="H53">
        <v>5</v>
      </c>
      <c r="I53">
        <v>5</v>
      </c>
      <c r="J53">
        <f t="shared" si="12"/>
        <v>22</v>
      </c>
      <c r="K53">
        <f t="shared" si="13"/>
        <v>4.583333333333333</v>
      </c>
    </row>
    <row r="54" spans="1:11" x14ac:dyDescent="0.35">
      <c r="A54" t="s">
        <v>787</v>
      </c>
      <c r="B54">
        <v>0</v>
      </c>
      <c r="C54">
        <v>1</v>
      </c>
      <c r="D54">
        <v>1</v>
      </c>
      <c r="E54">
        <v>0</v>
      </c>
      <c r="F54">
        <v>5</v>
      </c>
      <c r="G54">
        <v>3</v>
      </c>
      <c r="H54">
        <v>5</v>
      </c>
      <c r="I54">
        <v>5</v>
      </c>
      <c r="J54">
        <f t="shared" si="12"/>
        <v>20</v>
      </c>
      <c r="K54">
        <f t="shared" si="13"/>
        <v>4.166666666666667</v>
      </c>
    </row>
    <row r="55" spans="1:11" x14ac:dyDescent="0.35">
      <c r="A55" t="s">
        <v>788</v>
      </c>
      <c r="B55">
        <v>0</v>
      </c>
      <c r="C55" s="103">
        <v>0</v>
      </c>
      <c r="D55" s="103">
        <v>1</v>
      </c>
      <c r="E55" s="103">
        <v>0</v>
      </c>
      <c r="F55" s="103">
        <v>1</v>
      </c>
      <c r="G55" s="103">
        <v>2</v>
      </c>
      <c r="H55" s="104">
        <v>2</v>
      </c>
      <c r="I55" s="103">
        <v>3</v>
      </c>
      <c r="J55">
        <f t="shared" si="12"/>
        <v>9</v>
      </c>
      <c r="K55">
        <f t="shared" si="13"/>
        <v>1.875</v>
      </c>
    </row>
    <row r="56" spans="1:11" x14ac:dyDescent="0.35">
      <c r="A56" t="s">
        <v>789</v>
      </c>
      <c r="B56">
        <v>0</v>
      </c>
      <c r="C56" s="103">
        <v>0</v>
      </c>
      <c r="D56" s="103">
        <v>1</v>
      </c>
      <c r="E56" s="103">
        <v>0</v>
      </c>
      <c r="F56" s="103">
        <v>2</v>
      </c>
      <c r="G56" s="103">
        <v>3</v>
      </c>
      <c r="H56" s="104">
        <v>4</v>
      </c>
      <c r="I56" s="103">
        <v>3</v>
      </c>
      <c r="J56">
        <f t="shared" si="12"/>
        <v>13</v>
      </c>
      <c r="K56">
        <f t="shared" si="13"/>
        <v>2.7083333333333335</v>
      </c>
    </row>
    <row r="57" spans="1:11" x14ac:dyDescent="0.35">
      <c r="A57" s="15" t="s">
        <v>790</v>
      </c>
      <c r="B57">
        <v>0</v>
      </c>
      <c r="C57">
        <v>0</v>
      </c>
      <c r="D57">
        <v>1</v>
      </c>
      <c r="E57">
        <v>0</v>
      </c>
      <c r="F57">
        <v>5</v>
      </c>
      <c r="G57">
        <v>5</v>
      </c>
      <c r="H57">
        <v>5</v>
      </c>
      <c r="I57">
        <v>5</v>
      </c>
      <c r="J57">
        <f t="shared" si="10"/>
        <v>21</v>
      </c>
      <c r="K57">
        <f t="shared" si="11"/>
        <v>4.375</v>
      </c>
    </row>
    <row r="58" spans="1:11" x14ac:dyDescent="0.35">
      <c r="A58" t="s">
        <v>791</v>
      </c>
      <c r="B58">
        <v>0</v>
      </c>
      <c r="C58">
        <v>0</v>
      </c>
      <c r="D58">
        <v>1</v>
      </c>
      <c r="E58">
        <v>0</v>
      </c>
      <c r="F58">
        <v>5</v>
      </c>
      <c r="G58">
        <v>5</v>
      </c>
      <c r="H58">
        <v>5</v>
      </c>
      <c r="I58">
        <v>4</v>
      </c>
      <c r="J58">
        <f t="shared" ref="J58" si="14">SUM(B58:I58)</f>
        <v>20</v>
      </c>
      <c r="K58">
        <f t="shared" ref="K58" si="15">(J58*5)/24</f>
        <v>4.166666666666667</v>
      </c>
    </row>
    <row r="60" spans="1:11" x14ac:dyDescent="0.35">
      <c r="A60" s="1" t="s">
        <v>792</v>
      </c>
      <c r="B60">
        <f t="shared" ref="B60:I60" si="16">SUM(B26:B58)</f>
        <v>2</v>
      </c>
      <c r="C60">
        <f t="shared" si="16"/>
        <v>7</v>
      </c>
      <c r="D60">
        <f t="shared" si="16"/>
        <v>31</v>
      </c>
      <c r="E60">
        <f t="shared" si="16"/>
        <v>2</v>
      </c>
      <c r="F60">
        <f t="shared" si="16"/>
        <v>133</v>
      </c>
      <c r="G60">
        <f t="shared" si="16"/>
        <v>126</v>
      </c>
      <c r="H60">
        <f t="shared" si="16"/>
        <v>149</v>
      </c>
      <c r="I60">
        <f t="shared" si="16"/>
        <v>119</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8344-4090-4B22-9E9D-C74AC489D1F1}">
  <dimension ref="A1:C52"/>
  <sheetViews>
    <sheetView topLeftCell="A37" workbookViewId="0">
      <selection activeCell="A2" sqref="A2:A52"/>
    </sheetView>
  </sheetViews>
  <sheetFormatPr defaultRowHeight="14.5" x14ac:dyDescent="0.35"/>
  <cols>
    <col min="1" max="1" width="46.7265625" customWidth="1"/>
    <col min="2" max="2" width="9.1796875" bestFit="1" customWidth="1"/>
    <col min="3" max="3" width="19.1796875" style="1" customWidth="1"/>
  </cols>
  <sheetData>
    <row r="1" spans="1:3" x14ac:dyDescent="0.35">
      <c r="A1" s="1" t="s">
        <v>712</v>
      </c>
      <c r="B1" t="s">
        <v>722</v>
      </c>
      <c r="C1" s="59"/>
    </row>
    <row r="2" spans="1:3" x14ac:dyDescent="0.35">
      <c r="A2" s="60" t="s">
        <v>496</v>
      </c>
      <c r="B2" s="59">
        <v>2.0833333000000001</v>
      </c>
    </row>
    <row r="3" spans="1:3" x14ac:dyDescent="0.35">
      <c r="A3" s="60" t="s">
        <v>728</v>
      </c>
      <c r="B3" s="59">
        <v>2.2916666999999999</v>
      </c>
    </row>
    <row r="4" spans="1:3" x14ac:dyDescent="0.35">
      <c r="A4" s="60" t="s">
        <v>729</v>
      </c>
      <c r="B4" s="59">
        <v>1.6666666999999999</v>
      </c>
    </row>
    <row r="5" spans="1:3" x14ac:dyDescent="0.35">
      <c r="A5" s="60" t="s">
        <v>793</v>
      </c>
      <c r="B5" s="59">
        <v>2.0833333000000001</v>
      </c>
    </row>
    <row r="6" spans="1:3" x14ac:dyDescent="0.35">
      <c r="A6" s="60" t="s">
        <v>732</v>
      </c>
      <c r="B6" s="59">
        <v>2.5</v>
      </c>
    </row>
    <row r="7" spans="1:3" x14ac:dyDescent="0.35">
      <c r="A7" s="60" t="s">
        <v>733</v>
      </c>
      <c r="B7" s="59">
        <v>2.2916666999999999</v>
      </c>
    </row>
    <row r="8" spans="1:3" x14ac:dyDescent="0.35">
      <c r="A8" s="60" t="s">
        <v>734</v>
      </c>
      <c r="B8" s="59">
        <v>3.3333333000000001</v>
      </c>
    </row>
    <row r="9" spans="1:3" x14ac:dyDescent="0.35">
      <c r="A9" s="60" t="s">
        <v>735</v>
      </c>
      <c r="B9" s="59">
        <v>1.25</v>
      </c>
    </row>
    <row r="10" spans="1:3" x14ac:dyDescent="0.35">
      <c r="A10" s="60" t="s">
        <v>736</v>
      </c>
      <c r="B10" s="59">
        <v>3.5416666999999999</v>
      </c>
    </row>
    <row r="11" spans="1:3" x14ac:dyDescent="0.35">
      <c r="A11" s="60" t="s">
        <v>739</v>
      </c>
      <c r="B11" s="59">
        <v>2.9166666999999999</v>
      </c>
    </row>
    <row r="12" spans="1:3" x14ac:dyDescent="0.35">
      <c r="A12" s="60" t="s">
        <v>740</v>
      </c>
      <c r="B12" s="59">
        <v>4.1666667000000004</v>
      </c>
    </row>
    <row r="13" spans="1:3" x14ac:dyDescent="0.35">
      <c r="A13" s="60" t="s">
        <v>742</v>
      </c>
      <c r="B13" s="59">
        <v>4.1666667000000004</v>
      </c>
    </row>
    <row r="14" spans="1:3" x14ac:dyDescent="0.35">
      <c r="A14" s="60" t="s">
        <v>743</v>
      </c>
      <c r="B14" s="59">
        <v>1.6666666999999999</v>
      </c>
    </row>
    <row r="15" spans="1:3" x14ac:dyDescent="0.35">
      <c r="A15" s="60" t="s">
        <v>744</v>
      </c>
      <c r="B15" s="59">
        <v>2.2916666999999999</v>
      </c>
    </row>
    <row r="16" spans="1:3" x14ac:dyDescent="0.35">
      <c r="A16" s="60" t="s">
        <v>745</v>
      </c>
      <c r="B16" s="59">
        <v>2.5</v>
      </c>
    </row>
    <row r="17" spans="1:2" x14ac:dyDescent="0.35">
      <c r="A17" s="60" t="s">
        <v>746</v>
      </c>
      <c r="B17" s="59">
        <v>2.9166666999999999</v>
      </c>
    </row>
    <row r="18" spans="1:2" x14ac:dyDescent="0.35">
      <c r="A18" s="60" t="s">
        <v>794</v>
      </c>
      <c r="B18" s="59">
        <v>3.3333333000000001</v>
      </c>
    </row>
    <row r="19" spans="1:2" x14ac:dyDescent="0.35">
      <c r="A19" s="112" t="s">
        <v>748</v>
      </c>
      <c r="B19" s="59">
        <v>1.6666666999999999</v>
      </c>
    </row>
    <row r="20" spans="1:2" x14ac:dyDescent="0.35">
      <c r="A20" s="60" t="s">
        <v>749</v>
      </c>
      <c r="B20" s="59">
        <v>2.9166666999999999</v>
      </c>
    </row>
    <row r="21" spans="1:2" x14ac:dyDescent="0.35">
      <c r="A21" s="60" t="s">
        <v>752</v>
      </c>
      <c r="B21" s="59">
        <v>3.125</v>
      </c>
    </row>
    <row r="22" spans="1:2" x14ac:dyDescent="0.35">
      <c r="A22" s="60" t="s">
        <v>753</v>
      </c>
      <c r="B22" s="59">
        <v>3.9583333000000001</v>
      </c>
    </row>
    <row r="23" spans="1:2" x14ac:dyDescent="0.35">
      <c r="A23" s="60" t="s">
        <v>754</v>
      </c>
      <c r="B23" s="59">
        <v>1.4583333000000001</v>
      </c>
    </row>
    <row r="24" spans="1:2" x14ac:dyDescent="0.35">
      <c r="A24" s="60" t="s">
        <v>756</v>
      </c>
      <c r="B24" s="59">
        <v>3.125</v>
      </c>
    </row>
    <row r="25" spans="1:2" x14ac:dyDescent="0.35">
      <c r="A25" s="60" t="s">
        <v>758</v>
      </c>
      <c r="B25" s="59">
        <v>3.5416666999999999</v>
      </c>
    </row>
    <row r="26" spans="1:2" x14ac:dyDescent="0.35">
      <c r="A26" s="60" t="s">
        <v>760</v>
      </c>
      <c r="B26" s="59">
        <v>3.3333333000000001</v>
      </c>
    </row>
    <row r="27" spans="1:2" x14ac:dyDescent="0.35">
      <c r="A27" s="60" t="s">
        <v>761</v>
      </c>
      <c r="B27" s="59">
        <v>3.125</v>
      </c>
    </row>
    <row r="28" spans="1:2" x14ac:dyDescent="0.35">
      <c r="A28" s="60" t="s">
        <v>762</v>
      </c>
      <c r="B28" s="59">
        <v>3.5416666999999999</v>
      </c>
    </row>
    <row r="29" spans="1:2" x14ac:dyDescent="0.35">
      <c r="A29" s="60" t="s">
        <v>763</v>
      </c>
      <c r="B29" s="59">
        <v>3.75</v>
      </c>
    </row>
    <row r="30" spans="1:2" x14ac:dyDescent="0.35">
      <c r="A30" s="60" t="s">
        <v>765</v>
      </c>
      <c r="B30" s="59">
        <v>2.2916666999999999</v>
      </c>
    </row>
    <row r="31" spans="1:2" x14ac:dyDescent="0.35">
      <c r="A31" s="112" t="s">
        <v>766</v>
      </c>
      <c r="B31" s="59">
        <v>3.9583333000000001</v>
      </c>
    </row>
    <row r="32" spans="1:2" x14ac:dyDescent="0.35">
      <c r="A32" s="112" t="s">
        <v>767</v>
      </c>
      <c r="B32" s="59">
        <v>3.3333333000000001</v>
      </c>
    </row>
    <row r="33" spans="1:2" x14ac:dyDescent="0.35">
      <c r="A33" s="112" t="s">
        <v>647</v>
      </c>
      <c r="B33" s="59">
        <v>3.9583333000000001</v>
      </c>
    </row>
    <row r="34" spans="1:2" x14ac:dyDescent="0.35">
      <c r="A34" s="112" t="s">
        <v>768</v>
      </c>
      <c r="B34" s="1">
        <v>3.75</v>
      </c>
    </row>
    <row r="35" spans="1:2" x14ac:dyDescent="0.35">
      <c r="A35" s="112" t="s">
        <v>769</v>
      </c>
      <c r="B35" s="1">
        <v>4.375</v>
      </c>
    </row>
    <row r="36" spans="1:2" x14ac:dyDescent="0.35">
      <c r="A36" s="112" t="s">
        <v>770</v>
      </c>
      <c r="B36" s="59">
        <v>3.3333333000000001</v>
      </c>
    </row>
    <row r="37" spans="1:2" x14ac:dyDescent="0.35">
      <c r="A37" s="112" t="s">
        <v>771</v>
      </c>
      <c r="B37" s="1">
        <v>3.9583333000000001</v>
      </c>
    </row>
    <row r="38" spans="1:2" x14ac:dyDescent="0.35">
      <c r="A38" s="112" t="s">
        <v>774</v>
      </c>
      <c r="B38" s="1">
        <v>2.9166666999999999</v>
      </c>
    </row>
    <row r="39" spans="1:2" x14ac:dyDescent="0.35">
      <c r="A39" s="112" t="s">
        <v>775</v>
      </c>
      <c r="B39" s="1">
        <v>3.9583333000000001</v>
      </c>
    </row>
    <row r="40" spans="1:2" x14ac:dyDescent="0.35">
      <c r="A40" s="112" t="s">
        <v>776</v>
      </c>
      <c r="B40" s="1">
        <v>3.125</v>
      </c>
    </row>
    <row r="41" spans="1:2" x14ac:dyDescent="0.35">
      <c r="A41" s="112" t="s">
        <v>777</v>
      </c>
      <c r="B41" s="1">
        <v>4.1666667000000004</v>
      </c>
    </row>
    <row r="42" spans="1:2" x14ac:dyDescent="0.35">
      <c r="A42" s="60" t="s">
        <v>795</v>
      </c>
      <c r="B42" s="1">
        <v>4.7916667000000004</v>
      </c>
    </row>
    <row r="43" spans="1:2" x14ac:dyDescent="0.35">
      <c r="A43" s="60" t="s">
        <v>779</v>
      </c>
      <c r="B43" s="1">
        <v>3.5416666999999999</v>
      </c>
    </row>
    <row r="44" spans="1:2" x14ac:dyDescent="0.35">
      <c r="A44" s="60" t="s">
        <v>782</v>
      </c>
      <c r="B44" s="1">
        <v>2.2916666999999999</v>
      </c>
    </row>
    <row r="45" spans="1:2" x14ac:dyDescent="0.35">
      <c r="A45" s="60" t="s">
        <v>784</v>
      </c>
      <c r="B45" s="1">
        <v>3.9583333000000001</v>
      </c>
    </row>
    <row r="46" spans="1:2" x14ac:dyDescent="0.35">
      <c r="A46" s="60" t="s">
        <v>785</v>
      </c>
      <c r="B46" s="1">
        <v>4.375</v>
      </c>
    </row>
    <row r="47" spans="1:2" x14ac:dyDescent="0.35">
      <c r="A47" s="60" t="s">
        <v>786</v>
      </c>
      <c r="B47" s="1">
        <v>4.5833332999999996</v>
      </c>
    </row>
    <row r="48" spans="1:2" x14ac:dyDescent="0.35">
      <c r="A48" s="60" t="s">
        <v>787</v>
      </c>
      <c r="B48" s="1">
        <v>4.1666667000000004</v>
      </c>
    </row>
    <row r="49" spans="1:2" x14ac:dyDescent="0.35">
      <c r="A49" s="60" t="s">
        <v>788</v>
      </c>
      <c r="B49" s="1">
        <v>1.875</v>
      </c>
    </row>
    <row r="50" spans="1:2" x14ac:dyDescent="0.35">
      <c r="A50" s="60" t="s">
        <v>789</v>
      </c>
      <c r="B50" s="1">
        <v>2.7083333000000001</v>
      </c>
    </row>
    <row r="51" spans="1:2" x14ac:dyDescent="0.35">
      <c r="A51" s="112" t="s">
        <v>790</v>
      </c>
      <c r="B51" s="1">
        <v>4.375</v>
      </c>
    </row>
    <row r="52" spans="1:2" x14ac:dyDescent="0.35">
      <c r="A52" s="60" t="s">
        <v>791</v>
      </c>
      <c r="B52" s="1">
        <v>4.1666670000000003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5E2A9-C76A-41CA-823F-37A059654DD2}">
  <dimension ref="A1:AD387"/>
  <sheetViews>
    <sheetView topLeftCell="C1" workbookViewId="0">
      <selection activeCell="H368" sqref="H368:J368"/>
    </sheetView>
  </sheetViews>
  <sheetFormatPr defaultRowHeight="14.5" x14ac:dyDescent="0.35"/>
  <cols>
    <col min="2" max="2" width="15" customWidth="1"/>
    <col min="3" max="3" width="16.81640625" customWidth="1"/>
    <col min="4" max="4" width="19.1796875" customWidth="1"/>
    <col min="5" max="5" width="25" customWidth="1"/>
    <col min="9" max="9" width="9" customWidth="1"/>
    <col min="12" max="12" width="14.54296875" customWidth="1"/>
    <col min="19" max="19" width="14.7265625" customWidth="1"/>
  </cols>
  <sheetData>
    <row r="1" spans="1:24" x14ac:dyDescent="0.35">
      <c r="A1" s="15" t="s">
        <v>796</v>
      </c>
      <c r="B1" s="37" t="s">
        <v>797</v>
      </c>
      <c r="C1" s="38" t="s">
        <v>798</v>
      </c>
      <c r="D1" s="39" t="s">
        <v>799</v>
      </c>
      <c r="E1" s="47" t="s">
        <v>800</v>
      </c>
      <c r="F1" s="126" t="s">
        <v>801</v>
      </c>
      <c r="G1" s="126"/>
      <c r="H1" s="126"/>
      <c r="I1" s="126"/>
      <c r="J1" s="15"/>
      <c r="K1" s="15"/>
      <c r="L1" s="15"/>
      <c r="M1" s="15"/>
      <c r="N1" s="15"/>
      <c r="O1" s="15"/>
      <c r="P1" s="15"/>
      <c r="Q1" s="15"/>
      <c r="R1" s="15"/>
      <c r="S1" s="15"/>
      <c r="T1" s="15"/>
      <c r="U1" s="15"/>
      <c r="V1" s="15"/>
      <c r="W1" s="15"/>
      <c r="X1" s="15"/>
    </row>
    <row r="2" spans="1:24" x14ac:dyDescent="0.35">
      <c r="A2" s="15"/>
      <c r="B2" s="15"/>
      <c r="C2" s="15"/>
      <c r="D2" s="15"/>
      <c r="E2" s="15"/>
      <c r="F2" s="15"/>
      <c r="G2" s="15"/>
      <c r="H2" s="15"/>
      <c r="I2" s="15"/>
      <c r="J2" s="15"/>
      <c r="K2" s="15"/>
      <c r="L2" s="15"/>
      <c r="M2" s="15"/>
      <c r="N2" s="15"/>
      <c r="O2" s="15"/>
      <c r="P2" s="15"/>
      <c r="Q2" s="15"/>
      <c r="R2" s="15"/>
      <c r="S2" s="15"/>
      <c r="T2" s="15"/>
      <c r="U2" s="15"/>
      <c r="V2" s="15"/>
      <c r="W2" s="15"/>
      <c r="X2" s="15"/>
    </row>
    <row r="3" spans="1:24" x14ac:dyDescent="0.35">
      <c r="A3" s="15" t="s">
        <v>802</v>
      </c>
      <c r="B3" s="41" t="s">
        <v>0</v>
      </c>
      <c r="C3" s="41" t="s">
        <v>1</v>
      </c>
      <c r="D3" s="41" t="s">
        <v>410</v>
      </c>
      <c r="E3" s="41" t="s">
        <v>803</v>
      </c>
      <c r="F3" s="41" t="s">
        <v>411</v>
      </c>
      <c r="G3" s="41" t="s">
        <v>413</v>
      </c>
      <c r="H3" s="41" t="s">
        <v>414</v>
      </c>
      <c r="I3" s="41" t="s">
        <v>415</v>
      </c>
      <c r="J3" s="41" t="s">
        <v>7</v>
      </c>
      <c r="K3" s="41" t="s">
        <v>417</v>
      </c>
      <c r="L3" s="41" t="s">
        <v>418</v>
      </c>
      <c r="M3" s="41" t="s">
        <v>419</v>
      </c>
      <c r="N3" s="41" t="s">
        <v>420</v>
      </c>
      <c r="O3" s="41" t="s">
        <v>421</v>
      </c>
      <c r="P3" s="41" t="s">
        <v>422</v>
      </c>
      <c r="Q3" s="41" t="s">
        <v>423</v>
      </c>
      <c r="R3" s="41" t="s">
        <v>424</v>
      </c>
      <c r="S3" s="41" t="s">
        <v>425</v>
      </c>
      <c r="T3" s="41" t="s">
        <v>426</v>
      </c>
      <c r="U3" s="41" t="s">
        <v>804</v>
      </c>
      <c r="V3" s="41"/>
      <c r="W3" s="15"/>
      <c r="X3" s="15"/>
    </row>
    <row r="4" spans="1:24" x14ac:dyDescent="0.35">
      <c r="A4" s="37">
        <v>36</v>
      </c>
      <c r="B4" s="37" t="s">
        <v>805</v>
      </c>
      <c r="C4" s="37">
        <v>2021</v>
      </c>
      <c r="D4" s="37" t="s">
        <v>806</v>
      </c>
      <c r="E4" s="37" t="s">
        <v>807</v>
      </c>
      <c r="F4" s="42" t="s">
        <v>808</v>
      </c>
      <c r="G4" s="42" t="s">
        <v>808</v>
      </c>
      <c r="H4" s="42" t="s">
        <v>808</v>
      </c>
      <c r="I4" s="42" t="s">
        <v>808</v>
      </c>
      <c r="J4" s="42" t="s">
        <v>808</v>
      </c>
      <c r="K4" s="42" t="s">
        <v>808</v>
      </c>
      <c r="L4" s="42" t="s">
        <v>808</v>
      </c>
      <c r="M4" s="42" t="s">
        <v>808</v>
      </c>
      <c r="N4" s="42" t="s">
        <v>808</v>
      </c>
      <c r="O4" s="42" t="s">
        <v>808</v>
      </c>
      <c r="P4" s="42" t="s">
        <v>808</v>
      </c>
      <c r="Q4" s="42" t="s">
        <v>808</v>
      </c>
      <c r="R4" s="42" t="s">
        <v>808</v>
      </c>
      <c r="S4" s="42" t="s">
        <v>808</v>
      </c>
      <c r="T4" s="42" t="s">
        <v>808</v>
      </c>
      <c r="U4" s="37" t="s">
        <v>809</v>
      </c>
      <c r="V4" s="37"/>
      <c r="W4" s="37"/>
      <c r="X4" s="37" t="s">
        <v>810</v>
      </c>
    </row>
    <row r="5" spans="1:24" x14ac:dyDescent="0.35">
      <c r="A5" s="37">
        <v>37</v>
      </c>
      <c r="B5" s="37" t="s">
        <v>811</v>
      </c>
      <c r="C5" s="37">
        <v>2020</v>
      </c>
      <c r="D5" s="37" t="s">
        <v>812</v>
      </c>
      <c r="E5" s="37" t="s">
        <v>813</v>
      </c>
      <c r="F5" s="42" t="s">
        <v>808</v>
      </c>
      <c r="G5" s="42" t="s">
        <v>808</v>
      </c>
      <c r="H5" s="42" t="s">
        <v>808</v>
      </c>
      <c r="I5" s="42" t="s">
        <v>808</v>
      </c>
      <c r="J5" s="42" t="s">
        <v>808</v>
      </c>
      <c r="K5" s="42" t="s">
        <v>808</v>
      </c>
      <c r="L5" s="42" t="s">
        <v>808</v>
      </c>
      <c r="M5" s="42" t="s">
        <v>808</v>
      </c>
      <c r="N5" s="42" t="s">
        <v>808</v>
      </c>
      <c r="O5" s="42" t="s">
        <v>808</v>
      </c>
      <c r="P5" s="42" t="s">
        <v>808</v>
      </c>
      <c r="Q5" s="42" t="s">
        <v>808</v>
      </c>
      <c r="R5" s="42" t="s">
        <v>808</v>
      </c>
      <c r="S5" s="42" t="s">
        <v>808</v>
      </c>
      <c r="T5" s="42" t="s">
        <v>808</v>
      </c>
      <c r="U5" s="37" t="s">
        <v>809</v>
      </c>
      <c r="V5" s="37"/>
      <c r="W5" s="37"/>
      <c r="X5" s="37" t="s">
        <v>810</v>
      </c>
    </row>
    <row r="6" spans="1:24" x14ac:dyDescent="0.35">
      <c r="A6" s="40">
        <v>38</v>
      </c>
      <c r="B6" s="40" t="s">
        <v>814</v>
      </c>
      <c r="C6" s="40">
        <v>2021</v>
      </c>
      <c r="D6" s="40" t="s">
        <v>815</v>
      </c>
      <c r="E6" s="40" t="s">
        <v>807</v>
      </c>
      <c r="F6" s="40" t="s">
        <v>816</v>
      </c>
      <c r="G6" s="40" t="s">
        <v>817</v>
      </c>
      <c r="H6" s="40" t="s">
        <v>37</v>
      </c>
      <c r="I6" s="40" t="s">
        <v>818</v>
      </c>
      <c r="J6" s="40" t="s">
        <v>132</v>
      </c>
      <c r="K6" s="43" t="s">
        <v>808</v>
      </c>
      <c r="L6" s="43" t="s">
        <v>808</v>
      </c>
      <c r="M6" s="43" t="s">
        <v>808</v>
      </c>
      <c r="N6" s="43" t="s">
        <v>808</v>
      </c>
      <c r="O6" s="43" t="s">
        <v>808</v>
      </c>
      <c r="P6" s="43" t="s">
        <v>808</v>
      </c>
      <c r="Q6" s="43" t="s">
        <v>808</v>
      </c>
      <c r="R6" s="40" t="s">
        <v>819</v>
      </c>
      <c r="S6" s="40" t="s">
        <v>820</v>
      </c>
      <c r="T6" s="40" t="s">
        <v>821</v>
      </c>
      <c r="U6" s="43" t="s">
        <v>808</v>
      </c>
      <c r="V6" s="40" t="s">
        <v>810</v>
      </c>
      <c r="W6" s="40" t="s">
        <v>810</v>
      </c>
      <c r="X6" s="40" t="s">
        <v>810</v>
      </c>
    </row>
    <row r="7" spans="1:24" x14ac:dyDescent="0.35">
      <c r="A7" s="123"/>
      <c r="B7" s="123"/>
      <c r="C7" s="123"/>
      <c r="D7" s="123"/>
      <c r="E7" s="123"/>
      <c r="F7" s="123"/>
      <c r="G7" s="123"/>
      <c r="H7" s="123"/>
      <c r="I7" s="123"/>
      <c r="J7" s="123"/>
      <c r="K7" s="123"/>
      <c r="L7" s="123" t="s">
        <v>822</v>
      </c>
      <c r="M7" s="123"/>
      <c r="N7" s="123"/>
      <c r="O7" s="123"/>
      <c r="P7" s="123"/>
      <c r="Q7" s="123"/>
      <c r="R7" s="123"/>
      <c r="S7" s="123"/>
      <c r="T7" s="15"/>
      <c r="U7" s="15"/>
      <c r="V7" s="15"/>
      <c r="W7" s="15"/>
      <c r="X7" s="15"/>
    </row>
    <row r="8" spans="1:24" x14ac:dyDescent="0.35">
      <c r="A8" s="123"/>
      <c r="B8" s="123"/>
      <c r="C8" s="123"/>
      <c r="D8" s="123"/>
      <c r="E8" s="123"/>
      <c r="F8" s="123"/>
      <c r="G8" s="123"/>
      <c r="H8" s="123"/>
      <c r="I8" s="123"/>
      <c r="J8" s="123"/>
      <c r="K8" s="123"/>
      <c r="L8" s="15" t="s">
        <v>823</v>
      </c>
      <c r="M8" s="15">
        <v>83.6</v>
      </c>
      <c r="N8" s="15"/>
      <c r="O8" s="15"/>
      <c r="P8" s="15"/>
      <c r="Q8" s="15"/>
      <c r="R8" s="15"/>
      <c r="S8" s="15"/>
      <c r="T8" s="15"/>
      <c r="U8" s="15"/>
      <c r="V8" s="15"/>
      <c r="W8" s="15"/>
      <c r="X8" s="15"/>
    </row>
    <row r="9" spans="1:24" x14ac:dyDescent="0.35">
      <c r="A9" s="123"/>
      <c r="B9" s="123"/>
      <c r="C9" s="123"/>
      <c r="D9" s="123"/>
      <c r="E9" s="123"/>
      <c r="F9" s="123"/>
      <c r="G9" s="123"/>
      <c r="H9" s="123"/>
      <c r="I9" s="123"/>
      <c r="J9" s="123"/>
      <c r="K9" s="123"/>
      <c r="L9" s="15" t="s">
        <v>824</v>
      </c>
      <c r="M9" s="15">
        <v>83.3</v>
      </c>
      <c r="N9" s="15"/>
      <c r="O9" s="15"/>
      <c r="P9" s="15"/>
      <c r="Q9" s="15"/>
      <c r="R9" s="15"/>
      <c r="S9" s="15"/>
      <c r="T9" s="15"/>
      <c r="U9" s="15"/>
      <c r="V9" s="15"/>
      <c r="W9" s="15"/>
      <c r="X9" s="15"/>
    </row>
    <row r="10" spans="1:24" x14ac:dyDescent="0.35">
      <c r="A10" s="123"/>
      <c r="B10" s="123"/>
      <c r="C10" s="123"/>
      <c r="D10" s="123"/>
      <c r="E10" s="123"/>
      <c r="F10" s="123"/>
      <c r="G10" s="123"/>
      <c r="H10" s="123"/>
      <c r="I10" s="123"/>
      <c r="J10" s="123"/>
      <c r="K10" s="123"/>
      <c r="L10" s="15" t="s">
        <v>825</v>
      </c>
      <c r="M10" s="15">
        <v>83.8</v>
      </c>
      <c r="N10" s="15"/>
      <c r="O10" s="15"/>
      <c r="P10" s="15"/>
      <c r="Q10" s="15"/>
      <c r="R10" s="15"/>
      <c r="S10" s="15"/>
      <c r="T10" s="15"/>
      <c r="U10" s="15"/>
      <c r="V10" s="123" t="s">
        <v>826</v>
      </c>
      <c r="W10" s="123"/>
      <c r="X10" s="123"/>
    </row>
    <row r="11" spans="1:24" x14ac:dyDescent="0.35">
      <c r="A11" s="123"/>
      <c r="B11" s="123"/>
      <c r="C11" s="123"/>
      <c r="D11" s="123"/>
      <c r="E11" s="123"/>
      <c r="F11" s="123"/>
      <c r="G11" s="123"/>
      <c r="H11" s="123"/>
      <c r="I11" s="123"/>
      <c r="J11" s="123"/>
      <c r="K11" s="123"/>
      <c r="L11" s="123" t="s">
        <v>638</v>
      </c>
      <c r="M11" s="123"/>
      <c r="N11" s="123"/>
      <c r="O11" s="123"/>
      <c r="P11" s="123" t="s">
        <v>827</v>
      </c>
      <c r="Q11" s="123"/>
      <c r="R11" s="123"/>
      <c r="S11" s="123"/>
      <c r="T11" s="15"/>
      <c r="U11" s="15"/>
      <c r="V11" s="15"/>
      <c r="W11" s="15" t="s">
        <v>823</v>
      </c>
      <c r="X11" s="15" t="s">
        <v>825</v>
      </c>
    </row>
    <row r="12" spans="1:24" x14ac:dyDescent="0.35">
      <c r="A12" s="123"/>
      <c r="B12" s="123"/>
      <c r="C12" s="123"/>
      <c r="D12" s="123"/>
      <c r="E12" s="123"/>
      <c r="F12" s="123"/>
      <c r="G12" s="123"/>
      <c r="H12" s="123"/>
      <c r="I12" s="123"/>
      <c r="J12" s="123"/>
      <c r="K12" s="123"/>
      <c r="L12" s="123" t="s">
        <v>828</v>
      </c>
      <c r="M12" s="123"/>
      <c r="N12" s="123"/>
      <c r="O12" s="15"/>
      <c r="P12" s="15"/>
      <c r="Q12" s="15" t="s">
        <v>643</v>
      </c>
      <c r="R12" s="15"/>
      <c r="S12" s="15"/>
      <c r="T12" s="15"/>
      <c r="U12" s="15"/>
      <c r="V12" s="15" t="s">
        <v>829</v>
      </c>
      <c r="W12" s="15">
        <v>80.8</v>
      </c>
      <c r="X12" s="15">
        <v>80.599999999999994</v>
      </c>
    </row>
    <row r="13" spans="1:24" x14ac:dyDescent="0.35">
      <c r="A13" s="123"/>
      <c r="B13" s="123"/>
      <c r="C13" s="123"/>
      <c r="D13" s="123"/>
      <c r="E13" s="123"/>
      <c r="F13" s="123"/>
      <c r="G13" s="123"/>
      <c r="H13" s="123"/>
      <c r="I13" s="123"/>
      <c r="J13" s="123"/>
      <c r="K13" s="123"/>
      <c r="L13" s="15"/>
      <c r="M13" s="15" t="s">
        <v>830</v>
      </c>
      <c r="N13" s="15" t="s">
        <v>831</v>
      </c>
      <c r="O13" s="44" t="s">
        <v>808</v>
      </c>
      <c r="P13" s="15" t="s">
        <v>832</v>
      </c>
      <c r="Q13" s="15" t="s">
        <v>652</v>
      </c>
      <c r="R13" s="15" t="s">
        <v>833</v>
      </c>
      <c r="S13" s="15"/>
      <c r="T13" s="15"/>
      <c r="U13" s="15"/>
      <c r="V13" s="15" t="s">
        <v>834</v>
      </c>
      <c r="W13" s="15">
        <v>67.5</v>
      </c>
      <c r="X13" s="15">
        <v>67.599999999999994</v>
      </c>
    </row>
    <row r="14" spans="1:24" x14ac:dyDescent="0.35">
      <c r="A14" s="123"/>
      <c r="B14" s="123"/>
      <c r="C14" s="123"/>
      <c r="D14" s="123"/>
      <c r="E14" s="123"/>
      <c r="F14" s="123"/>
      <c r="G14" s="123"/>
      <c r="H14" s="123"/>
      <c r="I14" s="123"/>
      <c r="J14" s="123"/>
      <c r="K14" s="123"/>
      <c r="L14" s="15" t="s">
        <v>835</v>
      </c>
      <c r="M14" s="15">
        <v>1708</v>
      </c>
      <c r="N14" s="15">
        <v>1689</v>
      </c>
      <c r="O14" s="15"/>
      <c r="P14" s="15">
        <v>1084</v>
      </c>
      <c r="Q14" s="44" t="s">
        <v>808</v>
      </c>
      <c r="R14" s="15">
        <v>1103</v>
      </c>
      <c r="S14" s="15"/>
      <c r="T14" s="15"/>
      <c r="U14" s="15"/>
      <c r="V14" s="15" t="s">
        <v>836</v>
      </c>
      <c r="W14" s="15">
        <v>83.6</v>
      </c>
      <c r="X14" s="15">
        <v>83.8</v>
      </c>
    </row>
    <row r="15" spans="1:24" x14ac:dyDescent="0.35">
      <c r="A15" s="123"/>
      <c r="B15" s="123"/>
      <c r="C15" s="123"/>
      <c r="D15" s="123"/>
      <c r="E15" s="123"/>
      <c r="F15" s="123"/>
      <c r="G15" s="123"/>
      <c r="H15" s="123"/>
      <c r="I15" s="123"/>
      <c r="J15" s="123"/>
      <c r="K15" s="123"/>
      <c r="L15" s="15" t="s">
        <v>417</v>
      </c>
      <c r="M15" s="15">
        <v>83.6</v>
      </c>
      <c r="N15" s="15">
        <v>83.5</v>
      </c>
      <c r="O15" s="44" t="s">
        <v>808</v>
      </c>
      <c r="P15" s="15">
        <v>86.1</v>
      </c>
      <c r="Q15" s="44" t="s">
        <v>808</v>
      </c>
      <c r="R15" s="15">
        <v>80</v>
      </c>
      <c r="S15" s="15"/>
      <c r="T15" s="15"/>
      <c r="U15" s="15"/>
      <c r="V15" s="15"/>
      <c r="W15" s="15"/>
      <c r="X15" s="15"/>
    </row>
    <row r="16" spans="1:24" x14ac:dyDescent="0.35">
      <c r="A16" s="123"/>
      <c r="B16" s="123"/>
      <c r="C16" s="123"/>
      <c r="D16" s="123"/>
      <c r="E16" s="123"/>
      <c r="F16" s="123"/>
      <c r="G16" s="123"/>
      <c r="H16" s="123"/>
      <c r="I16" s="123"/>
      <c r="J16" s="123"/>
      <c r="K16" s="123"/>
      <c r="L16" s="15" t="s">
        <v>823</v>
      </c>
      <c r="M16" s="124" t="s">
        <v>808</v>
      </c>
      <c r="N16" s="124"/>
      <c r="O16" s="124"/>
      <c r="P16" s="124" t="s">
        <v>808</v>
      </c>
      <c r="Q16" s="124"/>
      <c r="R16" s="124"/>
      <c r="S16" s="15"/>
      <c r="T16" s="15"/>
      <c r="U16" s="15"/>
      <c r="V16" s="15"/>
      <c r="W16" s="15"/>
      <c r="X16" s="15"/>
    </row>
    <row r="17" spans="1:24" x14ac:dyDescent="0.35">
      <c r="A17" s="123"/>
      <c r="B17" s="123"/>
      <c r="C17" s="123"/>
      <c r="D17" s="123"/>
      <c r="E17" s="123"/>
      <c r="F17" s="123"/>
      <c r="G17" s="123"/>
      <c r="H17" s="123"/>
      <c r="I17" s="123"/>
      <c r="J17" s="123"/>
      <c r="K17" s="123"/>
      <c r="L17" s="15" t="s">
        <v>824</v>
      </c>
      <c r="M17" s="123">
        <v>83.55</v>
      </c>
      <c r="N17" s="123"/>
      <c r="O17" s="123"/>
      <c r="P17" s="123">
        <v>83.05</v>
      </c>
      <c r="Q17" s="123"/>
      <c r="R17" s="123"/>
      <c r="S17" s="15"/>
      <c r="T17" s="15"/>
      <c r="U17" s="15"/>
      <c r="V17" s="15"/>
      <c r="W17" s="15"/>
      <c r="X17" s="15"/>
    </row>
    <row r="18" spans="1:24" x14ac:dyDescent="0.35">
      <c r="A18" s="123"/>
      <c r="B18" s="123"/>
      <c r="C18" s="123"/>
      <c r="D18" s="123"/>
      <c r="E18" s="123"/>
      <c r="F18" s="123"/>
      <c r="G18" s="123"/>
      <c r="H18" s="123"/>
      <c r="I18" s="123"/>
      <c r="J18" s="123"/>
      <c r="K18" s="123"/>
      <c r="L18" s="15"/>
      <c r="M18" s="15"/>
      <c r="N18" s="15"/>
      <c r="O18" s="15"/>
      <c r="P18" s="15"/>
      <c r="Q18" s="15"/>
      <c r="R18" s="15"/>
      <c r="S18" s="15"/>
      <c r="T18" s="15"/>
      <c r="U18" s="15"/>
      <c r="V18" s="15"/>
      <c r="W18" s="15"/>
      <c r="X18" s="15"/>
    </row>
    <row r="19" spans="1:24" x14ac:dyDescent="0.35">
      <c r="A19" s="123"/>
      <c r="B19" s="123"/>
      <c r="C19" s="123"/>
      <c r="D19" s="123"/>
      <c r="E19" s="123"/>
      <c r="F19" s="123"/>
      <c r="G19" s="123"/>
      <c r="H19" s="123"/>
      <c r="I19" s="123"/>
      <c r="J19" s="123"/>
      <c r="K19" s="123"/>
      <c r="L19" s="123" t="s">
        <v>837</v>
      </c>
      <c r="M19" s="123"/>
      <c r="N19" s="123"/>
      <c r="O19" s="123"/>
      <c r="P19" s="123"/>
      <c r="Q19" s="123"/>
      <c r="R19" s="123"/>
      <c r="S19" s="123"/>
      <c r="T19" s="15"/>
      <c r="U19" s="15"/>
      <c r="V19" s="15"/>
      <c r="W19" s="15"/>
      <c r="X19" s="15"/>
    </row>
    <row r="20" spans="1:24" x14ac:dyDescent="0.35">
      <c r="A20" s="123"/>
      <c r="B20" s="123"/>
      <c r="C20" s="123"/>
      <c r="D20" s="123"/>
      <c r="E20" s="123"/>
      <c r="F20" s="123"/>
      <c r="G20" s="123"/>
      <c r="H20" s="123"/>
      <c r="I20" s="123"/>
      <c r="J20" s="123"/>
      <c r="K20" s="123"/>
      <c r="L20" s="15" t="s">
        <v>823</v>
      </c>
      <c r="M20" s="15">
        <v>68</v>
      </c>
      <c r="N20" s="15"/>
      <c r="O20" s="15"/>
      <c r="P20" s="15"/>
      <c r="Q20" s="15"/>
      <c r="R20" s="15"/>
      <c r="S20" s="15"/>
      <c r="T20" s="15"/>
      <c r="U20" s="15"/>
      <c r="V20" s="15"/>
      <c r="W20" s="15"/>
      <c r="X20" s="15"/>
    </row>
    <row r="21" spans="1:24" x14ac:dyDescent="0.35">
      <c r="A21" s="123"/>
      <c r="B21" s="123"/>
      <c r="C21" s="123"/>
      <c r="D21" s="123"/>
      <c r="E21" s="123"/>
      <c r="F21" s="123"/>
      <c r="G21" s="123"/>
      <c r="H21" s="123"/>
      <c r="I21" s="123"/>
      <c r="J21" s="123"/>
      <c r="K21" s="123"/>
      <c r="L21" s="15" t="s">
        <v>824</v>
      </c>
      <c r="M21" s="15">
        <v>67.599999999999994</v>
      </c>
      <c r="N21" s="15"/>
      <c r="O21" s="15"/>
      <c r="P21" s="15"/>
      <c r="Q21" s="15"/>
      <c r="R21" s="15"/>
      <c r="S21" s="15"/>
      <c r="T21" s="15"/>
      <c r="U21" s="15"/>
      <c r="V21" s="15"/>
      <c r="W21" s="15"/>
      <c r="X21" s="15"/>
    </row>
    <row r="22" spans="1:24" x14ac:dyDescent="0.35">
      <c r="A22" s="123"/>
      <c r="B22" s="123"/>
      <c r="C22" s="123"/>
      <c r="D22" s="123"/>
      <c r="E22" s="123"/>
      <c r="F22" s="123"/>
      <c r="G22" s="123"/>
      <c r="H22" s="123"/>
      <c r="I22" s="123"/>
      <c r="J22" s="123"/>
      <c r="K22" s="123"/>
      <c r="L22" s="15" t="s">
        <v>825</v>
      </c>
      <c r="M22" s="15">
        <v>67.5</v>
      </c>
      <c r="N22" s="15"/>
      <c r="O22" s="15"/>
      <c r="P22" s="15"/>
      <c r="Q22" s="15"/>
      <c r="R22" s="15"/>
      <c r="S22" s="15"/>
      <c r="T22" s="15"/>
      <c r="U22" s="15"/>
      <c r="V22" s="15"/>
      <c r="W22" s="15"/>
      <c r="X22" s="15"/>
    </row>
    <row r="23" spans="1:24" x14ac:dyDescent="0.35">
      <c r="A23" s="123"/>
      <c r="B23" s="123"/>
      <c r="C23" s="123"/>
      <c r="D23" s="123"/>
      <c r="E23" s="123"/>
      <c r="F23" s="123"/>
      <c r="G23" s="123"/>
      <c r="H23" s="123"/>
      <c r="I23" s="123"/>
      <c r="J23" s="123"/>
      <c r="K23" s="123"/>
      <c r="L23" s="15" t="s">
        <v>838</v>
      </c>
      <c r="M23" s="15">
        <v>67</v>
      </c>
      <c r="N23" s="15"/>
      <c r="O23" s="15"/>
      <c r="P23" s="15"/>
      <c r="Q23" s="15"/>
      <c r="R23" s="15"/>
      <c r="S23" s="15"/>
      <c r="T23" s="15"/>
      <c r="U23" s="15"/>
      <c r="V23" s="123" t="s">
        <v>826</v>
      </c>
      <c r="W23" s="123"/>
      <c r="X23" s="123"/>
    </row>
    <row r="24" spans="1:24" x14ac:dyDescent="0.35">
      <c r="A24" s="123"/>
      <c r="B24" s="123"/>
      <c r="C24" s="123"/>
      <c r="D24" s="123"/>
      <c r="E24" s="123"/>
      <c r="F24" s="123"/>
      <c r="G24" s="123"/>
      <c r="H24" s="123"/>
      <c r="I24" s="123"/>
      <c r="J24" s="123"/>
      <c r="K24" s="123"/>
      <c r="L24" s="123" t="s">
        <v>638</v>
      </c>
      <c r="M24" s="123"/>
      <c r="N24" s="123"/>
      <c r="O24" s="123"/>
      <c r="P24" s="123" t="s">
        <v>827</v>
      </c>
      <c r="Q24" s="123"/>
      <c r="R24" s="123"/>
      <c r="S24" s="123"/>
      <c r="T24" s="15"/>
      <c r="U24" s="15"/>
      <c r="V24" s="15"/>
      <c r="W24" s="15" t="s">
        <v>823</v>
      </c>
      <c r="X24" s="15" t="s">
        <v>825</v>
      </c>
    </row>
    <row r="25" spans="1:24" x14ac:dyDescent="0.35">
      <c r="A25" s="123"/>
      <c r="B25" s="123"/>
      <c r="C25" s="123"/>
      <c r="D25" s="123"/>
      <c r="E25" s="123"/>
      <c r="F25" s="123"/>
      <c r="G25" s="123"/>
      <c r="H25" s="123"/>
      <c r="I25" s="123"/>
      <c r="J25" s="123"/>
      <c r="K25" s="123"/>
      <c r="L25" s="123" t="s">
        <v>828</v>
      </c>
      <c r="M25" s="123"/>
      <c r="N25" s="123"/>
      <c r="O25" s="123"/>
      <c r="P25" s="123" t="s">
        <v>643</v>
      </c>
      <c r="Q25" s="123"/>
      <c r="R25" s="123"/>
      <c r="S25" s="123"/>
      <c r="T25" s="15"/>
      <c r="U25" s="15"/>
      <c r="V25" s="15" t="s">
        <v>829</v>
      </c>
      <c r="W25" s="15">
        <v>63.5</v>
      </c>
      <c r="X25" s="15">
        <v>63.7</v>
      </c>
    </row>
    <row r="26" spans="1:24" x14ac:dyDescent="0.35">
      <c r="A26" s="123"/>
      <c r="B26" s="123"/>
      <c r="C26" s="123"/>
      <c r="D26" s="123"/>
      <c r="E26" s="123"/>
      <c r="F26" s="123"/>
      <c r="G26" s="123"/>
      <c r="H26" s="123"/>
      <c r="I26" s="123"/>
      <c r="J26" s="123"/>
      <c r="K26" s="123"/>
      <c r="L26" s="15"/>
      <c r="M26" s="15" t="s">
        <v>830</v>
      </c>
      <c r="N26" s="15" t="s">
        <v>839</v>
      </c>
      <c r="O26" s="15" t="s">
        <v>840</v>
      </c>
      <c r="P26" s="15"/>
      <c r="Q26" s="15" t="s">
        <v>832</v>
      </c>
      <c r="R26" s="15" t="s">
        <v>652</v>
      </c>
      <c r="S26" s="15" t="s">
        <v>833</v>
      </c>
      <c r="T26" s="15"/>
      <c r="U26" s="15"/>
      <c r="V26" s="15" t="s">
        <v>834</v>
      </c>
      <c r="W26" s="15">
        <v>56</v>
      </c>
      <c r="X26" s="15">
        <v>55.2</v>
      </c>
    </row>
    <row r="27" spans="1:24" x14ac:dyDescent="0.35">
      <c r="A27" s="123"/>
      <c r="B27" s="123"/>
      <c r="C27" s="123"/>
      <c r="D27" s="123"/>
      <c r="E27" s="123"/>
      <c r="F27" s="123"/>
      <c r="G27" s="123"/>
      <c r="H27" s="123"/>
      <c r="I27" s="123"/>
      <c r="J27" s="123"/>
      <c r="K27" s="123"/>
      <c r="L27" s="15" t="s">
        <v>841</v>
      </c>
      <c r="M27" s="15">
        <v>1708</v>
      </c>
      <c r="N27" s="15">
        <v>648</v>
      </c>
      <c r="O27" s="15">
        <v>1041</v>
      </c>
      <c r="P27" s="15"/>
      <c r="Q27" s="15">
        <v>1084</v>
      </c>
      <c r="R27" s="15">
        <v>1849</v>
      </c>
      <c r="S27" s="15">
        <v>1103</v>
      </c>
      <c r="T27" s="15"/>
      <c r="U27" s="15"/>
      <c r="V27" s="15" t="s">
        <v>836</v>
      </c>
      <c r="W27" s="15">
        <v>68</v>
      </c>
      <c r="X27" s="15">
        <v>67.5</v>
      </c>
    </row>
    <row r="28" spans="1:24" x14ac:dyDescent="0.35">
      <c r="A28" s="123"/>
      <c r="B28" s="123"/>
      <c r="C28" s="123"/>
      <c r="D28" s="123"/>
      <c r="E28" s="123"/>
      <c r="F28" s="123"/>
      <c r="G28" s="123"/>
      <c r="H28" s="123"/>
      <c r="I28" s="123"/>
      <c r="J28" s="123"/>
      <c r="K28" s="123"/>
      <c r="L28" s="15" t="s">
        <v>417</v>
      </c>
      <c r="M28" s="15">
        <v>69</v>
      </c>
      <c r="N28" s="15">
        <v>47.9</v>
      </c>
      <c r="O28" s="15">
        <v>85.3</v>
      </c>
      <c r="P28" s="15"/>
      <c r="Q28" s="15">
        <v>78</v>
      </c>
      <c r="R28" s="15">
        <v>52.2</v>
      </c>
      <c r="S28" s="15">
        <v>72.900000000000006</v>
      </c>
      <c r="T28" s="15"/>
      <c r="U28" s="15"/>
      <c r="V28" s="15"/>
      <c r="W28" s="15"/>
      <c r="X28" s="15"/>
    </row>
    <row r="29" spans="1:24" x14ac:dyDescent="0.35">
      <c r="A29" s="123"/>
      <c r="B29" s="123"/>
      <c r="C29" s="123"/>
      <c r="D29" s="123"/>
      <c r="E29" s="123"/>
      <c r="F29" s="123"/>
      <c r="G29" s="123"/>
      <c r="H29" s="123"/>
      <c r="I29" s="123"/>
      <c r="J29" s="123"/>
      <c r="K29" s="123"/>
      <c r="L29" s="15" t="s">
        <v>823</v>
      </c>
      <c r="M29" s="124" t="s">
        <v>808</v>
      </c>
      <c r="N29" s="124"/>
      <c r="O29" s="124"/>
      <c r="P29" s="15"/>
      <c r="Q29" s="124" t="s">
        <v>808</v>
      </c>
      <c r="R29" s="124"/>
      <c r="S29" s="124"/>
      <c r="T29" s="15"/>
      <c r="U29" s="15"/>
      <c r="V29" s="15"/>
      <c r="W29" s="15"/>
      <c r="X29" s="15"/>
    </row>
    <row r="30" spans="1:24" x14ac:dyDescent="0.35">
      <c r="A30" s="123"/>
      <c r="B30" s="123"/>
      <c r="C30" s="123"/>
      <c r="D30" s="123"/>
      <c r="E30" s="123"/>
      <c r="F30" s="123"/>
      <c r="G30" s="123"/>
      <c r="H30" s="123"/>
      <c r="I30" s="123"/>
      <c r="J30" s="123"/>
      <c r="K30" s="123"/>
      <c r="L30" s="15" t="s">
        <v>824</v>
      </c>
      <c r="M30" s="123">
        <v>67.400000000000006</v>
      </c>
      <c r="N30" s="123"/>
      <c r="O30" s="123"/>
      <c r="P30" s="15"/>
      <c r="Q30" s="123">
        <v>67.7</v>
      </c>
      <c r="R30" s="123"/>
      <c r="S30" s="123"/>
      <c r="T30" s="15"/>
      <c r="U30" s="15"/>
      <c r="V30" s="15"/>
      <c r="W30" s="15"/>
      <c r="X30" s="15"/>
    </row>
    <row r="31" spans="1:24" x14ac:dyDescent="0.35">
      <c r="A31" s="123"/>
      <c r="B31" s="123"/>
      <c r="C31" s="123"/>
      <c r="D31" s="123"/>
      <c r="E31" s="123"/>
      <c r="F31" s="123"/>
      <c r="G31" s="123"/>
      <c r="H31" s="123"/>
      <c r="I31" s="123"/>
      <c r="J31" s="123"/>
      <c r="K31" s="123"/>
      <c r="L31" s="15" t="s">
        <v>657</v>
      </c>
      <c r="M31" s="15">
        <v>65.8</v>
      </c>
      <c r="N31" s="15">
        <v>51.3</v>
      </c>
      <c r="O31" s="15">
        <v>78.7</v>
      </c>
      <c r="P31" s="15"/>
      <c r="Q31" s="15">
        <v>79.900000000000006</v>
      </c>
      <c r="R31" s="15">
        <v>58.8</v>
      </c>
      <c r="S31" s="15">
        <v>67.2</v>
      </c>
      <c r="T31" s="15"/>
      <c r="U31" s="15"/>
      <c r="V31" s="15"/>
      <c r="W31" s="15"/>
      <c r="X31" s="15"/>
    </row>
    <row r="32" spans="1:24" x14ac:dyDescent="0.35">
      <c r="A32" s="123"/>
      <c r="B32" s="123"/>
      <c r="C32" s="123"/>
      <c r="D32" s="123"/>
      <c r="E32" s="123"/>
      <c r="F32" s="123"/>
      <c r="G32" s="123"/>
      <c r="H32" s="123"/>
      <c r="I32" s="123"/>
      <c r="J32" s="123"/>
      <c r="K32" s="123"/>
      <c r="L32" s="15" t="s">
        <v>825</v>
      </c>
      <c r="M32" s="124" t="s">
        <v>808</v>
      </c>
      <c r="N32" s="124"/>
      <c r="O32" s="124"/>
      <c r="P32" s="15"/>
      <c r="Q32" s="124" t="s">
        <v>808</v>
      </c>
      <c r="R32" s="124"/>
      <c r="S32" s="124"/>
      <c r="T32" s="15"/>
      <c r="U32" s="15"/>
      <c r="V32" s="15"/>
      <c r="W32" s="15"/>
      <c r="X32" s="15"/>
    </row>
    <row r="33" spans="1:24" x14ac:dyDescent="0.35">
      <c r="A33" s="123"/>
      <c r="B33" s="123"/>
      <c r="C33" s="123"/>
      <c r="D33" s="123"/>
      <c r="E33" s="123"/>
      <c r="F33" s="123"/>
      <c r="G33" s="123"/>
      <c r="H33" s="123"/>
      <c r="I33" s="123"/>
      <c r="J33" s="123"/>
      <c r="K33" s="123"/>
      <c r="L33" s="15" t="s">
        <v>838</v>
      </c>
      <c r="M33" s="123">
        <v>65.266666670000006</v>
      </c>
      <c r="N33" s="123"/>
      <c r="O33" s="123"/>
      <c r="P33" s="15"/>
      <c r="Q33" s="123">
        <v>68.633333329999999</v>
      </c>
      <c r="R33" s="123"/>
      <c r="S33" s="123"/>
      <c r="T33" s="15"/>
      <c r="U33" s="15"/>
      <c r="V33" s="15"/>
      <c r="W33" s="15"/>
      <c r="X33" s="15"/>
    </row>
    <row r="34" spans="1:24" x14ac:dyDescent="0.35">
      <c r="A34" s="123"/>
      <c r="B34" s="123"/>
      <c r="C34" s="123"/>
      <c r="D34" s="123"/>
      <c r="E34" s="123"/>
      <c r="F34" s="123"/>
      <c r="G34" s="123"/>
      <c r="H34" s="123"/>
      <c r="I34" s="123"/>
      <c r="J34" s="123"/>
      <c r="K34" s="123"/>
      <c r="L34" s="15" t="s">
        <v>842</v>
      </c>
      <c r="M34" s="123">
        <v>3397</v>
      </c>
      <c r="N34" s="123"/>
      <c r="O34" s="123"/>
      <c r="P34" s="15"/>
      <c r="Q34" s="123">
        <v>4036</v>
      </c>
      <c r="R34" s="123"/>
      <c r="S34" s="123"/>
      <c r="T34" s="15"/>
      <c r="U34" s="15"/>
      <c r="V34" s="15"/>
      <c r="W34" s="15"/>
      <c r="X34" s="15"/>
    </row>
    <row r="35" spans="1:24" x14ac:dyDescent="0.35">
      <c r="A35" s="123"/>
      <c r="B35" s="123"/>
      <c r="C35" s="123"/>
      <c r="D35" s="123"/>
      <c r="E35" s="123"/>
      <c r="F35" s="123"/>
      <c r="G35" s="123"/>
      <c r="H35" s="123"/>
      <c r="I35" s="123"/>
      <c r="J35" s="123"/>
      <c r="K35" s="123"/>
      <c r="L35" s="15"/>
      <c r="M35" s="15"/>
      <c r="N35" s="15"/>
      <c r="O35" s="15"/>
      <c r="P35" s="15"/>
      <c r="Q35" s="15"/>
      <c r="R35" s="15"/>
      <c r="S35" s="15"/>
      <c r="T35" s="15"/>
      <c r="U35" s="15"/>
      <c r="V35" s="15"/>
      <c r="W35" s="15"/>
      <c r="X35" s="15"/>
    </row>
    <row r="36" spans="1:24" x14ac:dyDescent="0.35">
      <c r="A36" s="123"/>
      <c r="B36" s="123"/>
      <c r="C36" s="123"/>
      <c r="D36" s="123"/>
      <c r="E36" s="123"/>
      <c r="F36" s="123"/>
      <c r="G36" s="123"/>
      <c r="H36" s="123"/>
      <c r="I36" s="123"/>
      <c r="J36" s="123"/>
      <c r="K36" s="123"/>
      <c r="L36" s="123" t="s">
        <v>843</v>
      </c>
      <c r="M36" s="123"/>
      <c r="N36" s="123"/>
      <c r="O36" s="123"/>
      <c r="P36" s="123"/>
      <c r="Q36" s="123"/>
      <c r="R36" s="123"/>
      <c r="S36" s="123"/>
      <c r="T36" s="123"/>
      <c r="U36" s="15"/>
      <c r="V36" s="15"/>
      <c r="W36" s="15"/>
      <c r="X36" s="15"/>
    </row>
    <row r="37" spans="1:24" x14ac:dyDescent="0.35">
      <c r="A37" s="123"/>
      <c r="B37" s="123"/>
      <c r="C37" s="123"/>
      <c r="D37" s="123"/>
      <c r="E37" s="123"/>
      <c r="F37" s="123"/>
      <c r="G37" s="123"/>
      <c r="H37" s="123"/>
      <c r="I37" s="123"/>
      <c r="J37" s="123"/>
      <c r="K37" s="123"/>
      <c r="L37" s="15" t="s">
        <v>823</v>
      </c>
      <c r="M37" s="15">
        <v>62</v>
      </c>
      <c r="N37" s="15"/>
      <c r="O37" s="15"/>
      <c r="P37" s="15"/>
      <c r="Q37" s="15"/>
      <c r="R37" s="15"/>
      <c r="S37" s="15"/>
      <c r="T37" s="15"/>
      <c r="U37" s="15"/>
      <c r="V37" s="15"/>
      <c r="W37" s="15"/>
      <c r="X37" s="15"/>
    </row>
    <row r="38" spans="1:24" x14ac:dyDescent="0.35">
      <c r="A38" s="123"/>
      <c r="B38" s="123"/>
      <c r="C38" s="123"/>
      <c r="D38" s="123"/>
      <c r="E38" s="123"/>
      <c r="F38" s="123"/>
      <c r="G38" s="123"/>
      <c r="H38" s="123"/>
      <c r="I38" s="123"/>
      <c r="J38" s="123"/>
      <c r="K38" s="123"/>
      <c r="L38" s="15" t="s">
        <v>825</v>
      </c>
      <c r="M38" s="15">
        <v>60.5</v>
      </c>
      <c r="N38" s="15"/>
      <c r="O38" s="15"/>
      <c r="P38" s="15"/>
      <c r="Q38" s="15"/>
      <c r="R38" s="15"/>
      <c r="S38" s="15"/>
      <c r="T38" s="15"/>
      <c r="U38" s="15"/>
      <c r="V38" s="15"/>
      <c r="W38" s="15"/>
      <c r="X38" s="15"/>
    </row>
    <row r="39" spans="1:24" x14ac:dyDescent="0.35">
      <c r="A39" s="123"/>
      <c r="B39" s="123"/>
      <c r="C39" s="123"/>
      <c r="D39" s="123"/>
      <c r="E39" s="123"/>
      <c r="F39" s="123"/>
      <c r="G39" s="123"/>
      <c r="H39" s="123"/>
      <c r="I39" s="123"/>
      <c r="J39" s="123"/>
      <c r="K39" s="123"/>
      <c r="L39" s="15" t="s">
        <v>838</v>
      </c>
      <c r="M39" s="15">
        <v>40.6</v>
      </c>
      <c r="N39" s="15"/>
      <c r="O39" s="15"/>
      <c r="P39" s="15"/>
      <c r="Q39" s="15"/>
      <c r="R39" s="15"/>
      <c r="S39" s="15"/>
      <c r="T39" s="15"/>
      <c r="U39" s="15"/>
      <c r="V39" s="123" t="s">
        <v>826</v>
      </c>
      <c r="W39" s="123"/>
      <c r="X39" s="123"/>
    </row>
    <row r="40" spans="1:24" x14ac:dyDescent="0.35">
      <c r="A40" s="123"/>
      <c r="B40" s="123"/>
      <c r="C40" s="123"/>
      <c r="D40" s="123"/>
      <c r="E40" s="123"/>
      <c r="F40" s="123"/>
      <c r="G40" s="123"/>
      <c r="H40" s="123"/>
      <c r="I40" s="123"/>
      <c r="J40" s="123"/>
      <c r="K40" s="123"/>
      <c r="L40" s="123" t="s">
        <v>638</v>
      </c>
      <c r="M40" s="123"/>
      <c r="N40" s="123"/>
      <c r="O40" s="15"/>
      <c r="P40" s="123" t="s">
        <v>827</v>
      </c>
      <c r="Q40" s="123"/>
      <c r="R40" s="123"/>
      <c r="S40" s="123"/>
      <c r="T40" s="123"/>
      <c r="U40" s="15"/>
      <c r="V40" s="15"/>
      <c r="W40" s="15" t="s">
        <v>823</v>
      </c>
      <c r="X40" s="15" t="s">
        <v>825</v>
      </c>
    </row>
    <row r="41" spans="1:24" x14ac:dyDescent="0.35">
      <c r="A41" s="123"/>
      <c r="B41" s="123"/>
      <c r="C41" s="123"/>
      <c r="D41" s="123"/>
      <c r="E41" s="123"/>
      <c r="F41" s="123"/>
      <c r="G41" s="123"/>
      <c r="H41" s="123"/>
      <c r="I41" s="123"/>
      <c r="J41" s="123"/>
      <c r="K41" s="123"/>
      <c r="L41" s="123" t="s">
        <v>828</v>
      </c>
      <c r="M41" s="123"/>
      <c r="N41" s="123"/>
      <c r="O41" s="15"/>
      <c r="P41" s="123" t="s">
        <v>643</v>
      </c>
      <c r="Q41" s="123"/>
      <c r="R41" s="123"/>
      <c r="S41" s="123"/>
      <c r="T41" s="123"/>
      <c r="U41" s="15"/>
      <c r="V41" s="15" t="s">
        <v>829</v>
      </c>
      <c r="W41" s="15">
        <v>60.6</v>
      </c>
      <c r="X41" s="15">
        <v>58.3</v>
      </c>
    </row>
    <row r="42" spans="1:24" x14ac:dyDescent="0.35">
      <c r="A42" s="123"/>
      <c r="B42" s="123"/>
      <c r="C42" s="123"/>
      <c r="D42" s="123"/>
      <c r="E42" s="123"/>
      <c r="F42" s="123"/>
      <c r="G42" s="123"/>
      <c r="H42" s="123"/>
      <c r="I42" s="123"/>
      <c r="J42" s="123"/>
      <c r="K42" s="123"/>
      <c r="L42" s="15"/>
      <c r="M42" s="15" t="s">
        <v>830</v>
      </c>
      <c r="N42" s="15" t="s">
        <v>844</v>
      </c>
      <c r="O42" s="15" t="s">
        <v>845</v>
      </c>
      <c r="P42" s="15"/>
      <c r="Q42" s="15" t="s">
        <v>832</v>
      </c>
      <c r="R42" s="15" t="s">
        <v>846</v>
      </c>
      <c r="S42" s="15" t="s">
        <v>833</v>
      </c>
      <c r="T42" s="15" t="s">
        <v>847</v>
      </c>
      <c r="U42" s="15"/>
      <c r="V42" s="15" t="s">
        <v>834</v>
      </c>
      <c r="W42" s="15">
        <v>46.9</v>
      </c>
      <c r="X42" s="15">
        <v>38.200000000000003</v>
      </c>
    </row>
    <row r="43" spans="1:24" x14ac:dyDescent="0.35">
      <c r="A43" s="123"/>
      <c r="B43" s="123"/>
      <c r="C43" s="123"/>
      <c r="D43" s="123"/>
      <c r="E43" s="123"/>
      <c r="F43" s="123"/>
      <c r="G43" s="123"/>
      <c r="H43" s="123"/>
      <c r="I43" s="123"/>
      <c r="J43" s="123"/>
      <c r="K43" s="123"/>
      <c r="L43" s="15" t="s">
        <v>841</v>
      </c>
      <c r="M43" s="15">
        <v>6436</v>
      </c>
      <c r="N43" s="15">
        <v>2308</v>
      </c>
      <c r="O43" s="15">
        <v>1636</v>
      </c>
      <c r="P43" s="15"/>
      <c r="Q43" s="15">
        <v>1002</v>
      </c>
      <c r="R43" s="15">
        <v>358</v>
      </c>
      <c r="S43" s="15">
        <v>1607</v>
      </c>
      <c r="T43" s="15">
        <v>361</v>
      </c>
      <c r="U43" s="15"/>
      <c r="V43" s="15" t="s">
        <v>836</v>
      </c>
      <c r="W43" s="15">
        <v>62</v>
      </c>
      <c r="X43" s="15">
        <v>60.5</v>
      </c>
    </row>
    <row r="44" spans="1:24" x14ac:dyDescent="0.35">
      <c r="A44" s="123"/>
      <c r="B44" s="123"/>
      <c r="C44" s="123"/>
      <c r="D44" s="123"/>
      <c r="E44" s="123"/>
      <c r="F44" s="123"/>
      <c r="G44" s="123"/>
      <c r="H44" s="123"/>
      <c r="I44" s="123"/>
      <c r="J44" s="123"/>
      <c r="K44" s="123"/>
      <c r="L44" s="15" t="s">
        <v>657</v>
      </c>
      <c r="M44" s="15">
        <v>77.400000000000006</v>
      </c>
      <c r="N44" s="15">
        <v>56</v>
      </c>
      <c r="O44" s="15">
        <v>52.7</v>
      </c>
      <c r="P44" s="15"/>
      <c r="Q44" s="15">
        <v>32.5</v>
      </c>
      <c r="R44" s="15">
        <v>10</v>
      </c>
      <c r="S44" s="15">
        <v>44.6</v>
      </c>
      <c r="T44" s="15">
        <v>11.2</v>
      </c>
      <c r="U44" s="15"/>
      <c r="V44" s="15"/>
      <c r="W44" s="15"/>
      <c r="X44" s="15"/>
    </row>
    <row r="45" spans="1:24" x14ac:dyDescent="0.35">
      <c r="A45" s="123"/>
      <c r="B45" s="123"/>
      <c r="C45" s="123"/>
      <c r="D45" s="123"/>
      <c r="E45" s="123"/>
      <c r="F45" s="123"/>
      <c r="G45" s="123"/>
      <c r="H45" s="123"/>
      <c r="I45" s="123"/>
      <c r="J45" s="123"/>
      <c r="K45" s="123"/>
      <c r="L45" s="15" t="s">
        <v>825</v>
      </c>
      <c r="M45" s="124" t="s">
        <v>808</v>
      </c>
      <c r="N45" s="124"/>
      <c r="O45" s="124"/>
      <c r="P45" s="15"/>
      <c r="Q45" s="124" t="s">
        <v>808</v>
      </c>
      <c r="R45" s="124"/>
      <c r="S45" s="124"/>
      <c r="T45" s="124"/>
      <c r="U45" s="15"/>
      <c r="V45" s="15"/>
      <c r="W45" s="15"/>
      <c r="X45" s="15"/>
    </row>
    <row r="46" spans="1:24" x14ac:dyDescent="0.35">
      <c r="A46" s="123"/>
      <c r="B46" s="123"/>
      <c r="C46" s="123"/>
      <c r="D46" s="123"/>
      <c r="E46" s="123"/>
      <c r="F46" s="123"/>
      <c r="G46" s="123"/>
      <c r="H46" s="123"/>
      <c r="I46" s="123"/>
      <c r="J46" s="123"/>
      <c r="K46" s="123"/>
      <c r="L46" s="15" t="s">
        <v>838</v>
      </c>
      <c r="M46" s="123">
        <v>62.033333329999998</v>
      </c>
      <c r="N46" s="123"/>
      <c r="O46" s="123"/>
      <c r="P46" s="15"/>
      <c r="Q46" s="123">
        <v>24.574999999999999</v>
      </c>
      <c r="R46" s="123"/>
      <c r="S46" s="123"/>
      <c r="T46" s="123"/>
      <c r="U46" s="15"/>
      <c r="V46" s="15"/>
      <c r="W46" s="15"/>
      <c r="X46" s="15"/>
    </row>
    <row r="47" spans="1:24" x14ac:dyDescent="0.35">
      <c r="A47" s="123"/>
      <c r="B47" s="123"/>
      <c r="C47" s="123"/>
      <c r="D47" s="123"/>
      <c r="E47" s="123"/>
      <c r="F47" s="123"/>
      <c r="G47" s="123"/>
      <c r="H47" s="123"/>
      <c r="I47" s="123"/>
      <c r="J47" s="123"/>
      <c r="K47" s="123"/>
      <c r="L47" s="15" t="s">
        <v>842</v>
      </c>
      <c r="M47" s="123">
        <v>10380</v>
      </c>
      <c r="N47" s="123"/>
      <c r="O47" s="123"/>
      <c r="P47" s="15"/>
      <c r="Q47" s="123">
        <v>3328</v>
      </c>
      <c r="R47" s="123"/>
      <c r="S47" s="123"/>
      <c r="T47" s="123"/>
      <c r="U47" s="15"/>
      <c r="V47" s="15"/>
      <c r="W47" s="15"/>
      <c r="X47" s="15"/>
    </row>
    <row r="48" spans="1:24" x14ac:dyDescent="0.35">
      <c r="A48" s="123"/>
      <c r="B48" s="123"/>
      <c r="C48" s="123"/>
      <c r="D48" s="123"/>
      <c r="E48" s="123"/>
      <c r="F48" s="123"/>
      <c r="G48" s="123"/>
      <c r="H48" s="123"/>
      <c r="I48" s="123"/>
      <c r="J48" s="123"/>
      <c r="K48" s="123"/>
      <c r="L48" s="15"/>
      <c r="M48" s="15"/>
      <c r="N48" s="15"/>
      <c r="O48" s="15"/>
      <c r="P48" s="15"/>
      <c r="Q48" s="15"/>
      <c r="R48" s="15"/>
      <c r="S48" s="15"/>
      <c r="T48" s="15"/>
      <c r="U48" s="15"/>
      <c r="V48" s="15"/>
      <c r="W48" s="15"/>
      <c r="X48" s="15"/>
    </row>
    <row r="49" spans="1:24" x14ac:dyDescent="0.35">
      <c r="A49" s="37">
        <v>39</v>
      </c>
      <c r="B49" s="37" t="s">
        <v>814</v>
      </c>
      <c r="C49" s="37">
        <v>2021</v>
      </c>
      <c r="D49" s="37" t="s">
        <v>848</v>
      </c>
      <c r="E49" s="37" t="s">
        <v>849</v>
      </c>
      <c r="F49" s="37" t="s">
        <v>816</v>
      </c>
      <c r="G49" s="37" t="s">
        <v>850</v>
      </c>
      <c r="H49" s="37" t="s">
        <v>37</v>
      </c>
      <c r="I49" s="37" t="s">
        <v>818</v>
      </c>
      <c r="J49" s="37" t="s">
        <v>132</v>
      </c>
      <c r="K49" s="37"/>
      <c r="L49" s="42" t="s">
        <v>808</v>
      </c>
      <c r="M49" s="42" t="s">
        <v>808</v>
      </c>
      <c r="N49" s="42" t="s">
        <v>808</v>
      </c>
      <c r="O49" s="42" t="s">
        <v>808</v>
      </c>
      <c r="P49" s="42" t="s">
        <v>808</v>
      </c>
      <c r="Q49" s="42" t="s">
        <v>808</v>
      </c>
      <c r="R49" s="37" t="s">
        <v>819</v>
      </c>
      <c r="S49" s="37" t="s">
        <v>820</v>
      </c>
      <c r="T49" s="37" t="s">
        <v>851</v>
      </c>
      <c r="U49" s="37" t="s">
        <v>852</v>
      </c>
      <c r="V49" s="37"/>
      <c r="W49" s="37" t="s">
        <v>810</v>
      </c>
      <c r="X49" s="37" t="s">
        <v>810</v>
      </c>
    </row>
    <row r="50" spans="1:24" x14ac:dyDescent="0.35">
      <c r="A50" s="123"/>
      <c r="B50" s="123"/>
      <c r="C50" s="123"/>
      <c r="D50" s="123"/>
      <c r="E50" s="123"/>
      <c r="F50" s="123"/>
      <c r="G50" s="123"/>
      <c r="H50" s="123"/>
      <c r="I50" s="123"/>
      <c r="J50" s="123"/>
      <c r="K50" s="123"/>
      <c r="L50" s="123"/>
      <c r="M50" s="15"/>
      <c r="N50" s="15"/>
      <c r="O50" s="15" t="s">
        <v>822</v>
      </c>
      <c r="P50" s="15"/>
      <c r="Q50" s="15"/>
      <c r="R50" s="15"/>
      <c r="S50" s="15"/>
      <c r="T50" s="15"/>
      <c r="U50" s="15"/>
      <c r="V50" s="15"/>
      <c r="W50" s="15"/>
      <c r="X50" s="15"/>
    </row>
    <row r="51" spans="1:24" x14ac:dyDescent="0.35">
      <c r="A51" s="123"/>
      <c r="B51" s="123"/>
      <c r="C51" s="123"/>
      <c r="D51" s="123"/>
      <c r="E51" s="123"/>
      <c r="F51" s="123"/>
      <c r="G51" s="123"/>
      <c r="H51" s="123"/>
      <c r="I51" s="123"/>
      <c r="J51" s="123"/>
      <c r="K51" s="123"/>
      <c r="L51" s="123"/>
      <c r="M51" s="15"/>
      <c r="N51" s="123" t="s">
        <v>853</v>
      </c>
      <c r="O51" s="123"/>
      <c r="P51" s="123"/>
      <c r="Q51" s="123"/>
      <c r="R51" s="123"/>
      <c r="S51" s="15"/>
      <c r="T51" s="15"/>
      <c r="U51" s="15"/>
      <c r="V51" s="15"/>
      <c r="W51" s="15"/>
      <c r="X51" s="15"/>
    </row>
    <row r="52" spans="1:24" x14ac:dyDescent="0.35">
      <c r="A52" s="123"/>
      <c r="B52" s="123"/>
      <c r="C52" s="123"/>
      <c r="D52" s="123"/>
      <c r="E52" s="123"/>
      <c r="F52" s="123"/>
      <c r="G52" s="123"/>
      <c r="H52" s="123"/>
      <c r="I52" s="123"/>
      <c r="J52" s="123"/>
      <c r="K52" s="123"/>
      <c r="L52" s="123"/>
      <c r="M52" s="15" t="s">
        <v>825</v>
      </c>
      <c r="N52" s="123">
        <v>82.16</v>
      </c>
      <c r="O52" s="123"/>
      <c r="P52" s="123"/>
      <c r="Q52" s="123"/>
      <c r="R52" s="15"/>
      <c r="S52" s="15"/>
      <c r="T52" s="15"/>
      <c r="U52" s="15"/>
      <c r="V52" s="15"/>
      <c r="W52" s="15"/>
      <c r="X52" s="15"/>
    </row>
    <row r="53" spans="1:24" x14ac:dyDescent="0.35">
      <c r="A53" s="123"/>
      <c r="B53" s="123"/>
      <c r="C53" s="123"/>
      <c r="D53" s="123"/>
      <c r="E53" s="123"/>
      <c r="F53" s="123"/>
      <c r="G53" s="123"/>
      <c r="H53" s="123"/>
      <c r="I53" s="123"/>
      <c r="J53" s="123"/>
      <c r="K53" s="123"/>
      <c r="L53" s="123"/>
      <c r="M53" s="15" t="s">
        <v>823</v>
      </c>
      <c r="N53" s="123">
        <v>82.35</v>
      </c>
      <c r="O53" s="123"/>
      <c r="P53" s="123"/>
      <c r="Q53" s="123"/>
      <c r="R53" s="15"/>
      <c r="S53" s="15"/>
      <c r="T53" s="15"/>
      <c r="U53" s="15"/>
      <c r="V53" s="15"/>
      <c r="W53" s="15"/>
      <c r="X53" s="15"/>
    </row>
    <row r="54" spans="1:24" x14ac:dyDescent="0.35">
      <c r="A54" s="123"/>
      <c r="B54" s="123"/>
      <c r="C54" s="123"/>
      <c r="D54" s="123"/>
      <c r="E54" s="123"/>
      <c r="F54" s="123"/>
      <c r="G54" s="123"/>
      <c r="H54" s="123"/>
      <c r="I54" s="123"/>
      <c r="J54" s="123"/>
      <c r="K54" s="123"/>
      <c r="L54" s="123"/>
      <c r="M54" s="15"/>
      <c r="N54" s="123" t="s">
        <v>843</v>
      </c>
      <c r="O54" s="123"/>
      <c r="P54" s="123"/>
      <c r="Q54" s="123"/>
      <c r="R54" s="15"/>
      <c r="S54" s="15"/>
      <c r="T54" s="15"/>
      <c r="U54" s="15"/>
      <c r="V54" s="15"/>
      <c r="W54" s="15"/>
      <c r="X54" s="15"/>
    </row>
    <row r="55" spans="1:24" x14ac:dyDescent="0.35">
      <c r="A55" s="123"/>
      <c r="B55" s="123"/>
      <c r="C55" s="123"/>
      <c r="D55" s="123"/>
      <c r="E55" s="123"/>
      <c r="F55" s="123"/>
      <c r="G55" s="123"/>
      <c r="H55" s="123"/>
      <c r="I55" s="123"/>
      <c r="J55" s="123"/>
      <c r="K55" s="123"/>
      <c r="L55" s="123"/>
      <c r="M55" s="15"/>
      <c r="N55" s="123" t="s">
        <v>853</v>
      </c>
      <c r="O55" s="123"/>
      <c r="P55" s="123"/>
      <c r="Q55" s="123"/>
      <c r="R55" s="123"/>
      <c r="S55" s="15"/>
      <c r="T55" s="15"/>
      <c r="U55" s="15"/>
      <c r="V55" s="15"/>
      <c r="W55" s="15"/>
      <c r="X55" s="15"/>
    </row>
    <row r="56" spans="1:24" x14ac:dyDescent="0.35">
      <c r="A56" s="123"/>
      <c r="B56" s="123"/>
      <c r="C56" s="123"/>
      <c r="D56" s="123"/>
      <c r="E56" s="123"/>
      <c r="F56" s="123"/>
      <c r="G56" s="123"/>
      <c r="H56" s="123"/>
      <c r="I56" s="123"/>
      <c r="J56" s="123"/>
      <c r="K56" s="123"/>
      <c r="L56" s="123"/>
      <c r="M56" s="15" t="s">
        <v>825</v>
      </c>
      <c r="N56" s="123">
        <v>62.19</v>
      </c>
      <c r="O56" s="123"/>
      <c r="P56" s="123"/>
      <c r="Q56" s="123"/>
      <c r="R56" s="15"/>
      <c r="S56" s="15"/>
      <c r="T56" s="15"/>
      <c r="U56" s="15"/>
      <c r="V56" s="15"/>
      <c r="W56" s="15"/>
      <c r="X56" s="15"/>
    </row>
    <row r="57" spans="1:24" x14ac:dyDescent="0.35">
      <c r="A57" s="123"/>
      <c r="B57" s="123"/>
      <c r="C57" s="123"/>
      <c r="D57" s="123"/>
      <c r="E57" s="123"/>
      <c r="F57" s="123"/>
      <c r="G57" s="123"/>
      <c r="H57" s="123"/>
      <c r="I57" s="123"/>
      <c r="J57" s="123"/>
      <c r="K57" s="123"/>
      <c r="L57" s="123"/>
      <c r="M57" s="15" t="s">
        <v>823</v>
      </c>
      <c r="N57" s="123">
        <v>63.95</v>
      </c>
      <c r="O57" s="123"/>
      <c r="P57" s="123"/>
      <c r="Q57" s="123"/>
      <c r="R57" s="15"/>
      <c r="S57" s="15"/>
      <c r="T57" s="15"/>
      <c r="U57" s="15"/>
      <c r="V57" s="15"/>
      <c r="W57" s="15"/>
      <c r="X57" s="15"/>
    </row>
    <row r="58" spans="1:24" x14ac:dyDescent="0.35">
      <c r="A58" s="123"/>
      <c r="B58" s="123"/>
      <c r="C58" s="123"/>
      <c r="D58" s="123"/>
      <c r="E58" s="123"/>
      <c r="F58" s="123"/>
      <c r="G58" s="123"/>
      <c r="H58" s="123"/>
      <c r="I58" s="123"/>
      <c r="J58" s="123"/>
      <c r="K58" s="123"/>
      <c r="L58" s="123"/>
      <c r="M58" s="15"/>
      <c r="N58" s="15"/>
      <c r="O58" s="15"/>
      <c r="P58" s="15"/>
      <c r="Q58" s="15"/>
      <c r="R58" s="15"/>
      <c r="S58" s="15"/>
      <c r="T58" s="15"/>
      <c r="U58" s="15"/>
      <c r="V58" s="15"/>
      <c r="W58" s="15"/>
      <c r="X58" s="15"/>
    </row>
    <row r="59" spans="1:24" x14ac:dyDescent="0.35">
      <c r="A59" s="37">
        <v>40</v>
      </c>
      <c r="B59" s="37" t="s">
        <v>854</v>
      </c>
      <c r="C59" s="37">
        <v>2022</v>
      </c>
      <c r="D59" s="37" t="s">
        <v>855</v>
      </c>
      <c r="E59" s="37" t="s">
        <v>856</v>
      </c>
      <c r="F59" s="42" t="s">
        <v>808</v>
      </c>
      <c r="G59" s="42" t="s">
        <v>808</v>
      </c>
      <c r="H59" s="42" t="s">
        <v>808</v>
      </c>
      <c r="I59" s="42" t="s">
        <v>808</v>
      </c>
      <c r="J59" s="42" t="s">
        <v>808</v>
      </c>
      <c r="K59" s="42" t="s">
        <v>808</v>
      </c>
      <c r="L59" s="42" t="s">
        <v>808</v>
      </c>
      <c r="M59" s="42" t="s">
        <v>808</v>
      </c>
      <c r="N59" s="42" t="s">
        <v>808</v>
      </c>
      <c r="O59" s="42" t="s">
        <v>808</v>
      </c>
      <c r="P59" s="42" t="s">
        <v>808</v>
      </c>
      <c r="Q59" s="42" t="s">
        <v>808</v>
      </c>
      <c r="R59" s="42" t="s">
        <v>808</v>
      </c>
      <c r="S59" s="42" t="s">
        <v>808</v>
      </c>
      <c r="T59" s="42" t="s">
        <v>808</v>
      </c>
      <c r="U59" s="37" t="s">
        <v>857</v>
      </c>
      <c r="V59" s="37"/>
      <c r="W59" s="37" t="s">
        <v>810</v>
      </c>
      <c r="X59" s="37" t="s">
        <v>810</v>
      </c>
    </row>
    <row r="60" spans="1:24" x14ac:dyDescent="0.35">
      <c r="A60" s="37">
        <v>41</v>
      </c>
      <c r="B60" s="37" t="s">
        <v>858</v>
      </c>
      <c r="C60" s="37">
        <v>2021</v>
      </c>
      <c r="D60" s="37" t="s">
        <v>859</v>
      </c>
      <c r="E60" s="37" t="s">
        <v>860</v>
      </c>
      <c r="F60" s="37" t="s">
        <v>861</v>
      </c>
      <c r="G60" s="42" t="s">
        <v>808</v>
      </c>
      <c r="H60" s="42" t="s">
        <v>808</v>
      </c>
      <c r="I60" s="42" t="s">
        <v>808</v>
      </c>
      <c r="J60" s="42" t="s">
        <v>808</v>
      </c>
      <c r="K60" s="42" t="s">
        <v>808</v>
      </c>
      <c r="L60" s="42" t="s">
        <v>808</v>
      </c>
      <c r="M60" s="42" t="s">
        <v>808</v>
      </c>
      <c r="N60" s="42" t="s">
        <v>808</v>
      </c>
      <c r="O60" s="42" t="s">
        <v>808</v>
      </c>
      <c r="P60" s="42" t="s">
        <v>808</v>
      </c>
      <c r="Q60" s="42" t="s">
        <v>808</v>
      </c>
      <c r="R60" s="42" t="s">
        <v>808</v>
      </c>
      <c r="S60" s="42" t="s">
        <v>808</v>
      </c>
      <c r="T60" s="42" t="s">
        <v>808</v>
      </c>
      <c r="U60" s="37" t="s">
        <v>809</v>
      </c>
      <c r="V60" s="37"/>
      <c r="W60" s="37"/>
      <c r="X60" s="37" t="s">
        <v>810</v>
      </c>
    </row>
    <row r="61" spans="1:24" x14ac:dyDescent="0.35">
      <c r="A61" s="37">
        <v>42</v>
      </c>
      <c r="B61" s="37" t="s">
        <v>811</v>
      </c>
      <c r="C61" s="37">
        <v>2019</v>
      </c>
      <c r="D61" s="37" t="s">
        <v>862</v>
      </c>
      <c r="E61" s="37" t="s">
        <v>860</v>
      </c>
      <c r="F61" s="37" t="s">
        <v>861</v>
      </c>
      <c r="G61" s="42" t="s">
        <v>808</v>
      </c>
      <c r="H61" s="42" t="s">
        <v>808</v>
      </c>
      <c r="I61" s="42" t="s">
        <v>808</v>
      </c>
      <c r="J61" s="42" t="s">
        <v>808</v>
      </c>
      <c r="K61" s="42" t="s">
        <v>808</v>
      </c>
      <c r="L61" s="42" t="s">
        <v>808</v>
      </c>
      <c r="M61" s="42" t="s">
        <v>808</v>
      </c>
      <c r="N61" s="42" t="s">
        <v>808</v>
      </c>
      <c r="O61" s="42" t="s">
        <v>808</v>
      </c>
      <c r="P61" s="42" t="s">
        <v>808</v>
      </c>
      <c r="Q61" s="42" t="s">
        <v>808</v>
      </c>
      <c r="R61" s="42" t="s">
        <v>808</v>
      </c>
      <c r="S61" s="42" t="s">
        <v>808</v>
      </c>
      <c r="T61" s="42" t="s">
        <v>808</v>
      </c>
      <c r="U61" s="37" t="s">
        <v>809</v>
      </c>
      <c r="V61" s="37"/>
      <c r="W61" s="37"/>
      <c r="X61" s="37" t="s">
        <v>810</v>
      </c>
    </row>
    <row r="62" spans="1:24" x14ac:dyDescent="0.35">
      <c r="A62" s="40">
        <v>43</v>
      </c>
      <c r="B62" s="40" t="s">
        <v>863</v>
      </c>
      <c r="C62" s="40">
        <v>2019</v>
      </c>
      <c r="D62" s="40" t="s">
        <v>864</v>
      </c>
      <c r="E62" s="40" t="s">
        <v>860</v>
      </c>
      <c r="F62" s="40" t="s">
        <v>865</v>
      </c>
      <c r="G62" s="40" t="s">
        <v>866</v>
      </c>
      <c r="H62" s="40" t="s">
        <v>37</v>
      </c>
      <c r="I62" s="40" t="s">
        <v>867</v>
      </c>
      <c r="J62" s="40" t="s">
        <v>868</v>
      </c>
      <c r="K62" s="43" t="s">
        <v>808</v>
      </c>
      <c r="L62" s="43" t="s">
        <v>808</v>
      </c>
      <c r="M62" s="43" t="s">
        <v>808</v>
      </c>
      <c r="N62" s="40" t="s">
        <v>869</v>
      </c>
      <c r="O62" s="43" t="s">
        <v>808</v>
      </c>
      <c r="P62" s="43" t="s">
        <v>808</v>
      </c>
      <c r="Q62" s="43" t="s">
        <v>808</v>
      </c>
      <c r="R62" s="40" t="s">
        <v>870</v>
      </c>
      <c r="S62" s="40" t="s">
        <v>820</v>
      </c>
      <c r="T62" s="40" t="s">
        <v>871</v>
      </c>
      <c r="U62" s="40" t="s">
        <v>872</v>
      </c>
      <c r="V62" s="40"/>
      <c r="W62" s="40"/>
      <c r="X62" s="40"/>
    </row>
    <row r="63" spans="1:24" x14ac:dyDescent="0.35">
      <c r="A63" s="123"/>
      <c r="B63" s="123"/>
      <c r="C63" s="123"/>
      <c r="D63" s="123"/>
      <c r="E63" s="123"/>
      <c r="F63" s="123"/>
      <c r="G63" s="123"/>
      <c r="H63" s="123"/>
      <c r="I63" s="123"/>
      <c r="J63" s="123"/>
      <c r="K63" s="123"/>
      <c r="L63" s="123"/>
      <c r="M63" s="123" t="s">
        <v>873</v>
      </c>
      <c r="N63" s="123"/>
      <c r="O63" s="123"/>
      <c r="P63" s="123"/>
      <c r="Q63" s="123"/>
      <c r="R63" s="123"/>
      <c r="S63" s="123"/>
      <c r="T63" s="123"/>
      <c r="U63" s="15"/>
      <c r="V63" s="15"/>
      <c r="W63" s="15"/>
      <c r="X63" s="15"/>
    </row>
    <row r="64" spans="1:24" x14ac:dyDescent="0.35">
      <c r="A64" s="123"/>
      <c r="B64" s="123"/>
      <c r="C64" s="123"/>
      <c r="D64" s="123"/>
      <c r="E64" s="123"/>
      <c r="F64" s="123"/>
      <c r="G64" s="123"/>
      <c r="H64" s="123"/>
      <c r="I64" s="123"/>
      <c r="J64" s="123"/>
      <c r="K64" s="123"/>
      <c r="L64" s="123"/>
      <c r="M64" s="123" t="s">
        <v>638</v>
      </c>
      <c r="N64" s="123"/>
      <c r="O64" s="123"/>
      <c r="P64" s="123"/>
      <c r="Q64" s="123" t="s">
        <v>827</v>
      </c>
      <c r="R64" s="123"/>
      <c r="S64" s="123"/>
      <c r="T64" s="123"/>
      <c r="U64" s="15"/>
      <c r="V64" s="15"/>
      <c r="W64" s="15"/>
      <c r="X64" s="15"/>
    </row>
    <row r="65" spans="1:24" x14ac:dyDescent="0.35">
      <c r="A65" s="123"/>
      <c r="B65" s="123"/>
      <c r="C65" s="123"/>
      <c r="D65" s="123"/>
      <c r="E65" s="123"/>
      <c r="F65" s="123"/>
      <c r="G65" s="123"/>
      <c r="H65" s="123"/>
      <c r="I65" s="123"/>
      <c r="J65" s="123"/>
      <c r="K65" s="123"/>
      <c r="L65" s="123"/>
      <c r="M65" s="123" t="s">
        <v>828</v>
      </c>
      <c r="N65" s="123"/>
      <c r="O65" s="123"/>
      <c r="P65" s="123"/>
      <c r="Q65" s="123" t="s">
        <v>643</v>
      </c>
      <c r="R65" s="123"/>
      <c r="S65" s="123"/>
      <c r="T65" s="123"/>
      <c r="U65" s="123" t="s">
        <v>874</v>
      </c>
      <c r="V65" s="123"/>
      <c r="W65" s="123"/>
      <c r="X65" s="15"/>
    </row>
    <row r="66" spans="1:24" x14ac:dyDescent="0.35">
      <c r="A66" s="123"/>
      <c r="B66" s="123"/>
      <c r="C66" s="123"/>
      <c r="D66" s="123"/>
      <c r="E66" s="123"/>
      <c r="F66" s="123"/>
      <c r="G66" s="123"/>
      <c r="H66" s="123"/>
      <c r="I66" s="123"/>
      <c r="J66" s="123"/>
      <c r="K66" s="123"/>
      <c r="L66" s="123"/>
      <c r="M66" s="15"/>
      <c r="N66" s="15" t="s">
        <v>830</v>
      </c>
      <c r="O66" s="15" t="s">
        <v>648</v>
      </c>
      <c r="P66" s="15" t="s">
        <v>650</v>
      </c>
      <c r="Q66" s="15" t="s">
        <v>832</v>
      </c>
      <c r="R66" s="15" t="s">
        <v>652</v>
      </c>
      <c r="S66" s="15" t="s">
        <v>833</v>
      </c>
      <c r="T66" s="15"/>
      <c r="U66" s="124" t="s">
        <v>808</v>
      </c>
      <c r="V66" s="124"/>
      <c r="W66" s="124"/>
      <c r="X66" s="15"/>
    </row>
    <row r="67" spans="1:24" x14ac:dyDescent="0.35">
      <c r="A67" s="123"/>
      <c r="B67" s="123"/>
      <c r="C67" s="123"/>
      <c r="D67" s="123"/>
      <c r="E67" s="123"/>
      <c r="F67" s="123"/>
      <c r="G67" s="123"/>
      <c r="H67" s="123"/>
      <c r="I67" s="123"/>
      <c r="J67" s="123"/>
      <c r="K67" s="123"/>
      <c r="L67" s="123"/>
      <c r="M67" s="15" t="s">
        <v>841</v>
      </c>
      <c r="N67" s="15">
        <v>1708</v>
      </c>
      <c r="O67" s="15">
        <v>648</v>
      </c>
      <c r="P67" s="15">
        <v>1041</v>
      </c>
      <c r="Q67" s="15">
        <v>1084</v>
      </c>
      <c r="R67" s="15">
        <v>1849</v>
      </c>
      <c r="S67" s="15">
        <v>1103</v>
      </c>
      <c r="T67" s="15"/>
      <c r="U67" s="124" t="s">
        <v>808</v>
      </c>
      <c r="V67" s="124"/>
      <c r="W67" s="124"/>
      <c r="X67" s="15"/>
    </row>
    <row r="68" spans="1:24" x14ac:dyDescent="0.35">
      <c r="A68" s="123"/>
      <c r="B68" s="123"/>
      <c r="C68" s="123"/>
      <c r="D68" s="123"/>
      <c r="E68" s="123"/>
      <c r="F68" s="123"/>
      <c r="G68" s="123"/>
      <c r="H68" s="123"/>
      <c r="I68" s="123"/>
      <c r="J68" s="123"/>
      <c r="K68" s="123"/>
      <c r="L68" s="123"/>
      <c r="M68" s="15" t="s">
        <v>417</v>
      </c>
      <c r="N68" s="15" t="s">
        <v>875</v>
      </c>
      <c r="O68" s="15" t="s">
        <v>876</v>
      </c>
      <c r="P68" s="15">
        <v>80.27</v>
      </c>
      <c r="Q68" s="15">
        <v>75.099999999999994</v>
      </c>
      <c r="R68" s="15">
        <v>65.62</v>
      </c>
      <c r="S68" s="15">
        <v>67.650000000000006</v>
      </c>
      <c r="T68" s="15"/>
      <c r="U68" s="123" t="s">
        <v>877</v>
      </c>
      <c r="V68" s="123"/>
      <c r="W68" s="123"/>
      <c r="X68" s="15"/>
    </row>
    <row r="69" spans="1:24" x14ac:dyDescent="0.35">
      <c r="A69" s="123"/>
      <c r="B69" s="123"/>
      <c r="C69" s="123"/>
      <c r="D69" s="123"/>
      <c r="E69" s="123"/>
      <c r="F69" s="123"/>
      <c r="G69" s="123"/>
      <c r="H69" s="123"/>
      <c r="I69" s="123"/>
      <c r="J69" s="123"/>
      <c r="K69" s="123"/>
      <c r="L69" s="123"/>
      <c r="M69" s="15" t="s">
        <v>657</v>
      </c>
      <c r="N69" s="15">
        <v>59.21</v>
      </c>
      <c r="O69" s="15">
        <v>36.61</v>
      </c>
      <c r="P69" s="15">
        <v>71.86</v>
      </c>
      <c r="Q69" s="15">
        <v>78.8</v>
      </c>
      <c r="R69" s="15">
        <v>61.73</v>
      </c>
      <c r="S69" s="15">
        <v>65.709999999999994</v>
      </c>
      <c r="T69" s="15"/>
      <c r="U69" s="123" t="s">
        <v>878</v>
      </c>
      <c r="V69" s="123"/>
      <c r="W69" s="123"/>
      <c r="X69" s="15"/>
    </row>
    <row r="70" spans="1:24" x14ac:dyDescent="0.35">
      <c r="A70" s="123"/>
      <c r="B70" s="123"/>
      <c r="C70" s="123"/>
      <c r="D70" s="123"/>
      <c r="E70" s="123"/>
      <c r="F70" s="123"/>
      <c r="G70" s="123"/>
      <c r="H70" s="123"/>
      <c r="I70" s="123"/>
      <c r="J70" s="123"/>
      <c r="K70" s="123"/>
      <c r="L70" s="123"/>
      <c r="M70" s="15"/>
      <c r="N70" s="15"/>
      <c r="O70" s="15"/>
      <c r="P70" s="15"/>
      <c r="Q70" s="15"/>
      <c r="R70" s="15"/>
      <c r="S70" s="15"/>
      <c r="T70" s="15"/>
      <c r="U70" s="15"/>
      <c r="V70" s="15"/>
      <c r="W70" s="15"/>
      <c r="X70" s="15"/>
    </row>
    <row r="71" spans="1:24" x14ac:dyDescent="0.35">
      <c r="A71" s="123"/>
      <c r="B71" s="123"/>
      <c r="C71" s="123"/>
      <c r="D71" s="123"/>
      <c r="E71" s="123"/>
      <c r="F71" s="123"/>
      <c r="G71" s="123"/>
      <c r="H71" s="123"/>
      <c r="I71" s="123"/>
      <c r="J71" s="123"/>
      <c r="K71" s="123"/>
      <c r="L71" s="123"/>
      <c r="M71" s="123" t="s">
        <v>879</v>
      </c>
      <c r="N71" s="123"/>
      <c r="O71" s="123"/>
      <c r="P71" s="123"/>
      <c r="Q71" s="123" t="s">
        <v>880</v>
      </c>
      <c r="R71" s="123"/>
      <c r="S71" s="123"/>
      <c r="T71" s="15"/>
      <c r="U71" s="15"/>
      <c r="V71" s="15"/>
      <c r="W71" s="15"/>
      <c r="X71" s="15"/>
    </row>
    <row r="72" spans="1:24" x14ac:dyDescent="0.35">
      <c r="A72" s="37">
        <v>44</v>
      </c>
      <c r="B72" s="37" t="s">
        <v>881</v>
      </c>
      <c r="C72" s="37">
        <v>2022</v>
      </c>
      <c r="D72" s="37" t="s">
        <v>882</v>
      </c>
      <c r="E72" s="37" t="s">
        <v>856</v>
      </c>
      <c r="F72" s="42" t="s">
        <v>808</v>
      </c>
      <c r="G72" s="42" t="s">
        <v>808</v>
      </c>
      <c r="H72" s="42" t="s">
        <v>808</v>
      </c>
      <c r="I72" s="42" t="s">
        <v>808</v>
      </c>
      <c r="J72" s="42" t="s">
        <v>808</v>
      </c>
      <c r="K72" s="42" t="s">
        <v>808</v>
      </c>
      <c r="L72" s="42" t="s">
        <v>808</v>
      </c>
      <c r="M72" s="42" t="s">
        <v>808</v>
      </c>
      <c r="N72" s="42" t="s">
        <v>808</v>
      </c>
      <c r="O72" s="42" t="s">
        <v>808</v>
      </c>
      <c r="P72" s="42" t="s">
        <v>808</v>
      </c>
      <c r="Q72" s="42" t="s">
        <v>808</v>
      </c>
      <c r="R72" s="42" t="s">
        <v>808</v>
      </c>
      <c r="S72" s="42" t="s">
        <v>808</v>
      </c>
      <c r="T72" s="42" t="s">
        <v>808</v>
      </c>
      <c r="U72" s="37" t="s">
        <v>857</v>
      </c>
      <c r="V72" s="37"/>
      <c r="W72" s="37" t="s">
        <v>810</v>
      </c>
      <c r="X72" s="37" t="s">
        <v>810</v>
      </c>
    </row>
    <row r="73" spans="1:24" x14ac:dyDescent="0.35">
      <c r="A73" s="37">
        <v>45</v>
      </c>
      <c r="B73" s="37" t="s">
        <v>883</v>
      </c>
      <c r="C73" s="37">
        <v>2021</v>
      </c>
      <c r="D73" s="37" t="s">
        <v>884</v>
      </c>
      <c r="E73" s="37" t="s">
        <v>813</v>
      </c>
      <c r="F73" s="37" t="s">
        <v>861</v>
      </c>
      <c r="G73" s="37" t="s">
        <v>885</v>
      </c>
      <c r="H73" s="42" t="s">
        <v>808</v>
      </c>
      <c r="I73" s="42" t="s">
        <v>808</v>
      </c>
      <c r="J73" s="42" t="s">
        <v>808</v>
      </c>
      <c r="K73" s="42" t="s">
        <v>808</v>
      </c>
      <c r="L73" s="42" t="s">
        <v>808</v>
      </c>
      <c r="M73" s="42" t="s">
        <v>808</v>
      </c>
      <c r="N73" s="42" t="s">
        <v>808</v>
      </c>
      <c r="O73" s="42" t="s">
        <v>808</v>
      </c>
      <c r="P73" s="42" t="s">
        <v>808</v>
      </c>
      <c r="Q73" s="42" t="s">
        <v>808</v>
      </c>
      <c r="R73" s="42" t="s">
        <v>808</v>
      </c>
      <c r="S73" s="42" t="s">
        <v>808</v>
      </c>
      <c r="T73" s="42" t="s">
        <v>808</v>
      </c>
      <c r="U73" s="37" t="s">
        <v>809</v>
      </c>
      <c r="V73" s="37"/>
      <c r="W73" s="37"/>
      <c r="X73" s="37" t="s">
        <v>810</v>
      </c>
    </row>
    <row r="74" spans="1:24" x14ac:dyDescent="0.35">
      <c r="A74" s="37">
        <v>46</v>
      </c>
      <c r="B74" s="37" t="s">
        <v>886</v>
      </c>
      <c r="C74" s="37">
        <v>2022</v>
      </c>
      <c r="D74" s="37" t="s">
        <v>887</v>
      </c>
      <c r="E74" s="37" t="s">
        <v>849</v>
      </c>
      <c r="F74" s="37" t="s">
        <v>861</v>
      </c>
      <c r="G74" s="42" t="s">
        <v>808</v>
      </c>
      <c r="H74" s="42" t="s">
        <v>808</v>
      </c>
      <c r="I74" s="42" t="s">
        <v>808</v>
      </c>
      <c r="J74" s="42" t="s">
        <v>808</v>
      </c>
      <c r="K74" s="42" t="s">
        <v>808</v>
      </c>
      <c r="L74" s="42" t="s">
        <v>808</v>
      </c>
      <c r="M74" s="42" t="s">
        <v>808</v>
      </c>
      <c r="N74" s="42" t="s">
        <v>808</v>
      </c>
      <c r="O74" s="42" t="s">
        <v>808</v>
      </c>
      <c r="P74" s="42" t="s">
        <v>808</v>
      </c>
      <c r="Q74" s="42" t="s">
        <v>808</v>
      </c>
      <c r="R74" s="42" t="s">
        <v>808</v>
      </c>
      <c r="S74" s="42" t="s">
        <v>808</v>
      </c>
      <c r="T74" s="42" t="s">
        <v>808</v>
      </c>
      <c r="U74" s="37" t="s">
        <v>888</v>
      </c>
      <c r="V74" s="37"/>
      <c r="W74" s="37"/>
      <c r="X74" s="37"/>
    </row>
    <row r="75" spans="1:24" x14ac:dyDescent="0.35">
      <c r="A75" s="37">
        <v>47</v>
      </c>
      <c r="B75" s="37" t="s">
        <v>889</v>
      </c>
      <c r="C75" s="37">
        <v>2023</v>
      </c>
      <c r="D75" s="37" t="s">
        <v>890</v>
      </c>
      <c r="E75" s="37" t="s">
        <v>891</v>
      </c>
      <c r="F75" s="37" t="s">
        <v>892</v>
      </c>
      <c r="G75" s="37" t="s">
        <v>893</v>
      </c>
      <c r="H75" s="37" t="s">
        <v>37</v>
      </c>
      <c r="I75" s="37" t="s">
        <v>894</v>
      </c>
      <c r="J75" s="37" t="s">
        <v>39</v>
      </c>
      <c r="K75" s="37" t="s">
        <v>810</v>
      </c>
      <c r="L75" s="37" t="s">
        <v>810</v>
      </c>
      <c r="M75" s="37" t="s">
        <v>810</v>
      </c>
      <c r="N75" s="37" t="s">
        <v>810</v>
      </c>
      <c r="O75" s="37" t="s">
        <v>810</v>
      </c>
      <c r="P75" s="37" t="s">
        <v>810</v>
      </c>
      <c r="Q75" s="37" t="s">
        <v>810</v>
      </c>
      <c r="R75" s="37" t="s">
        <v>810</v>
      </c>
      <c r="S75" s="37" t="s">
        <v>810</v>
      </c>
      <c r="T75" s="37" t="s">
        <v>895</v>
      </c>
      <c r="U75" s="37" t="s">
        <v>852</v>
      </c>
      <c r="V75" s="37"/>
      <c r="W75" s="37" t="s">
        <v>810</v>
      </c>
      <c r="X75" s="37" t="s">
        <v>810</v>
      </c>
    </row>
    <row r="76" spans="1:24" x14ac:dyDescent="0.35">
      <c r="A76" s="123"/>
      <c r="B76" s="123"/>
      <c r="C76" s="123"/>
      <c r="D76" s="123"/>
      <c r="E76" s="123"/>
      <c r="F76" s="123"/>
      <c r="G76" s="123"/>
      <c r="H76" s="123"/>
      <c r="I76" s="123"/>
      <c r="J76" s="123"/>
      <c r="K76" s="123"/>
      <c r="L76" s="123"/>
      <c r="M76" s="15"/>
      <c r="N76" s="123" t="s">
        <v>822</v>
      </c>
      <c r="O76" s="123"/>
      <c r="P76" s="123"/>
      <c r="Q76" s="123"/>
      <c r="R76" s="15"/>
      <c r="S76" s="15"/>
      <c r="T76" s="15"/>
      <c r="U76" s="15"/>
      <c r="V76" s="15"/>
      <c r="W76" s="15"/>
      <c r="X76" s="15"/>
    </row>
    <row r="77" spans="1:24" x14ac:dyDescent="0.35">
      <c r="A77" s="123"/>
      <c r="B77" s="123"/>
      <c r="C77" s="123"/>
      <c r="D77" s="123"/>
      <c r="E77" s="123"/>
      <c r="F77" s="123"/>
      <c r="G77" s="123"/>
      <c r="H77" s="123"/>
      <c r="I77" s="123"/>
      <c r="J77" s="123"/>
      <c r="K77" s="123"/>
      <c r="L77" s="123"/>
      <c r="M77" s="15"/>
      <c r="N77" s="123" t="s">
        <v>896</v>
      </c>
      <c r="O77" s="123"/>
      <c r="P77" s="123"/>
      <c r="Q77" s="123"/>
      <c r="R77" s="15"/>
      <c r="S77" s="15"/>
      <c r="T77" s="15"/>
      <c r="U77" s="15"/>
      <c r="V77" s="15"/>
      <c r="W77" s="15"/>
      <c r="X77" s="15"/>
    </row>
    <row r="78" spans="1:24" x14ac:dyDescent="0.35">
      <c r="A78" s="123"/>
      <c r="B78" s="123"/>
      <c r="C78" s="123"/>
      <c r="D78" s="123"/>
      <c r="E78" s="123"/>
      <c r="F78" s="123"/>
      <c r="G78" s="123"/>
      <c r="H78" s="123"/>
      <c r="I78" s="123"/>
      <c r="J78" s="123"/>
      <c r="K78" s="123"/>
      <c r="L78" s="123"/>
      <c r="M78" s="15" t="s">
        <v>897</v>
      </c>
      <c r="N78" s="123" t="s">
        <v>898</v>
      </c>
      <c r="O78" s="123"/>
      <c r="P78" s="123"/>
      <c r="Q78" s="123"/>
      <c r="R78" s="15"/>
      <c r="S78" s="15"/>
      <c r="T78" s="15"/>
      <c r="U78" s="15"/>
      <c r="V78" s="15"/>
      <c r="W78" s="15"/>
      <c r="X78" s="15"/>
    </row>
    <row r="79" spans="1:24" x14ac:dyDescent="0.35">
      <c r="A79" s="123"/>
      <c r="B79" s="123"/>
      <c r="C79" s="123"/>
      <c r="D79" s="123"/>
      <c r="E79" s="123"/>
      <c r="F79" s="123"/>
      <c r="G79" s="123"/>
      <c r="H79" s="123"/>
      <c r="I79" s="123"/>
      <c r="J79" s="123"/>
      <c r="K79" s="123"/>
      <c r="L79" s="123"/>
      <c r="M79" s="15" t="s">
        <v>899</v>
      </c>
      <c r="N79" s="123" t="s">
        <v>900</v>
      </c>
      <c r="O79" s="123"/>
      <c r="P79" s="123"/>
      <c r="Q79" s="123"/>
      <c r="R79" s="15"/>
      <c r="S79" s="15"/>
      <c r="T79" s="15"/>
      <c r="U79" s="15"/>
      <c r="V79" s="15"/>
      <c r="W79" s="15"/>
      <c r="X79" s="15"/>
    </row>
    <row r="80" spans="1:24" x14ac:dyDescent="0.35">
      <c r="A80" s="123"/>
      <c r="B80" s="123"/>
      <c r="C80" s="123"/>
      <c r="D80" s="123"/>
      <c r="E80" s="123"/>
      <c r="F80" s="123"/>
      <c r="G80" s="123"/>
      <c r="H80" s="123"/>
      <c r="I80" s="123"/>
      <c r="J80" s="123"/>
      <c r="K80" s="123"/>
      <c r="L80" s="123"/>
      <c r="M80" s="15"/>
      <c r="N80" s="123" t="s">
        <v>901</v>
      </c>
      <c r="O80" s="123"/>
      <c r="P80" s="123"/>
      <c r="Q80" s="123"/>
      <c r="R80" s="15"/>
      <c r="S80" s="15"/>
      <c r="T80" s="15"/>
      <c r="U80" s="15"/>
      <c r="V80" s="15"/>
      <c r="W80" s="15"/>
      <c r="X80" s="15"/>
    </row>
    <row r="81" spans="1:24" x14ac:dyDescent="0.35">
      <c r="A81" s="123"/>
      <c r="B81" s="123"/>
      <c r="C81" s="123"/>
      <c r="D81" s="123"/>
      <c r="E81" s="123"/>
      <c r="F81" s="123"/>
      <c r="G81" s="123"/>
      <c r="H81" s="123"/>
      <c r="I81" s="123"/>
      <c r="J81" s="123"/>
      <c r="K81" s="123"/>
      <c r="L81" s="123"/>
      <c r="M81" s="15"/>
      <c r="N81" s="123" t="s">
        <v>902</v>
      </c>
      <c r="O81" s="123"/>
      <c r="P81" s="123"/>
      <c r="Q81" s="123"/>
      <c r="R81" s="15"/>
      <c r="S81" s="15"/>
      <c r="T81" s="15"/>
      <c r="U81" s="15"/>
      <c r="V81" s="15"/>
      <c r="W81" s="15"/>
      <c r="X81" s="15"/>
    </row>
    <row r="82" spans="1:24" x14ac:dyDescent="0.35">
      <c r="A82" s="123"/>
      <c r="B82" s="123"/>
      <c r="C82" s="123"/>
      <c r="D82" s="123"/>
      <c r="E82" s="123"/>
      <c r="F82" s="123"/>
      <c r="G82" s="123"/>
      <c r="H82" s="123"/>
      <c r="I82" s="123"/>
      <c r="J82" s="123"/>
      <c r="K82" s="123"/>
      <c r="L82" s="123"/>
      <c r="M82" s="15" t="s">
        <v>823</v>
      </c>
      <c r="N82" s="123" t="s">
        <v>903</v>
      </c>
      <c r="O82" s="123"/>
      <c r="P82" s="123"/>
      <c r="Q82" s="123"/>
      <c r="R82" s="15"/>
      <c r="S82" s="15"/>
      <c r="T82" s="15"/>
      <c r="U82" s="15"/>
      <c r="V82" s="15"/>
      <c r="W82" s="15"/>
      <c r="X82" s="15"/>
    </row>
    <row r="83" spans="1:24" x14ac:dyDescent="0.35">
      <c r="A83" s="123"/>
      <c r="B83" s="123"/>
      <c r="C83" s="123"/>
      <c r="D83" s="123"/>
      <c r="E83" s="123"/>
      <c r="F83" s="123"/>
      <c r="G83" s="123"/>
      <c r="H83" s="123"/>
      <c r="I83" s="123"/>
      <c r="J83" s="123"/>
      <c r="K83" s="123"/>
      <c r="L83" s="123"/>
      <c r="M83" s="15" t="s">
        <v>904</v>
      </c>
      <c r="N83" s="123" t="s">
        <v>905</v>
      </c>
      <c r="O83" s="123"/>
      <c r="P83" s="123"/>
      <c r="Q83" s="123"/>
      <c r="R83" s="15"/>
      <c r="S83" s="15"/>
      <c r="T83" s="15"/>
      <c r="U83" s="15"/>
      <c r="V83" s="15"/>
      <c r="W83" s="15"/>
      <c r="X83" s="15"/>
    </row>
    <row r="84" spans="1:24" x14ac:dyDescent="0.35">
      <c r="A84" s="123"/>
      <c r="B84" s="123"/>
      <c r="C84" s="123"/>
      <c r="D84" s="123"/>
      <c r="E84" s="123"/>
      <c r="F84" s="123"/>
      <c r="G84" s="123"/>
      <c r="H84" s="123"/>
      <c r="I84" s="123"/>
      <c r="J84" s="123"/>
      <c r="K84" s="123"/>
      <c r="L84" s="123"/>
      <c r="M84" s="15" t="s">
        <v>906</v>
      </c>
      <c r="N84" s="123" t="s">
        <v>907</v>
      </c>
      <c r="O84" s="123"/>
      <c r="P84" s="123"/>
      <c r="Q84" s="123"/>
      <c r="R84" s="15"/>
      <c r="S84" s="15"/>
      <c r="T84" s="15"/>
      <c r="U84" s="15"/>
      <c r="V84" s="15"/>
      <c r="W84" s="15"/>
      <c r="X84" s="15"/>
    </row>
    <row r="85" spans="1:24" x14ac:dyDescent="0.35">
      <c r="A85" s="123"/>
      <c r="B85" s="123"/>
      <c r="C85" s="123"/>
      <c r="D85" s="123"/>
      <c r="E85" s="123"/>
      <c r="F85" s="123"/>
      <c r="G85" s="123"/>
      <c r="H85" s="123"/>
      <c r="I85" s="123"/>
      <c r="J85" s="123"/>
      <c r="K85" s="123"/>
      <c r="L85" s="123"/>
      <c r="M85" s="15"/>
      <c r="N85" s="15"/>
      <c r="O85" s="15"/>
      <c r="P85" s="15"/>
      <c r="Q85" s="15"/>
      <c r="R85" s="15"/>
      <c r="S85" s="15"/>
      <c r="T85" s="15"/>
      <c r="U85" s="15"/>
      <c r="V85" s="15"/>
      <c r="W85" s="15"/>
      <c r="X85" s="15"/>
    </row>
    <row r="86" spans="1:24" x14ac:dyDescent="0.35">
      <c r="A86" s="37">
        <v>48</v>
      </c>
      <c r="B86" s="37" t="s">
        <v>908</v>
      </c>
      <c r="C86" s="37">
        <v>2022</v>
      </c>
      <c r="D86" s="37" t="s">
        <v>909</v>
      </c>
      <c r="E86" s="37" t="s">
        <v>910</v>
      </c>
      <c r="F86" s="37" t="s">
        <v>861</v>
      </c>
      <c r="G86" s="42" t="s">
        <v>808</v>
      </c>
      <c r="H86" s="42" t="s">
        <v>808</v>
      </c>
      <c r="I86" s="42" t="s">
        <v>808</v>
      </c>
      <c r="J86" s="42" t="s">
        <v>808</v>
      </c>
      <c r="K86" s="42" t="s">
        <v>808</v>
      </c>
      <c r="L86" s="42" t="s">
        <v>808</v>
      </c>
      <c r="M86" s="42" t="s">
        <v>808</v>
      </c>
      <c r="N86" s="42" t="s">
        <v>808</v>
      </c>
      <c r="O86" s="42" t="s">
        <v>808</v>
      </c>
      <c r="P86" s="42" t="s">
        <v>808</v>
      </c>
      <c r="Q86" s="42" t="s">
        <v>808</v>
      </c>
      <c r="R86" s="42" t="s">
        <v>808</v>
      </c>
      <c r="S86" s="42" t="s">
        <v>808</v>
      </c>
      <c r="T86" s="42" t="s">
        <v>808</v>
      </c>
      <c r="U86" s="37" t="s">
        <v>809</v>
      </c>
      <c r="V86" s="37"/>
      <c r="W86" s="37"/>
      <c r="X86" s="37" t="s">
        <v>810</v>
      </c>
    </row>
    <row r="87" spans="1:24" x14ac:dyDescent="0.35">
      <c r="A87" s="37">
        <v>49</v>
      </c>
      <c r="B87" s="15"/>
      <c r="C87" s="15"/>
      <c r="D87" s="15"/>
      <c r="E87" s="15"/>
      <c r="F87" s="15"/>
      <c r="G87" s="15"/>
      <c r="H87" s="15"/>
      <c r="I87" s="15"/>
      <c r="J87" s="15"/>
      <c r="K87" s="15"/>
      <c r="L87" s="15"/>
      <c r="M87" s="15"/>
      <c r="N87" s="15"/>
      <c r="O87" s="15"/>
      <c r="P87" s="15"/>
      <c r="Q87" s="15"/>
      <c r="R87" s="15"/>
      <c r="S87" s="15"/>
      <c r="T87" s="15"/>
      <c r="U87" s="15"/>
      <c r="V87" s="15"/>
      <c r="W87" s="15"/>
      <c r="X87" s="15"/>
    </row>
    <row r="88" spans="1:24" x14ac:dyDescent="0.35">
      <c r="A88" s="37">
        <v>50</v>
      </c>
      <c r="B88" s="15"/>
      <c r="C88" s="15"/>
      <c r="D88" s="15"/>
      <c r="E88" s="15"/>
      <c r="F88" s="15"/>
      <c r="G88" s="15"/>
      <c r="H88" s="15"/>
      <c r="I88" s="15"/>
      <c r="J88" s="15"/>
      <c r="K88" s="15"/>
      <c r="L88" s="15"/>
      <c r="M88" s="15"/>
      <c r="N88" s="15"/>
      <c r="O88" s="15"/>
      <c r="P88" s="15"/>
      <c r="Q88" s="15"/>
      <c r="R88" s="15"/>
      <c r="S88" s="15"/>
      <c r="T88" s="15"/>
      <c r="U88" s="15"/>
      <c r="V88" s="15"/>
      <c r="W88" s="15"/>
      <c r="X88" s="15"/>
    </row>
    <row r="89" spans="1:24" x14ac:dyDescent="0.35">
      <c r="A89" s="37">
        <v>51</v>
      </c>
      <c r="B89" s="37" t="s">
        <v>911</v>
      </c>
      <c r="C89" s="37">
        <v>2022</v>
      </c>
      <c r="D89" s="37" t="s">
        <v>912</v>
      </c>
      <c r="E89" s="37" t="s">
        <v>891</v>
      </c>
      <c r="F89" s="37" t="s">
        <v>861</v>
      </c>
      <c r="G89" s="42" t="s">
        <v>808</v>
      </c>
      <c r="H89" s="42" t="s">
        <v>808</v>
      </c>
      <c r="I89" s="42" t="s">
        <v>808</v>
      </c>
      <c r="J89" s="42" t="s">
        <v>808</v>
      </c>
      <c r="K89" s="42" t="s">
        <v>808</v>
      </c>
      <c r="L89" s="42" t="s">
        <v>808</v>
      </c>
      <c r="M89" s="42" t="s">
        <v>808</v>
      </c>
      <c r="N89" s="42" t="s">
        <v>808</v>
      </c>
      <c r="O89" s="42" t="s">
        <v>808</v>
      </c>
      <c r="P89" s="42" t="s">
        <v>808</v>
      </c>
      <c r="Q89" s="42" t="s">
        <v>808</v>
      </c>
      <c r="R89" s="42" t="s">
        <v>808</v>
      </c>
      <c r="S89" s="42" t="s">
        <v>808</v>
      </c>
      <c r="T89" s="42" t="s">
        <v>808</v>
      </c>
      <c r="U89" s="37" t="s">
        <v>913</v>
      </c>
      <c r="V89" s="37"/>
      <c r="W89" s="37" t="s">
        <v>810</v>
      </c>
      <c r="X89" s="37" t="s">
        <v>810</v>
      </c>
    </row>
    <row r="90" spans="1:24" x14ac:dyDescent="0.35">
      <c r="A90" s="37">
        <v>52</v>
      </c>
      <c r="B90" s="37" t="s">
        <v>914</v>
      </c>
      <c r="C90" s="37">
        <v>2022</v>
      </c>
      <c r="D90" s="37" t="s">
        <v>915</v>
      </c>
      <c r="E90" s="37" t="s">
        <v>916</v>
      </c>
      <c r="F90" s="37" t="s">
        <v>917</v>
      </c>
      <c r="G90" s="42" t="s">
        <v>808</v>
      </c>
      <c r="H90" s="42" t="s">
        <v>808</v>
      </c>
      <c r="I90" s="42" t="s">
        <v>808</v>
      </c>
      <c r="J90" s="42" t="s">
        <v>808</v>
      </c>
      <c r="K90" s="42" t="s">
        <v>808</v>
      </c>
      <c r="L90" s="42" t="s">
        <v>808</v>
      </c>
      <c r="M90" s="42" t="s">
        <v>808</v>
      </c>
      <c r="N90" s="42" t="s">
        <v>808</v>
      </c>
      <c r="O90" s="42" t="s">
        <v>808</v>
      </c>
      <c r="P90" s="42" t="s">
        <v>808</v>
      </c>
      <c r="Q90" s="42" t="s">
        <v>808</v>
      </c>
      <c r="R90" s="42" t="s">
        <v>808</v>
      </c>
      <c r="S90" s="42" t="s">
        <v>808</v>
      </c>
      <c r="T90" s="42" t="s">
        <v>808</v>
      </c>
      <c r="U90" s="37" t="s">
        <v>918</v>
      </c>
      <c r="V90" s="37"/>
      <c r="W90" s="37"/>
      <c r="X90" s="37"/>
    </row>
    <row r="91" spans="1:24" x14ac:dyDescent="0.35">
      <c r="A91" s="40">
        <v>53</v>
      </c>
      <c r="B91" s="40" t="s">
        <v>919</v>
      </c>
      <c r="C91" s="40">
        <v>2023</v>
      </c>
      <c r="D91" s="40" t="s">
        <v>920</v>
      </c>
      <c r="E91" s="40" t="s">
        <v>891</v>
      </c>
      <c r="F91" s="40" t="s">
        <v>921</v>
      </c>
      <c r="G91" s="40" t="s">
        <v>922</v>
      </c>
      <c r="H91" s="40" t="s">
        <v>37</v>
      </c>
      <c r="I91" s="40" t="s">
        <v>923</v>
      </c>
      <c r="J91" s="40" t="s">
        <v>924</v>
      </c>
      <c r="K91" s="43" t="s">
        <v>808</v>
      </c>
      <c r="L91" s="43" t="s">
        <v>808</v>
      </c>
      <c r="M91" s="43" t="s">
        <v>808</v>
      </c>
      <c r="N91" s="43" t="s">
        <v>808</v>
      </c>
      <c r="O91" s="43" t="s">
        <v>808</v>
      </c>
      <c r="P91" s="43" t="s">
        <v>808</v>
      </c>
      <c r="Q91" s="43" t="s">
        <v>808</v>
      </c>
      <c r="R91" s="40" t="s">
        <v>925</v>
      </c>
      <c r="S91" s="40" t="s">
        <v>926</v>
      </c>
      <c r="T91" s="40" t="s">
        <v>927</v>
      </c>
      <c r="U91" s="43" t="s">
        <v>808</v>
      </c>
      <c r="V91" s="40" t="s">
        <v>810</v>
      </c>
      <c r="W91" s="40" t="s">
        <v>810</v>
      </c>
      <c r="X91" s="40" t="s">
        <v>810</v>
      </c>
    </row>
    <row r="92" spans="1:24" x14ac:dyDescent="0.35">
      <c r="A92" s="123"/>
      <c r="B92" s="123"/>
      <c r="C92" s="123"/>
      <c r="D92" s="123"/>
      <c r="E92" s="123"/>
      <c r="F92" s="123"/>
      <c r="G92" s="123"/>
      <c r="H92" s="123"/>
      <c r="I92" s="15"/>
      <c r="J92" s="123" t="s">
        <v>2</v>
      </c>
      <c r="K92" s="123"/>
      <c r="L92" s="123" t="s">
        <v>928</v>
      </c>
      <c r="M92" s="123"/>
      <c r="N92" s="123" t="s">
        <v>929</v>
      </c>
      <c r="O92" s="123"/>
      <c r="P92" s="123"/>
      <c r="Q92" s="15"/>
      <c r="R92" s="15"/>
      <c r="S92" s="15"/>
      <c r="T92" s="15"/>
      <c r="U92" s="15"/>
      <c r="V92" s="15"/>
      <c r="W92" s="15"/>
      <c r="X92" s="15"/>
    </row>
    <row r="93" spans="1:24" x14ac:dyDescent="0.35">
      <c r="A93" s="123"/>
      <c r="B93" s="123"/>
      <c r="C93" s="123"/>
      <c r="D93" s="123"/>
      <c r="E93" s="123"/>
      <c r="F93" s="123"/>
      <c r="G93" s="123"/>
      <c r="H93" s="123"/>
      <c r="I93" s="15"/>
      <c r="J93" s="15"/>
      <c r="K93" s="15"/>
      <c r="L93" s="15" t="s">
        <v>930</v>
      </c>
      <c r="M93" s="15" t="s">
        <v>657</v>
      </c>
      <c r="N93" s="15" t="s">
        <v>930</v>
      </c>
      <c r="O93" s="15" t="s">
        <v>657</v>
      </c>
      <c r="P93" s="15"/>
      <c r="Q93" s="15"/>
      <c r="R93" s="15"/>
      <c r="S93" s="15"/>
      <c r="T93" s="15"/>
      <c r="U93" s="15"/>
      <c r="V93" s="15"/>
      <c r="W93" s="15"/>
      <c r="X93" s="15"/>
    </row>
    <row r="94" spans="1:24" x14ac:dyDescent="0.35">
      <c r="A94" s="123"/>
      <c r="B94" s="123"/>
      <c r="C94" s="123"/>
      <c r="D94" s="123"/>
      <c r="E94" s="123"/>
      <c r="F94" s="123"/>
      <c r="G94" s="123"/>
      <c r="H94" s="123"/>
      <c r="I94" s="15"/>
      <c r="J94" s="123" t="s">
        <v>931</v>
      </c>
      <c r="K94" s="123"/>
      <c r="L94" s="15">
        <v>71.150000000000006</v>
      </c>
      <c r="M94" s="15">
        <v>69.38</v>
      </c>
      <c r="N94" s="15">
        <v>72.12</v>
      </c>
      <c r="O94" s="15">
        <v>70.239999999999995</v>
      </c>
      <c r="P94" s="15"/>
      <c r="Q94" s="15"/>
      <c r="R94" s="15"/>
      <c r="S94" s="15"/>
      <c r="T94" s="15"/>
      <c r="U94" s="15"/>
      <c r="V94" s="15"/>
      <c r="W94" s="15"/>
      <c r="X94" s="15"/>
    </row>
    <row r="95" spans="1:24" x14ac:dyDescent="0.35">
      <c r="A95" s="123"/>
      <c r="B95" s="123"/>
      <c r="C95" s="123"/>
      <c r="D95" s="123"/>
      <c r="E95" s="123"/>
      <c r="F95" s="123"/>
      <c r="G95" s="123"/>
      <c r="H95" s="123"/>
      <c r="I95" s="15"/>
      <c r="J95" s="123" t="s">
        <v>932</v>
      </c>
      <c r="K95" s="123"/>
      <c r="L95" s="15">
        <v>62.32</v>
      </c>
      <c r="M95" s="15">
        <v>60.81</v>
      </c>
      <c r="N95" s="15">
        <v>63.83</v>
      </c>
      <c r="O95" s="15">
        <v>62.95</v>
      </c>
      <c r="P95" s="15"/>
      <c r="Q95" s="15"/>
      <c r="R95" s="15"/>
      <c r="S95" s="15"/>
      <c r="T95" s="15"/>
      <c r="U95" s="15"/>
      <c r="V95" s="15"/>
      <c r="W95" s="15"/>
      <c r="X95" s="15"/>
    </row>
    <row r="96" spans="1:24" x14ac:dyDescent="0.35">
      <c r="A96" s="123"/>
      <c r="B96" s="123"/>
      <c r="C96" s="123"/>
      <c r="D96" s="123"/>
      <c r="E96" s="123"/>
      <c r="F96" s="123"/>
      <c r="G96" s="123"/>
      <c r="H96" s="123"/>
      <c r="I96" s="15"/>
      <c r="J96" s="123" t="s">
        <v>933</v>
      </c>
      <c r="K96" s="123"/>
      <c r="L96" s="15">
        <v>43.67</v>
      </c>
      <c r="M96" s="15">
        <v>43.21</v>
      </c>
      <c r="N96" s="15">
        <v>45.91</v>
      </c>
      <c r="O96" s="15">
        <v>44.21</v>
      </c>
      <c r="P96" s="15"/>
      <c r="Q96" s="15"/>
      <c r="R96" s="15"/>
      <c r="S96" s="15"/>
      <c r="T96" s="15"/>
      <c r="U96" s="15"/>
      <c r="V96" s="15"/>
      <c r="W96" s="15"/>
      <c r="X96" s="15"/>
    </row>
    <row r="97" spans="1:24" x14ac:dyDescent="0.35">
      <c r="A97" s="123"/>
      <c r="B97" s="123"/>
      <c r="C97" s="123"/>
      <c r="D97" s="123"/>
      <c r="E97" s="123"/>
      <c r="F97" s="123"/>
      <c r="G97" s="123"/>
      <c r="H97" s="123"/>
      <c r="I97" s="15"/>
      <c r="J97" s="123" t="s">
        <v>934</v>
      </c>
      <c r="K97" s="123"/>
      <c r="L97" s="15">
        <v>41.11</v>
      </c>
      <c r="M97" s="15">
        <v>39.82</v>
      </c>
      <c r="N97" s="15">
        <v>43.21</v>
      </c>
      <c r="O97" s="15">
        <v>41.76</v>
      </c>
      <c r="P97" s="15"/>
      <c r="Q97" s="15"/>
      <c r="R97" s="15"/>
      <c r="S97" s="15"/>
      <c r="T97" s="15"/>
      <c r="U97" s="15"/>
      <c r="V97" s="15"/>
      <c r="W97" s="15"/>
      <c r="X97" s="15"/>
    </row>
    <row r="98" spans="1:24" x14ac:dyDescent="0.35">
      <c r="A98" s="123"/>
      <c r="B98" s="123"/>
      <c r="C98" s="123"/>
      <c r="D98" s="123"/>
      <c r="E98" s="123"/>
      <c r="F98" s="123"/>
      <c r="G98" s="123"/>
      <c r="H98" s="123"/>
      <c r="I98" s="123" t="s">
        <v>935</v>
      </c>
      <c r="J98" s="123"/>
      <c r="K98" s="123"/>
      <c r="L98" s="15">
        <v>67.91</v>
      </c>
      <c r="M98" s="15">
        <v>66.73</v>
      </c>
      <c r="N98" s="15">
        <v>68.41</v>
      </c>
      <c r="O98" s="15">
        <v>67.099999999999994</v>
      </c>
      <c r="P98" s="15"/>
      <c r="Q98" s="15"/>
      <c r="R98" s="15"/>
      <c r="S98" s="15"/>
      <c r="T98" s="15"/>
      <c r="U98" s="15"/>
      <c r="V98" s="15"/>
      <c r="W98" s="15"/>
      <c r="X98" s="15"/>
    </row>
    <row r="99" spans="1:24" x14ac:dyDescent="0.35">
      <c r="A99" s="123"/>
      <c r="B99" s="123"/>
      <c r="C99" s="123"/>
      <c r="D99" s="123"/>
      <c r="E99" s="123"/>
      <c r="F99" s="123"/>
      <c r="G99" s="123"/>
      <c r="H99" s="123"/>
      <c r="I99" s="123" t="s">
        <v>936</v>
      </c>
      <c r="J99" s="123"/>
      <c r="K99" s="123"/>
      <c r="L99" s="15">
        <v>67.41</v>
      </c>
      <c r="M99" s="15">
        <v>65.48</v>
      </c>
      <c r="N99" s="15">
        <v>68.11</v>
      </c>
      <c r="O99" s="15">
        <v>66.790000000000006</v>
      </c>
      <c r="P99" s="15"/>
      <c r="Q99" s="15"/>
      <c r="R99" s="15"/>
      <c r="S99" s="15"/>
      <c r="T99" s="15"/>
      <c r="U99" s="15"/>
      <c r="V99" s="15"/>
      <c r="W99" s="15"/>
      <c r="X99" s="15"/>
    </row>
    <row r="100" spans="1:24" x14ac:dyDescent="0.35">
      <c r="A100" s="123"/>
      <c r="B100" s="123"/>
      <c r="C100" s="123"/>
      <c r="D100" s="123"/>
      <c r="E100" s="123"/>
      <c r="F100" s="123"/>
      <c r="G100" s="123"/>
      <c r="H100" s="123"/>
      <c r="I100" s="123" t="s">
        <v>937</v>
      </c>
      <c r="J100" s="123"/>
      <c r="K100" s="123"/>
      <c r="L100" s="15">
        <v>52.12</v>
      </c>
      <c r="M100" s="15">
        <v>50.22</v>
      </c>
      <c r="N100" s="15">
        <v>54.98</v>
      </c>
      <c r="O100" s="15">
        <v>52.17</v>
      </c>
      <c r="P100" s="15"/>
      <c r="Q100" s="15"/>
      <c r="R100" s="15"/>
      <c r="S100" s="15"/>
      <c r="T100" s="15"/>
      <c r="U100" s="15"/>
      <c r="V100" s="15"/>
      <c r="W100" s="15"/>
      <c r="X100" s="15"/>
    </row>
    <row r="101" spans="1:24" x14ac:dyDescent="0.35">
      <c r="A101" s="123"/>
      <c r="B101" s="123"/>
      <c r="C101" s="123"/>
      <c r="D101" s="123"/>
      <c r="E101" s="123"/>
      <c r="F101" s="123"/>
      <c r="G101" s="123"/>
      <c r="H101" s="123"/>
      <c r="I101" s="123" t="s">
        <v>938</v>
      </c>
      <c r="J101" s="123"/>
      <c r="K101" s="123"/>
      <c r="L101" s="15">
        <v>67.42</v>
      </c>
      <c r="M101" s="44" t="s">
        <v>808</v>
      </c>
      <c r="N101" s="15">
        <v>68.38</v>
      </c>
      <c r="O101" s="44" t="s">
        <v>808</v>
      </c>
      <c r="P101" s="15"/>
      <c r="Q101" s="15"/>
      <c r="R101" s="15"/>
      <c r="S101" s="15"/>
      <c r="T101" s="15"/>
      <c r="U101" s="15"/>
      <c r="V101" s="15"/>
      <c r="W101" s="15"/>
      <c r="X101" s="15"/>
    </row>
    <row r="102" spans="1:24" x14ac:dyDescent="0.35">
      <c r="A102" s="123"/>
      <c r="B102" s="123"/>
      <c r="C102" s="123"/>
      <c r="D102" s="123"/>
      <c r="E102" s="123"/>
      <c r="F102" s="123"/>
      <c r="G102" s="123"/>
      <c r="H102" s="123"/>
      <c r="I102" s="15"/>
      <c r="J102" s="15"/>
      <c r="K102" s="15"/>
      <c r="L102" s="15"/>
      <c r="M102" s="15"/>
      <c r="N102" s="15"/>
      <c r="O102" s="15"/>
      <c r="P102" s="15"/>
      <c r="Q102" s="15"/>
      <c r="R102" s="15"/>
      <c r="S102" s="15"/>
      <c r="T102" s="15"/>
      <c r="U102" s="15"/>
      <c r="V102" s="15"/>
      <c r="W102" s="15"/>
      <c r="X102" s="15"/>
    </row>
    <row r="103" spans="1:24" x14ac:dyDescent="0.35">
      <c r="A103" s="37">
        <v>54</v>
      </c>
      <c r="B103" s="37" t="s">
        <v>939</v>
      </c>
      <c r="C103" s="37">
        <v>2017</v>
      </c>
      <c r="D103" s="37" t="s">
        <v>940</v>
      </c>
      <c r="E103" s="37" t="s">
        <v>891</v>
      </c>
      <c r="F103" s="37" t="s">
        <v>861</v>
      </c>
      <c r="G103" s="42" t="s">
        <v>808</v>
      </c>
      <c r="H103" s="37" t="s">
        <v>941</v>
      </c>
      <c r="I103" s="42" t="s">
        <v>808</v>
      </c>
      <c r="J103" s="42" t="s">
        <v>808</v>
      </c>
      <c r="K103" s="42" t="s">
        <v>808</v>
      </c>
      <c r="L103" s="42" t="s">
        <v>808</v>
      </c>
      <c r="M103" s="42" t="s">
        <v>808</v>
      </c>
      <c r="N103" s="42" t="s">
        <v>808</v>
      </c>
      <c r="O103" s="42" t="s">
        <v>808</v>
      </c>
      <c r="P103" s="42" t="s">
        <v>808</v>
      </c>
      <c r="Q103" s="42" t="s">
        <v>808</v>
      </c>
      <c r="R103" s="42" t="s">
        <v>808</v>
      </c>
      <c r="S103" s="42" t="s">
        <v>808</v>
      </c>
      <c r="T103" s="42" t="s">
        <v>808</v>
      </c>
      <c r="U103" s="37" t="s">
        <v>942</v>
      </c>
      <c r="V103" s="15"/>
      <c r="W103" s="15"/>
      <c r="X103" s="15"/>
    </row>
    <row r="104" spans="1:24" x14ac:dyDescent="0.35">
      <c r="A104" s="40">
        <v>55</v>
      </c>
      <c r="B104" s="40" t="s">
        <v>943</v>
      </c>
      <c r="C104" s="40">
        <v>2021</v>
      </c>
      <c r="D104" s="40" t="s">
        <v>944</v>
      </c>
      <c r="E104" s="40" t="s">
        <v>891</v>
      </c>
      <c r="F104" s="40" t="s">
        <v>921</v>
      </c>
      <c r="G104" s="40" t="s">
        <v>945</v>
      </c>
      <c r="H104" s="40" t="s">
        <v>946</v>
      </c>
      <c r="I104" s="40" t="s">
        <v>947</v>
      </c>
      <c r="J104" s="40" t="s">
        <v>948</v>
      </c>
      <c r="K104" s="43" t="s">
        <v>808</v>
      </c>
      <c r="L104" s="43" t="s">
        <v>808</v>
      </c>
      <c r="M104" s="43" t="s">
        <v>808</v>
      </c>
      <c r="N104" s="43" t="s">
        <v>808</v>
      </c>
      <c r="O104" s="43" t="s">
        <v>808</v>
      </c>
      <c r="P104" s="43" t="s">
        <v>808</v>
      </c>
      <c r="Q104" s="43" t="s">
        <v>808</v>
      </c>
      <c r="R104" s="40" t="s">
        <v>949</v>
      </c>
      <c r="S104" s="40" t="s">
        <v>820</v>
      </c>
      <c r="T104" s="40" t="s">
        <v>950</v>
      </c>
      <c r="U104" s="40" t="s">
        <v>951</v>
      </c>
      <c r="V104" s="40"/>
      <c r="W104" s="40" t="s">
        <v>810</v>
      </c>
      <c r="X104" s="40" t="s">
        <v>810</v>
      </c>
    </row>
    <row r="105" spans="1:24" x14ac:dyDescent="0.35">
      <c r="A105" s="123"/>
      <c r="B105" s="123"/>
      <c r="C105" s="123"/>
      <c r="D105" s="123"/>
      <c r="E105" s="123"/>
      <c r="F105" s="123"/>
      <c r="G105" s="123" t="s">
        <v>952</v>
      </c>
      <c r="H105" s="123"/>
      <c r="I105" s="123"/>
      <c r="J105" s="123"/>
      <c r="K105" s="123" t="s">
        <v>953</v>
      </c>
      <c r="L105" s="123"/>
      <c r="M105" s="123"/>
      <c r="N105" s="123"/>
      <c r="O105" s="123" t="s">
        <v>954</v>
      </c>
      <c r="P105" s="123"/>
      <c r="Q105" s="123"/>
      <c r="R105" s="15"/>
      <c r="S105" s="15"/>
      <c r="T105" s="15"/>
      <c r="U105" s="15"/>
      <c r="V105" s="15"/>
      <c r="W105" s="15"/>
      <c r="X105" s="15"/>
    </row>
    <row r="106" spans="1:24" x14ac:dyDescent="0.35">
      <c r="A106" s="123"/>
      <c r="B106" s="123"/>
      <c r="C106" s="123"/>
      <c r="D106" s="123"/>
      <c r="E106" s="123"/>
      <c r="F106" s="123"/>
      <c r="G106" s="15"/>
      <c r="H106" s="15"/>
      <c r="I106" s="123" t="s">
        <v>955</v>
      </c>
      <c r="J106" s="123"/>
      <c r="K106" s="15" t="s">
        <v>417</v>
      </c>
      <c r="L106" s="123">
        <v>60.51</v>
      </c>
      <c r="M106" s="123"/>
      <c r="N106" s="123"/>
      <c r="O106" s="123">
        <v>83.86</v>
      </c>
      <c r="P106" s="123"/>
      <c r="Q106" s="123"/>
      <c r="R106" s="15"/>
      <c r="S106" s="15"/>
      <c r="T106" s="15"/>
      <c r="U106" s="15"/>
      <c r="V106" s="15"/>
      <c r="W106" s="15"/>
      <c r="X106" s="15"/>
    </row>
    <row r="107" spans="1:24" x14ac:dyDescent="0.35">
      <c r="A107" s="123"/>
      <c r="B107" s="123"/>
      <c r="C107" s="123"/>
      <c r="D107" s="123"/>
      <c r="E107" s="123"/>
      <c r="F107" s="123"/>
      <c r="G107" s="15"/>
      <c r="H107" s="15"/>
      <c r="I107" s="123"/>
      <c r="J107" s="123"/>
      <c r="K107" s="15" t="s">
        <v>657</v>
      </c>
      <c r="L107" s="123">
        <v>60.91</v>
      </c>
      <c r="M107" s="123"/>
      <c r="N107" s="123"/>
      <c r="O107" s="123">
        <v>84.86</v>
      </c>
      <c r="P107" s="123"/>
      <c r="Q107" s="123"/>
      <c r="R107" s="15"/>
      <c r="S107" s="15"/>
      <c r="T107" s="15"/>
      <c r="U107" s="15"/>
      <c r="V107" s="15"/>
      <c r="W107" s="15"/>
      <c r="X107" s="15"/>
    </row>
    <row r="108" spans="1:24" x14ac:dyDescent="0.35">
      <c r="A108" s="123"/>
      <c r="B108" s="123"/>
      <c r="C108" s="123"/>
      <c r="D108" s="123"/>
      <c r="E108" s="123"/>
      <c r="F108" s="123"/>
      <c r="G108" s="15"/>
      <c r="H108" s="15"/>
      <c r="I108" s="123" t="s">
        <v>956</v>
      </c>
      <c r="J108" s="123"/>
      <c r="K108" s="15" t="s">
        <v>417</v>
      </c>
      <c r="L108" s="123">
        <v>62.48</v>
      </c>
      <c r="M108" s="123"/>
      <c r="N108" s="123"/>
      <c r="O108" s="123">
        <v>84.08</v>
      </c>
      <c r="P108" s="123"/>
      <c r="Q108" s="123"/>
      <c r="R108" s="15"/>
      <c r="S108" s="15"/>
      <c r="T108" s="15"/>
      <c r="U108" s="15"/>
      <c r="V108" s="15"/>
      <c r="W108" s="15"/>
      <c r="X108" s="15"/>
    </row>
    <row r="109" spans="1:24" x14ac:dyDescent="0.35">
      <c r="A109" s="123"/>
      <c r="B109" s="123"/>
      <c r="C109" s="123"/>
      <c r="D109" s="123"/>
      <c r="E109" s="123"/>
      <c r="F109" s="123"/>
      <c r="G109" s="15"/>
      <c r="H109" s="15"/>
      <c r="I109" s="123"/>
      <c r="J109" s="123"/>
      <c r="K109" s="15" t="s">
        <v>657</v>
      </c>
      <c r="L109" s="123">
        <v>62.48</v>
      </c>
      <c r="M109" s="123"/>
      <c r="N109" s="123"/>
      <c r="O109" s="123">
        <v>44.61</v>
      </c>
      <c r="P109" s="123"/>
      <c r="Q109" s="123"/>
      <c r="R109" s="15"/>
      <c r="S109" s="15"/>
      <c r="T109" s="15"/>
      <c r="U109" s="15"/>
      <c r="V109" s="15"/>
      <c r="W109" s="15"/>
      <c r="X109" s="15"/>
    </row>
    <row r="110" spans="1:24" x14ac:dyDescent="0.35">
      <c r="A110" s="37">
        <v>56</v>
      </c>
      <c r="B110" s="37" t="s">
        <v>957</v>
      </c>
      <c r="C110" s="37">
        <v>2022</v>
      </c>
      <c r="D110" s="37" t="s">
        <v>958</v>
      </c>
      <c r="E110" s="37" t="s">
        <v>856</v>
      </c>
      <c r="F110" s="37" t="s">
        <v>959</v>
      </c>
      <c r="G110" s="37" t="s">
        <v>960</v>
      </c>
      <c r="H110" s="42" t="s">
        <v>808</v>
      </c>
      <c r="I110" s="42" t="s">
        <v>808</v>
      </c>
      <c r="J110" s="42" t="s">
        <v>808</v>
      </c>
      <c r="K110" s="42" t="s">
        <v>808</v>
      </c>
      <c r="L110" s="42" t="s">
        <v>808</v>
      </c>
      <c r="M110" s="42" t="s">
        <v>808</v>
      </c>
      <c r="N110" s="42" t="s">
        <v>808</v>
      </c>
      <c r="O110" s="42" t="s">
        <v>808</v>
      </c>
      <c r="P110" s="42" t="s">
        <v>808</v>
      </c>
      <c r="Q110" s="42" t="s">
        <v>808</v>
      </c>
      <c r="R110" s="42" t="s">
        <v>808</v>
      </c>
      <c r="S110" s="42" t="s">
        <v>808</v>
      </c>
      <c r="T110" s="42" t="s">
        <v>808</v>
      </c>
      <c r="U110" s="37" t="s">
        <v>857</v>
      </c>
      <c r="V110" s="37"/>
      <c r="W110" s="37" t="s">
        <v>810</v>
      </c>
      <c r="X110" s="37" t="s">
        <v>810</v>
      </c>
    </row>
    <row r="111" spans="1:24" s="47" customFormat="1" x14ac:dyDescent="0.35">
      <c r="A111" s="48">
        <v>57</v>
      </c>
      <c r="B111" s="48" t="s">
        <v>961</v>
      </c>
      <c r="C111" s="48">
        <v>2022</v>
      </c>
      <c r="D111" s="48" t="s">
        <v>962</v>
      </c>
      <c r="E111" s="48" t="s">
        <v>963</v>
      </c>
      <c r="F111" s="48" t="s">
        <v>964</v>
      </c>
      <c r="G111" s="48" t="s">
        <v>965</v>
      </c>
      <c r="H111" s="48" t="s">
        <v>37</v>
      </c>
      <c r="I111" s="48" t="s">
        <v>966</v>
      </c>
      <c r="J111" s="48" t="s">
        <v>967</v>
      </c>
      <c r="K111" s="48"/>
      <c r="L111" s="48"/>
      <c r="M111" s="48"/>
      <c r="N111" s="48"/>
      <c r="O111" s="48"/>
      <c r="P111" s="48"/>
      <c r="Q111" s="48" t="s">
        <v>810</v>
      </c>
      <c r="R111" s="48" t="s">
        <v>968</v>
      </c>
      <c r="S111" s="48" t="s">
        <v>969</v>
      </c>
      <c r="T111" s="48" t="s">
        <v>970</v>
      </c>
      <c r="U111" s="48"/>
      <c r="V111" s="48"/>
      <c r="W111" s="48"/>
      <c r="X111" s="48"/>
    </row>
    <row r="112" spans="1:24" x14ac:dyDescent="0.35">
      <c r="A112" s="123"/>
      <c r="B112" s="123"/>
      <c r="C112" s="123"/>
      <c r="D112" s="123"/>
      <c r="E112" s="123"/>
      <c r="F112" s="123"/>
      <c r="G112" s="123"/>
      <c r="H112" s="123"/>
      <c r="I112" s="123"/>
      <c r="J112" s="15"/>
      <c r="K112" s="15"/>
      <c r="L112" s="15"/>
      <c r="M112" s="15"/>
      <c r="N112" s="15"/>
      <c r="O112" s="15"/>
      <c r="P112" s="15"/>
      <c r="Q112" s="15"/>
      <c r="R112" s="15"/>
      <c r="S112" s="15"/>
      <c r="T112" s="15"/>
      <c r="U112" s="15"/>
      <c r="V112" s="15"/>
      <c r="W112" s="15"/>
      <c r="X112" s="15"/>
    </row>
    <row r="113" spans="1:24" x14ac:dyDescent="0.35">
      <c r="A113" s="123"/>
      <c r="B113" s="123"/>
      <c r="C113" s="123"/>
      <c r="D113" s="123"/>
      <c r="E113" s="123"/>
      <c r="F113" s="123"/>
      <c r="G113" s="123"/>
      <c r="H113" s="123"/>
      <c r="I113" s="123"/>
      <c r="J113" s="123" t="s">
        <v>971</v>
      </c>
      <c r="K113" s="123"/>
      <c r="L113" s="123" t="s">
        <v>972</v>
      </c>
      <c r="M113" s="123"/>
      <c r="N113" s="123"/>
      <c r="O113" s="123" t="s">
        <v>973</v>
      </c>
      <c r="P113" s="123"/>
      <c r="Q113" s="123"/>
      <c r="R113" s="15"/>
      <c r="S113" s="15"/>
      <c r="T113" s="15"/>
      <c r="U113" s="15"/>
      <c r="V113" s="15"/>
      <c r="W113" s="15"/>
      <c r="X113" s="15"/>
    </row>
    <row r="114" spans="1:24" x14ac:dyDescent="0.35">
      <c r="A114" s="123"/>
      <c r="B114" s="123"/>
      <c r="C114" s="123"/>
      <c r="D114" s="123"/>
      <c r="E114" s="123"/>
      <c r="F114" s="123"/>
      <c r="G114" s="123"/>
      <c r="H114" s="123"/>
      <c r="I114" s="123"/>
      <c r="J114" s="123"/>
      <c r="K114" s="123"/>
      <c r="L114" s="15" t="s">
        <v>974</v>
      </c>
      <c r="M114" s="15" t="s">
        <v>975</v>
      </c>
      <c r="N114" s="15" t="s">
        <v>976</v>
      </c>
      <c r="O114" s="15" t="s">
        <v>974</v>
      </c>
      <c r="P114" s="15" t="s">
        <v>975</v>
      </c>
      <c r="Q114" s="15" t="s">
        <v>976</v>
      </c>
      <c r="R114" s="15"/>
      <c r="S114" s="15"/>
      <c r="T114" s="15"/>
      <c r="U114" s="15"/>
      <c r="V114" s="15"/>
      <c r="W114" s="15"/>
      <c r="X114" s="15"/>
    </row>
    <row r="115" spans="1:24" x14ac:dyDescent="0.35">
      <c r="A115" s="123"/>
      <c r="B115" s="123"/>
      <c r="C115" s="123"/>
      <c r="D115" s="123"/>
      <c r="E115" s="123"/>
      <c r="F115" s="123"/>
      <c r="G115" s="123"/>
      <c r="H115" s="123"/>
      <c r="I115" s="123"/>
      <c r="J115" s="123" t="s">
        <v>917</v>
      </c>
      <c r="K115" s="123"/>
      <c r="L115" s="15">
        <v>78.099999999999994</v>
      </c>
      <c r="M115" s="15">
        <v>78.3</v>
      </c>
      <c r="N115" s="15" t="s">
        <v>977</v>
      </c>
      <c r="O115" s="15">
        <v>67.599999999999994</v>
      </c>
      <c r="P115" s="15">
        <v>66</v>
      </c>
      <c r="Q115" s="15">
        <v>36.200000000000003</v>
      </c>
      <c r="R115" s="15"/>
      <c r="S115" s="15"/>
      <c r="T115" s="15"/>
      <c r="U115" s="15"/>
      <c r="V115" s="15"/>
      <c r="W115" s="15"/>
      <c r="X115" s="15"/>
    </row>
    <row r="116" spans="1:24" x14ac:dyDescent="0.35">
      <c r="A116" s="123"/>
      <c r="B116" s="123"/>
      <c r="C116" s="123"/>
      <c r="D116" s="123"/>
      <c r="E116" s="123"/>
      <c r="F116" s="123"/>
      <c r="G116" s="123"/>
      <c r="H116" s="123"/>
      <c r="I116" s="123"/>
      <c r="J116" s="123" t="s">
        <v>978</v>
      </c>
      <c r="K116" s="123"/>
      <c r="L116" s="15">
        <v>79.7</v>
      </c>
      <c r="M116" s="15">
        <v>81.099999999999994</v>
      </c>
      <c r="N116" s="15" t="s">
        <v>979</v>
      </c>
      <c r="O116" s="15">
        <v>67.599999999999994</v>
      </c>
      <c r="P116" s="15">
        <v>57.5</v>
      </c>
      <c r="Q116" s="15">
        <v>26.2</v>
      </c>
      <c r="R116" s="15"/>
      <c r="S116" s="15"/>
      <c r="T116" s="15"/>
      <c r="U116" s="15"/>
      <c r="V116" s="15"/>
      <c r="W116" s="15"/>
      <c r="X116" s="15"/>
    </row>
    <row r="117" spans="1:24" x14ac:dyDescent="0.35">
      <c r="A117" s="123"/>
      <c r="B117" s="123"/>
      <c r="C117" s="123"/>
      <c r="D117" s="123"/>
      <c r="E117" s="123"/>
      <c r="F117" s="123"/>
      <c r="G117" s="123"/>
      <c r="H117" s="123"/>
      <c r="I117" s="123"/>
      <c r="J117" s="123" t="s">
        <v>980</v>
      </c>
      <c r="K117" s="123"/>
      <c r="L117" s="15">
        <v>78.599999999999994</v>
      </c>
      <c r="M117" s="15">
        <v>72.5</v>
      </c>
      <c r="N117" s="15" t="s">
        <v>981</v>
      </c>
      <c r="O117" s="15">
        <v>68</v>
      </c>
      <c r="P117" s="15">
        <v>60.1</v>
      </c>
      <c r="Q117" s="15">
        <v>25</v>
      </c>
      <c r="R117" s="15"/>
      <c r="S117" s="15"/>
      <c r="T117" s="15"/>
      <c r="U117" s="15"/>
      <c r="V117" s="15"/>
      <c r="W117" s="15"/>
      <c r="X117" s="15"/>
    </row>
    <row r="118" spans="1:24" x14ac:dyDescent="0.35">
      <c r="A118" s="123"/>
      <c r="B118" s="123"/>
      <c r="C118" s="123"/>
      <c r="D118" s="123"/>
      <c r="E118" s="123"/>
      <c r="F118" s="123"/>
      <c r="G118" s="123"/>
      <c r="H118" s="123"/>
      <c r="I118" s="123"/>
      <c r="J118" s="123" t="s">
        <v>982</v>
      </c>
      <c r="K118" s="123"/>
      <c r="L118" s="15">
        <v>77.599999999999994</v>
      </c>
      <c r="M118" s="15">
        <v>80.5</v>
      </c>
      <c r="N118" s="15">
        <v>63.1</v>
      </c>
      <c r="O118" s="15">
        <v>68.599999999999994</v>
      </c>
      <c r="P118" s="15">
        <v>64.400000000000006</v>
      </c>
      <c r="Q118" s="15">
        <v>34.799999999999997</v>
      </c>
      <c r="R118" s="15"/>
      <c r="S118" s="15"/>
      <c r="T118" s="15"/>
      <c r="U118" s="15"/>
      <c r="V118" s="15"/>
      <c r="W118" s="15"/>
      <c r="X118" s="15"/>
    </row>
    <row r="119" spans="1:24" x14ac:dyDescent="0.35">
      <c r="A119" s="37">
        <v>58</v>
      </c>
      <c r="B119" s="37" t="s">
        <v>983</v>
      </c>
      <c r="C119" s="37">
        <v>2022</v>
      </c>
      <c r="D119" s="37" t="s">
        <v>984</v>
      </c>
      <c r="E119" s="37" t="s">
        <v>849</v>
      </c>
      <c r="F119" s="37" t="s">
        <v>861</v>
      </c>
      <c r="G119" s="42" t="s">
        <v>808</v>
      </c>
      <c r="H119" s="37" t="s">
        <v>37</v>
      </c>
      <c r="I119" s="42" t="s">
        <v>808</v>
      </c>
      <c r="J119" s="37" t="s">
        <v>985</v>
      </c>
      <c r="K119" s="42" t="s">
        <v>808</v>
      </c>
      <c r="L119" s="42" t="s">
        <v>808</v>
      </c>
      <c r="M119" s="42" t="s">
        <v>808</v>
      </c>
      <c r="N119" s="42" t="s">
        <v>808</v>
      </c>
      <c r="O119" s="42" t="s">
        <v>808</v>
      </c>
      <c r="P119" s="42" t="s">
        <v>808</v>
      </c>
      <c r="Q119" s="42" t="s">
        <v>808</v>
      </c>
      <c r="R119" s="42" t="s">
        <v>808</v>
      </c>
      <c r="S119" s="42" t="s">
        <v>808</v>
      </c>
      <c r="T119" s="42" t="s">
        <v>808</v>
      </c>
      <c r="U119" s="37" t="s">
        <v>913</v>
      </c>
      <c r="V119" s="37"/>
      <c r="W119" s="37" t="s">
        <v>810</v>
      </c>
      <c r="X119" s="37" t="s">
        <v>810</v>
      </c>
    </row>
    <row r="120" spans="1:24" s="47" customFormat="1" x14ac:dyDescent="0.35">
      <c r="A120" s="48">
        <v>59</v>
      </c>
      <c r="B120" s="48" t="s">
        <v>986</v>
      </c>
      <c r="C120" s="48">
        <v>2015</v>
      </c>
      <c r="D120" s="48" t="s">
        <v>987</v>
      </c>
      <c r="E120" s="48" t="s">
        <v>891</v>
      </c>
      <c r="F120" s="48" t="s">
        <v>988</v>
      </c>
      <c r="G120" s="48" t="s">
        <v>36</v>
      </c>
      <c r="H120" s="48" t="s">
        <v>37</v>
      </c>
      <c r="I120" s="48" t="s">
        <v>989</v>
      </c>
      <c r="J120" s="48" t="s">
        <v>990</v>
      </c>
      <c r="K120" s="48"/>
      <c r="L120" s="48"/>
      <c r="M120" s="48"/>
      <c r="N120" s="48"/>
      <c r="O120" s="48" t="s">
        <v>810</v>
      </c>
      <c r="P120" s="48" t="s">
        <v>810</v>
      </c>
      <c r="Q120" s="48" t="s">
        <v>810</v>
      </c>
      <c r="R120" s="48" t="s">
        <v>991</v>
      </c>
      <c r="S120" s="48"/>
      <c r="T120" s="48" t="s">
        <v>992</v>
      </c>
      <c r="U120" s="48" t="s">
        <v>993</v>
      </c>
      <c r="V120" s="48"/>
      <c r="W120" s="48"/>
      <c r="X120" s="48"/>
    </row>
    <row r="121" spans="1:24" x14ac:dyDescent="0.35">
      <c r="A121" s="123"/>
      <c r="B121" s="123"/>
      <c r="C121" s="123"/>
      <c r="D121" s="123"/>
      <c r="E121" s="123"/>
      <c r="F121" s="123"/>
      <c r="G121" s="123"/>
      <c r="H121" s="15"/>
      <c r="I121" s="15"/>
      <c r="J121" s="15"/>
      <c r="K121" s="15"/>
      <c r="L121" s="15"/>
      <c r="M121" s="15"/>
      <c r="N121" s="15"/>
      <c r="O121" s="15"/>
      <c r="P121" s="15"/>
      <c r="Q121" s="15"/>
      <c r="R121" s="15"/>
      <c r="S121" s="15"/>
      <c r="T121" s="15"/>
      <c r="U121" s="15"/>
      <c r="V121" s="15"/>
      <c r="W121" s="15"/>
      <c r="X121" s="15"/>
    </row>
    <row r="122" spans="1:24" x14ac:dyDescent="0.35">
      <c r="A122" s="123"/>
      <c r="B122" s="123"/>
      <c r="C122" s="123"/>
      <c r="D122" s="123"/>
      <c r="E122" s="123"/>
      <c r="F122" s="123"/>
      <c r="G122" s="123"/>
      <c r="H122" s="123" t="s">
        <v>994</v>
      </c>
      <c r="I122" s="123"/>
      <c r="J122" s="123"/>
      <c r="K122" s="123"/>
      <c r="L122" s="123" t="s">
        <v>995</v>
      </c>
      <c r="M122" s="123"/>
      <c r="N122" s="123"/>
      <c r="O122" s="123"/>
      <c r="P122" s="123"/>
      <c r="Q122" s="15"/>
      <c r="R122" s="123" t="s">
        <v>996</v>
      </c>
      <c r="S122" s="123"/>
      <c r="T122" s="123"/>
      <c r="U122" s="123"/>
      <c r="V122" s="15"/>
      <c r="W122" s="15"/>
      <c r="X122" s="15"/>
    </row>
    <row r="123" spans="1:24" x14ac:dyDescent="0.35">
      <c r="A123" s="123"/>
      <c r="B123" s="123"/>
      <c r="C123" s="123"/>
      <c r="D123" s="123"/>
      <c r="E123" s="123"/>
      <c r="F123" s="123"/>
      <c r="G123" s="123"/>
      <c r="H123" s="15"/>
      <c r="I123" s="15"/>
      <c r="J123" s="123"/>
      <c r="K123" s="123"/>
      <c r="L123" s="15" t="s">
        <v>974</v>
      </c>
      <c r="M123" s="15" t="s">
        <v>997</v>
      </c>
      <c r="N123" s="15" t="s">
        <v>998</v>
      </c>
      <c r="O123" s="15" t="s">
        <v>975</v>
      </c>
      <c r="P123" s="15" t="s">
        <v>999</v>
      </c>
      <c r="Q123" s="15"/>
      <c r="R123" s="15" t="s">
        <v>974</v>
      </c>
      <c r="S123" s="15" t="s">
        <v>998</v>
      </c>
      <c r="T123" s="15" t="s">
        <v>975</v>
      </c>
      <c r="U123" s="15" t="s">
        <v>999</v>
      </c>
      <c r="V123" s="15"/>
      <c r="W123" s="15"/>
      <c r="X123" s="15"/>
    </row>
    <row r="124" spans="1:24" x14ac:dyDescent="0.35">
      <c r="A124" s="123"/>
      <c r="B124" s="123"/>
      <c r="C124" s="123"/>
      <c r="D124" s="123"/>
      <c r="E124" s="123"/>
      <c r="F124" s="123"/>
      <c r="G124" s="123"/>
      <c r="H124" s="15"/>
      <c r="I124" s="15"/>
      <c r="J124" s="123" t="s">
        <v>1000</v>
      </c>
      <c r="K124" s="123"/>
      <c r="L124" s="15">
        <v>54.1</v>
      </c>
      <c r="M124" s="15">
        <v>65.8</v>
      </c>
      <c r="N124" s="15">
        <v>68.3</v>
      </c>
      <c r="O124" s="15">
        <v>60.1</v>
      </c>
      <c r="P124" s="15">
        <v>62</v>
      </c>
      <c r="Q124" s="15"/>
      <c r="R124" s="15">
        <v>41.6</v>
      </c>
      <c r="S124" s="15" t="s">
        <v>1001</v>
      </c>
      <c r="T124" s="15">
        <v>34</v>
      </c>
      <c r="U124" s="15">
        <v>37.799999999999997</v>
      </c>
      <c r="V124" s="15"/>
      <c r="W124" s="15"/>
      <c r="X124" s="15"/>
    </row>
    <row r="125" spans="1:24" x14ac:dyDescent="0.35">
      <c r="A125" s="123"/>
      <c r="B125" s="123"/>
      <c r="C125" s="123"/>
      <c r="D125" s="123"/>
      <c r="E125" s="123"/>
      <c r="F125" s="123"/>
      <c r="G125" s="123"/>
      <c r="H125" s="15"/>
      <c r="I125" s="15"/>
      <c r="J125" s="123" t="s">
        <v>470</v>
      </c>
      <c r="K125" s="123"/>
      <c r="L125" s="15">
        <v>52.4</v>
      </c>
      <c r="M125" s="15" t="s">
        <v>1002</v>
      </c>
      <c r="N125" s="15" t="s">
        <v>1003</v>
      </c>
      <c r="O125" s="15" t="s">
        <v>1004</v>
      </c>
      <c r="P125" s="15" t="s">
        <v>1005</v>
      </c>
      <c r="Q125" s="15"/>
      <c r="R125" s="15" t="s">
        <v>1006</v>
      </c>
      <c r="S125" s="15" t="s">
        <v>1007</v>
      </c>
      <c r="T125" s="15" t="s">
        <v>1008</v>
      </c>
      <c r="U125" s="15" t="s">
        <v>1009</v>
      </c>
      <c r="V125" s="15"/>
      <c r="W125" s="15"/>
      <c r="X125" s="15"/>
    </row>
    <row r="126" spans="1:24" x14ac:dyDescent="0.35">
      <c r="A126" s="123"/>
      <c r="B126" s="123"/>
      <c r="C126" s="123"/>
      <c r="D126" s="123"/>
      <c r="E126" s="123"/>
      <c r="F126" s="123"/>
      <c r="G126" s="123"/>
      <c r="H126" s="15"/>
      <c r="I126" s="15"/>
      <c r="J126" s="123" t="s">
        <v>1010</v>
      </c>
      <c r="K126" s="123"/>
      <c r="L126" s="15">
        <v>52.5</v>
      </c>
      <c r="M126" s="15">
        <v>61.2</v>
      </c>
      <c r="N126" s="15">
        <v>65.8</v>
      </c>
      <c r="O126" s="15">
        <v>58</v>
      </c>
      <c r="P126" s="15">
        <v>59.4</v>
      </c>
      <c r="Q126" s="15"/>
      <c r="R126" s="15">
        <v>53.9</v>
      </c>
      <c r="S126" s="15">
        <v>51.6</v>
      </c>
      <c r="T126" s="15">
        <v>39.5</v>
      </c>
      <c r="U126" s="15">
        <v>48.3</v>
      </c>
      <c r="V126" s="15"/>
      <c r="W126" s="15"/>
      <c r="X126" s="15"/>
    </row>
    <row r="127" spans="1:24" x14ac:dyDescent="0.35">
      <c r="A127" s="123"/>
      <c r="B127" s="123"/>
      <c r="C127" s="123"/>
      <c r="D127" s="123"/>
      <c r="E127" s="123"/>
      <c r="F127" s="123"/>
      <c r="G127" s="123"/>
      <c r="H127" s="15"/>
      <c r="I127" s="15"/>
      <c r="J127" s="15"/>
      <c r="K127" s="15"/>
      <c r="L127" s="15"/>
      <c r="M127" s="15"/>
      <c r="N127" s="15"/>
      <c r="O127" s="15"/>
      <c r="P127" s="15"/>
      <c r="Q127" s="15"/>
      <c r="R127" s="15"/>
      <c r="S127" s="15"/>
      <c r="T127" s="15"/>
      <c r="U127" s="15"/>
      <c r="V127" s="15"/>
      <c r="W127" s="15"/>
      <c r="X127" s="15"/>
    </row>
    <row r="128" spans="1:24" x14ac:dyDescent="0.35">
      <c r="A128" s="38">
        <v>60</v>
      </c>
      <c r="B128" s="38" t="s">
        <v>1011</v>
      </c>
      <c r="C128" s="38">
        <v>2014</v>
      </c>
      <c r="D128" s="38" t="s">
        <v>1012</v>
      </c>
      <c r="E128" s="38" t="s">
        <v>891</v>
      </c>
      <c r="F128" s="38" t="s">
        <v>470</v>
      </c>
      <c r="G128" s="38" t="s">
        <v>1013</v>
      </c>
      <c r="H128" s="38" t="s">
        <v>1014</v>
      </c>
      <c r="I128" s="38">
        <v>1114</v>
      </c>
      <c r="J128" s="38" t="s">
        <v>1015</v>
      </c>
      <c r="K128" s="125" t="s">
        <v>1016</v>
      </c>
      <c r="L128" s="125"/>
      <c r="M128" s="125"/>
      <c r="N128" s="125"/>
      <c r="O128" s="125"/>
      <c r="P128" s="45" t="s">
        <v>808</v>
      </c>
      <c r="Q128" s="45" t="s">
        <v>808</v>
      </c>
      <c r="R128" s="38" t="s">
        <v>1017</v>
      </c>
      <c r="S128" s="38" t="s">
        <v>1018</v>
      </c>
      <c r="T128" s="38" t="s">
        <v>1019</v>
      </c>
      <c r="U128" s="45" t="s">
        <v>808</v>
      </c>
      <c r="V128" s="38" t="s">
        <v>810</v>
      </c>
      <c r="W128" s="38" t="s">
        <v>810</v>
      </c>
      <c r="X128" s="38" t="s">
        <v>810</v>
      </c>
    </row>
    <row r="129" spans="1:24" x14ac:dyDescent="0.35">
      <c r="A129" s="39">
        <v>61</v>
      </c>
      <c r="B129" s="39" t="s">
        <v>1020</v>
      </c>
      <c r="C129" s="39">
        <v>2021</v>
      </c>
      <c r="D129" s="39" t="s">
        <v>1021</v>
      </c>
      <c r="E129" s="39" t="s">
        <v>856</v>
      </c>
      <c r="F129" s="39" t="s">
        <v>865</v>
      </c>
      <c r="G129" s="39" t="s">
        <v>1022</v>
      </c>
      <c r="H129" s="39" t="s">
        <v>37</v>
      </c>
      <c r="I129" s="39">
        <v>13000</v>
      </c>
      <c r="J129" s="39" t="s">
        <v>138</v>
      </c>
      <c r="K129" s="46" t="s">
        <v>808</v>
      </c>
      <c r="L129" s="46" t="s">
        <v>808</v>
      </c>
      <c r="M129" s="46" t="s">
        <v>808</v>
      </c>
      <c r="N129" s="46" t="s">
        <v>808</v>
      </c>
      <c r="O129" s="46" t="s">
        <v>808</v>
      </c>
      <c r="P129" s="46" t="s">
        <v>808</v>
      </c>
      <c r="Q129" s="46" t="s">
        <v>808</v>
      </c>
      <c r="R129" s="39" t="s">
        <v>1023</v>
      </c>
      <c r="S129" s="39"/>
      <c r="T129" s="39" t="s">
        <v>1024</v>
      </c>
      <c r="U129" s="39"/>
      <c r="V129" s="39"/>
      <c r="W129" s="39"/>
      <c r="X129" s="39"/>
    </row>
    <row r="130" spans="1:24" x14ac:dyDescent="0.35">
      <c r="A130" s="123"/>
      <c r="B130" s="123"/>
      <c r="C130" s="123"/>
      <c r="D130" s="123"/>
      <c r="E130" s="123"/>
      <c r="F130" s="123"/>
      <c r="G130" s="123"/>
      <c r="H130" s="123"/>
      <c r="I130" s="123"/>
      <c r="J130" s="15"/>
      <c r="K130" s="15"/>
      <c r="L130" s="123" t="s">
        <v>1025</v>
      </c>
      <c r="M130" s="123"/>
      <c r="N130" s="123"/>
      <c r="O130" s="123"/>
      <c r="P130" s="123"/>
      <c r="Q130" s="15"/>
      <c r="R130" s="15"/>
      <c r="S130" s="15"/>
      <c r="T130" s="15"/>
      <c r="U130" s="15"/>
      <c r="V130" s="15"/>
      <c r="W130" s="15"/>
      <c r="X130" s="15"/>
    </row>
    <row r="131" spans="1:24" x14ac:dyDescent="0.35">
      <c r="A131" s="123"/>
      <c r="B131" s="123"/>
      <c r="C131" s="123"/>
      <c r="D131" s="123"/>
      <c r="E131" s="123"/>
      <c r="F131" s="123"/>
      <c r="G131" s="123"/>
      <c r="H131" s="123"/>
      <c r="I131" s="123"/>
      <c r="J131" s="15"/>
      <c r="K131" s="15"/>
      <c r="L131" s="15"/>
      <c r="M131" s="15"/>
      <c r="N131" s="15"/>
      <c r="O131" s="15"/>
      <c r="P131" s="15"/>
      <c r="Q131" s="15"/>
      <c r="R131" s="15"/>
      <c r="S131" s="15"/>
      <c r="T131" s="15"/>
      <c r="U131" s="15"/>
      <c r="V131" s="15"/>
      <c r="W131" s="15"/>
      <c r="X131" s="15"/>
    </row>
    <row r="132" spans="1:24" x14ac:dyDescent="0.35">
      <c r="A132" s="123"/>
      <c r="B132" s="123"/>
      <c r="C132" s="123"/>
      <c r="D132" s="123"/>
      <c r="E132" s="123"/>
      <c r="F132" s="123"/>
      <c r="G132" s="123"/>
      <c r="H132" s="123"/>
      <c r="I132" s="123"/>
      <c r="J132" s="15"/>
      <c r="K132" s="15" t="s">
        <v>657</v>
      </c>
      <c r="L132" s="123" t="s">
        <v>638</v>
      </c>
      <c r="M132" s="123"/>
      <c r="N132" s="123"/>
      <c r="O132" s="15"/>
      <c r="P132" s="123" t="s">
        <v>827</v>
      </c>
      <c r="Q132" s="123"/>
      <c r="R132" s="123"/>
      <c r="S132" s="123"/>
      <c r="T132" s="123" t="s">
        <v>1026</v>
      </c>
      <c r="U132" s="123"/>
      <c r="V132" s="15"/>
      <c r="W132" s="15"/>
      <c r="X132" s="15"/>
    </row>
    <row r="133" spans="1:24" x14ac:dyDescent="0.35">
      <c r="A133" s="123"/>
      <c r="B133" s="123"/>
      <c r="C133" s="123"/>
      <c r="D133" s="123"/>
      <c r="E133" s="123"/>
      <c r="F133" s="123"/>
      <c r="G133" s="123"/>
      <c r="H133" s="123"/>
      <c r="I133" s="123"/>
      <c r="J133" s="15"/>
      <c r="K133" s="15"/>
      <c r="L133" s="123" t="s">
        <v>828</v>
      </c>
      <c r="M133" s="123"/>
      <c r="N133" s="123"/>
      <c r="O133" s="15"/>
      <c r="P133" s="123" t="s">
        <v>643</v>
      </c>
      <c r="Q133" s="123"/>
      <c r="R133" s="123"/>
      <c r="S133" s="123"/>
      <c r="T133" s="123"/>
      <c r="U133" s="123"/>
      <c r="V133" s="15"/>
      <c r="W133" s="15"/>
      <c r="X133" s="15"/>
    </row>
    <row r="134" spans="1:24" x14ac:dyDescent="0.35">
      <c r="A134" s="123"/>
      <c r="B134" s="123"/>
      <c r="C134" s="123"/>
      <c r="D134" s="123"/>
      <c r="E134" s="123"/>
      <c r="F134" s="123"/>
      <c r="G134" s="123"/>
      <c r="H134" s="123"/>
      <c r="I134" s="123"/>
      <c r="J134" s="15"/>
      <c r="K134" s="15"/>
      <c r="L134" s="15" t="s">
        <v>649</v>
      </c>
      <c r="M134" s="15" t="s">
        <v>668</v>
      </c>
      <c r="N134" s="15" t="s">
        <v>1027</v>
      </c>
      <c r="O134" s="15"/>
      <c r="P134" s="15" t="s">
        <v>832</v>
      </c>
      <c r="Q134" s="15" t="s">
        <v>846</v>
      </c>
      <c r="R134" s="15" t="s">
        <v>833</v>
      </c>
      <c r="S134" s="15" t="s">
        <v>847</v>
      </c>
      <c r="T134" s="123"/>
      <c r="U134" s="123"/>
      <c r="V134" s="15"/>
      <c r="W134" s="15"/>
      <c r="X134" s="15"/>
    </row>
    <row r="135" spans="1:24" x14ac:dyDescent="0.35">
      <c r="A135" s="123"/>
      <c r="B135" s="123"/>
      <c r="C135" s="123"/>
      <c r="D135" s="123"/>
      <c r="E135" s="123"/>
      <c r="F135" s="123"/>
      <c r="G135" s="123"/>
      <c r="H135" s="123"/>
      <c r="I135" s="123"/>
      <c r="J135" s="123" t="s">
        <v>861</v>
      </c>
      <c r="K135" s="123"/>
      <c r="L135" s="15">
        <v>72.73</v>
      </c>
      <c r="M135" s="15">
        <v>51.39</v>
      </c>
      <c r="N135" s="15">
        <v>46.25</v>
      </c>
      <c r="O135" s="15"/>
      <c r="P135" s="15">
        <v>21.6</v>
      </c>
      <c r="Q135" s="15">
        <v>34.6</v>
      </c>
      <c r="R135" s="15">
        <v>67.400000000000006</v>
      </c>
      <c r="S135" s="15">
        <v>16.100000000000001</v>
      </c>
      <c r="T135" s="123">
        <v>48.1</v>
      </c>
      <c r="U135" s="123"/>
      <c r="V135" s="15"/>
      <c r="W135" s="15"/>
      <c r="X135" s="15"/>
    </row>
    <row r="136" spans="1:24" x14ac:dyDescent="0.35">
      <c r="A136" s="123"/>
      <c r="B136" s="123"/>
      <c r="C136" s="123"/>
      <c r="D136" s="123"/>
      <c r="E136" s="123"/>
      <c r="F136" s="123"/>
      <c r="G136" s="123"/>
      <c r="H136" s="123"/>
      <c r="I136" s="123"/>
      <c r="J136" s="123" t="s">
        <v>568</v>
      </c>
      <c r="K136" s="123"/>
      <c r="L136" s="15">
        <v>43</v>
      </c>
      <c r="M136" s="15">
        <v>79</v>
      </c>
      <c r="N136" s="15">
        <v>59</v>
      </c>
      <c r="O136" s="15"/>
      <c r="P136" s="15">
        <v>52</v>
      </c>
      <c r="Q136" s="15">
        <v>50</v>
      </c>
      <c r="R136" s="15">
        <v>46</v>
      </c>
      <c r="S136" s="15">
        <v>77</v>
      </c>
      <c r="T136" s="123">
        <v>59</v>
      </c>
      <c r="U136" s="123"/>
      <c r="V136" s="15"/>
      <c r="W136" s="15"/>
      <c r="X136" s="15"/>
    </row>
    <row r="137" spans="1:24" x14ac:dyDescent="0.35">
      <c r="A137" s="123"/>
      <c r="B137" s="123"/>
      <c r="C137" s="123"/>
      <c r="D137" s="123"/>
      <c r="E137" s="123"/>
      <c r="F137" s="123"/>
      <c r="G137" s="123"/>
      <c r="H137" s="123"/>
      <c r="I137" s="123"/>
      <c r="J137" s="123" t="s">
        <v>470</v>
      </c>
      <c r="K137" s="123"/>
      <c r="L137" s="15">
        <v>64.510000000000005</v>
      </c>
      <c r="M137" s="15">
        <v>3.3</v>
      </c>
      <c r="N137" s="15">
        <v>16.34</v>
      </c>
      <c r="O137" s="15"/>
      <c r="P137" s="15">
        <v>0.96</v>
      </c>
      <c r="Q137" s="15">
        <v>0</v>
      </c>
      <c r="R137" s="15">
        <v>33.74</v>
      </c>
      <c r="S137" s="15">
        <v>0</v>
      </c>
      <c r="T137" s="123">
        <v>45.4</v>
      </c>
      <c r="U137" s="123"/>
      <c r="V137" s="15"/>
      <c r="W137" s="15"/>
      <c r="X137" s="15"/>
    </row>
    <row r="138" spans="1:24" x14ac:dyDescent="0.35">
      <c r="A138" s="123"/>
      <c r="B138" s="123"/>
      <c r="C138" s="123"/>
      <c r="D138" s="123"/>
      <c r="E138" s="123"/>
      <c r="F138" s="123"/>
      <c r="G138" s="123"/>
      <c r="H138" s="123"/>
      <c r="I138" s="123"/>
      <c r="J138" s="123" t="s">
        <v>1028</v>
      </c>
      <c r="K138" s="123"/>
      <c r="L138" s="15">
        <v>68.510000000000005</v>
      </c>
      <c r="M138" s="15">
        <v>28.24</v>
      </c>
      <c r="N138" s="15">
        <v>27.01</v>
      </c>
      <c r="O138" s="15"/>
      <c r="P138" s="15">
        <v>14.84</v>
      </c>
      <c r="Q138" s="15">
        <v>0</v>
      </c>
      <c r="R138" s="15">
        <v>32.409999999999997</v>
      </c>
      <c r="S138" s="15">
        <v>0</v>
      </c>
      <c r="T138" s="123">
        <v>50.89</v>
      </c>
      <c r="U138" s="123"/>
      <c r="V138" s="15"/>
      <c r="W138" s="15"/>
      <c r="X138" s="15"/>
    </row>
    <row r="139" spans="1:24" x14ac:dyDescent="0.35">
      <c r="A139" s="123"/>
      <c r="B139" s="123"/>
      <c r="C139" s="123"/>
      <c r="D139" s="123"/>
      <c r="E139" s="123"/>
      <c r="F139" s="123"/>
      <c r="G139" s="123"/>
      <c r="H139" s="123"/>
      <c r="I139" s="123"/>
      <c r="J139" s="15"/>
      <c r="K139" s="15"/>
      <c r="L139" s="15"/>
      <c r="M139" s="15"/>
      <c r="N139" s="15"/>
      <c r="O139" s="15"/>
      <c r="P139" s="15"/>
      <c r="Q139" s="15"/>
      <c r="R139" s="15"/>
      <c r="S139" s="15"/>
      <c r="T139" s="15"/>
      <c r="U139" s="15"/>
      <c r="V139" s="15"/>
      <c r="W139" s="15"/>
      <c r="X139" s="15"/>
    </row>
    <row r="140" spans="1:24" x14ac:dyDescent="0.35">
      <c r="A140" s="123"/>
      <c r="B140" s="123"/>
      <c r="C140" s="123"/>
      <c r="D140" s="123"/>
      <c r="E140" s="123"/>
      <c r="F140" s="123"/>
      <c r="G140" s="123"/>
      <c r="H140" s="123"/>
      <c r="I140" s="123"/>
      <c r="J140" s="123" t="s">
        <v>1029</v>
      </c>
      <c r="K140" s="123"/>
      <c r="L140" s="15"/>
      <c r="M140" s="15"/>
      <c r="N140" s="15"/>
      <c r="O140" s="15"/>
      <c r="P140" s="15"/>
      <c r="Q140" s="15"/>
      <c r="R140" s="15"/>
      <c r="S140" s="15"/>
      <c r="T140" s="15"/>
      <c r="U140" s="15"/>
      <c r="V140" s="15"/>
      <c r="W140" s="15"/>
      <c r="X140" s="15"/>
    </row>
    <row r="141" spans="1:24" x14ac:dyDescent="0.35">
      <c r="A141" s="123"/>
      <c r="B141" s="123"/>
      <c r="C141" s="123"/>
      <c r="D141" s="123"/>
      <c r="E141" s="123"/>
      <c r="F141" s="123"/>
      <c r="G141" s="123"/>
      <c r="H141" s="123"/>
      <c r="I141" s="123"/>
      <c r="J141" s="123" t="s">
        <v>861</v>
      </c>
      <c r="K141" s="123"/>
      <c r="L141" s="123">
        <v>56.79</v>
      </c>
      <c r="M141" s="123"/>
      <c r="N141" s="123"/>
      <c r="O141" s="15"/>
      <c r="P141" s="123">
        <v>34.924999999999997</v>
      </c>
      <c r="Q141" s="123"/>
      <c r="R141" s="123"/>
      <c r="S141" s="123"/>
      <c r="T141" s="15"/>
      <c r="U141" s="15"/>
      <c r="V141" s="15"/>
      <c r="W141" s="15"/>
      <c r="X141" s="15"/>
    </row>
    <row r="142" spans="1:24" x14ac:dyDescent="0.35">
      <c r="A142" s="123"/>
      <c r="B142" s="123"/>
      <c r="C142" s="123"/>
      <c r="D142" s="123"/>
      <c r="E142" s="123"/>
      <c r="F142" s="123"/>
      <c r="G142" s="123"/>
      <c r="H142" s="123"/>
      <c r="I142" s="123"/>
      <c r="J142" s="123" t="s">
        <v>568</v>
      </c>
      <c r="K142" s="123"/>
      <c r="L142" s="123">
        <v>60.333333330000002</v>
      </c>
      <c r="M142" s="123"/>
      <c r="N142" s="123"/>
      <c r="O142" s="15"/>
      <c r="P142" s="123">
        <v>56.25</v>
      </c>
      <c r="Q142" s="123"/>
      <c r="R142" s="123"/>
      <c r="S142" s="123"/>
      <c r="T142" s="15"/>
      <c r="U142" s="15"/>
      <c r="V142" s="15"/>
      <c r="W142" s="15"/>
      <c r="X142" s="15"/>
    </row>
    <row r="143" spans="1:24" x14ac:dyDescent="0.35">
      <c r="A143" s="123"/>
      <c r="B143" s="123"/>
      <c r="C143" s="123"/>
      <c r="D143" s="123"/>
      <c r="E143" s="123"/>
      <c r="F143" s="123"/>
      <c r="G143" s="123"/>
      <c r="H143" s="123"/>
      <c r="I143" s="123"/>
      <c r="J143" s="123" t="s">
        <v>470</v>
      </c>
      <c r="K143" s="123"/>
      <c r="L143" s="123">
        <v>28.05</v>
      </c>
      <c r="M143" s="123"/>
      <c r="N143" s="123"/>
      <c r="O143" s="15"/>
      <c r="P143" s="123">
        <v>8.6750000000000007</v>
      </c>
      <c r="Q143" s="123"/>
      <c r="R143" s="123"/>
      <c r="S143" s="123"/>
      <c r="T143" s="15"/>
      <c r="U143" s="15"/>
      <c r="V143" s="15"/>
      <c r="W143" s="15"/>
      <c r="X143" s="15"/>
    </row>
    <row r="144" spans="1:24" x14ac:dyDescent="0.35">
      <c r="A144" s="123"/>
      <c r="B144" s="123"/>
      <c r="C144" s="123"/>
      <c r="D144" s="123"/>
      <c r="E144" s="123"/>
      <c r="F144" s="123"/>
      <c r="G144" s="123"/>
      <c r="H144" s="123"/>
      <c r="I144" s="123"/>
      <c r="J144" s="123" t="s">
        <v>1028</v>
      </c>
      <c r="K144" s="123"/>
      <c r="L144" s="123">
        <v>41.253333329999997</v>
      </c>
      <c r="M144" s="123"/>
      <c r="N144" s="123"/>
      <c r="O144" s="15"/>
      <c r="P144" s="123">
        <v>11.8125</v>
      </c>
      <c r="Q144" s="123"/>
      <c r="R144" s="123"/>
      <c r="S144" s="123"/>
      <c r="T144" s="15"/>
      <c r="U144" s="15"/>
      <c r="V144" s="15"/>
      <c r="W144" s="15"/>
      <c r="X144" s="15"/>
    </row>
    <row r="145" spans="1:24" x14ac:dyDescent="0.35">
      <c r="A145" s="37">
        <v>62</v>
      </c>
      <c r="B145" s="37" t="s">
        <v>908</v>
      </c>
      <c r="C145" s="37">
        <v>2022</v>
      </c>
      <c r="D145" s="37" t="s">
        <v>1030</v>
      </c>
      <c r="E145" s="37" t="s">
        <v>1031</v>
      </c>
      <c r="F145" s="37"/>
      <c r="G145" s="42" t="s">
        <v>808</v>
      </c>
      <c r="H145" s="42" t="s">
        <v>808</v>
      </c>
      <c r="I145" s="42" t="s">
        <v>808</v>
      </c>
      <c r="J145" s="37" t="s">
        <v>1032</v>
      </c>
      <c r="K145" s="42" t="s">
        <v>808</v>
      </c>
      <c r="L145" s="42" t="s">
        <v>808</v>
      </c>
      <c r="M145" s="42" t="s">
        <v>808</v>
      </c>
      <c r="N145" s="42" t="s">
        <v>808</v>
      </c>
      <c r="O145" s="42" t="s">
        <v>808</v>
      </c>
      <c r="P145" s="42" t="s">
        <v>808</v>
      </c>
      <c r="Q145" s="42" t="s">
        <v>808</v>
      </c>
      <c r="R145" s="42" t="s">
        <v>808</v>
      </c>
      <c r="S145" s="42" t="s">
        <v>808</v>
      </c>
      <c r="T145" s="42" t="s">
        <v>808</v>
      </c>
      <c r="U145" s="37" t="s">
        <v>913</v>
      </c>
      <c r="V145" s="37"/>
      <c r="W145" s="37" t="s">
        <v>810</v>
      </c>
      <c r="X145" s="37" t="s">
        <v>810</v>
      </c>
    </row>
    <row r="146" spans="1:24" s="47" customFormat="1" x14ac:dyDescent="0.35">
      <c r="A146" s="48">
        <v>63</v>
      </c>
      <c r="B146" s="48" t="s">
        <v>1033</v>
      </c>
      <c r="C146" s="48">
        <v>2022</v>
      </c>
      <c r="D146" s="48" t="s">
        <v>1034</v>
      </c>
      <c r="E146" s="48" t="s">
        <v>891</v>
      </c>
      <c r="F146" s="48" t="s">
        <v>470</v>
      </c>
      <c r="G146" s="48" t="s">
        <v>1035</v>
      </c>
      <c r="H146" s="48" t="s">
        <v>37</v>
      </c>
      <c r="I146" s="48" t="s">
        <v>926</v>
      </c>
      <c r="J146" s="48" t="s">
        <v>251</v>
      </c>
      <c r="K146" s="48"/>
      <c r="L146" s="48" t="s">
        <v>810</v>
      </c>
      <c r="M146" s="48" t="s">
        <v>810</v>
      </c>
      <c r="N146" s="48" t="s">
        <v>810</v>
      </c>
      <c r="O146" s="48" t="s">
        <v>810</v>
      </c>
      <c r="P146" s="48" t="s">
        <v>810</v>
      </c>
      <c r="Q146" s="48" t="s">
        <v>810</v>
      </c>
      <c r="R146" s="48" t="s">
        <v>1036</v>
      </c>
      <c r="S146" s="48" t="s">
        <v>1037</v>
      </c>
      <c r="T146" s="48" t="s">
        <v>1038</v>
      </c>
      <c r="U146" s="48" t="s">
        <v>1039</v>
      </c>
      <c r="V146" s="48"/>
      <c r="W146" s="48"/>
      <c r="X146" s="48"/>
    </row>
    <row r="147" spans="1:24" x14ac:dyDescent="0.35">
      <c r="A147" s="123"/>
      <c r="B147" s="123"/>
      <c r="C147" s="123"/>
      <c r="D147" s="123"/>
      <c r="E147" s="123"/>
      <c r="F147" s="123"/>
      <c r="G147" s="123"/>
      <c r="H147" s="123"/>
      <c r="I147" s="123"/>
      <c r="J147" s="123"/>
      <c r="K147" s="123"/>
      <c r="L147" s="15"/>
      <c r="M147" s="15"/>
      <c r="N147" s="15"/>
      <c r="O147" s="15"/>
      <c r="P147" s="15"/>
      <c r="Q147" s="15"/>
      <c r="R147" s="15"/>
      <c r="S147" s="15"/>
      <c r="T147" s="15"/>
      <c r="U147" s="15"/>
      <c r="V147" s="15"/>
      <c r="W147" s="15"/>
      <c r="X147" s="15"/>
    </row>
    <row r="148" spans="1:24" x14ac:dyDescent="0.35">
      <c r="A148" s="123"/>
      <c r="B148" s="123"/>
      <c r="C148" s="123"/>
      <c r="D148" s="123"/>
      <c r="E148" s="123"/>
      <c r="F148" s="123"/>
      <c r="G148" s="123"/>
      <c r="H148" s="123"/>
      <c r="I148" s="123"/>
      <c r="J148" s="123"/>
      <c r="K148" s="123"/>
      <c r="L148" s="123" t="s">
        <v>1040</v>
      </c>
      <c r="M148" s="123"/>
      <c r="N148" s="123" t="s">
        <v>974</v>
      </c>
      <c r="O148" s="123"/>
      <c r="P148" s="123"/>
      <c r="Q148" s="123"/>
      <c r="R148" s="123" t="s">
        <v>975</v>
      </c>
      <c r="S148" s="123"/>
      <c r="T148" s="123"/>
      <c r="U148" s="123"/>
      <c r="V148" s="15"/>
      <c r="W148" s="15"/>
      <c r="X148" s="15"/>
    </row>
    <row r="149" spans="1:24" x14ac:dyDescent="0.35">
      <c r="A149" s="123"/>
      <c r="B149" s="123"/>
      <c r="C149" s="123"/>
      <c r="D149" s="123"/>
      <c r="E149" s="123"/>
      <c r="F149" s="123"/>
      <c r="G149" s="123"/>
      <c r="H149" s="123"/>
      <c r="I149" s="123"/>
      <c r="J149" s="123"/>
      <c r="K149" s="123"/>
      <c r="L149" s="15"/>
      <c r="M149" s="15"/>
      <c r="N149" s="15" t="s">
        <v>930</v>
      </c>
      <c r="O149" s="15" t="s">
        <v>1041</v>
      </c>
      <c r="P149" s="15" t="s">
        <v>1042</v>
      </c>
      <c r="Q149" s="15" t="s">
        <v>421</v>
      </c>
      <c r="R149" s="15" t="s">
        <v>930</v>
      </c>
      <c r="S149" s="15" t="s">
        <v>1041</v>
      </c>
      <c r="T149" s="15" t="s">
        <v>1042</v>
      </c>
      <c r="U149" s="15" t="s">
        <v>421</v>
      </c>
      <c r="V149" s="15"/>
      <c r="W149" s="15"/>
      <c r="X149" s="15"/>
    </row>
    <row r="150" spans="1:24" x14ac:dyDescent="0.35">
      <c r="A150" s="123"/>
      <c r="B150" s="123"/>
      <c r="C150" s="123"/>
      <c r="D150" s="123"/>
      <c r="E150" s="123"/>
      <c r="F150" s="123"/>
      <c r="G150" s="123"/>
      <c r="H150" s="123"/>
      <c r="I150" s="123"/>
      <c r="J150" s="123"/>
      <c r="K150" s="123"/>
      <c r="L150" s="123" t="s">
        <v>222</v>
      </c>
      <c r="M150" s="123"/>
      <c r="N150" s="15">
        <v>75.099999999999994</v>
      </c>
      <c r="O150" s="15">
        <v>79.239999999999995</v>
      </c>
      <c r="P150" s="15">
        <v>62.59</v>
      </c>
      <c r="Q150" s="15">
        <v>0.79579999999999995</v>
      </c>
      <c r="R150" s="15">
        <v>68.3</v>
      </c>
      <c r="S150" s="15">
        <v>72.3</v>
      </c>
      <c r="T150" s="15">
        <v>46.42</v>
      </c>
      <c r="U150" s="15">
        <v>0.64500000000000002</v>
      </c>
      <c r="V150" s="15"/>
      <c r="W150" s="15"/>
      <c r="X150" s="15"/>
    </row>
    <row r="151" spans="1:24" x14ac:dyDescent="0.35">
      <c r="A151" s="123"/>
      <c r="B151" s="123"/>
      <c r="C151" s="123"/>
      <c r="D151" s="123"/>
      <c r="E151" s="123"/>
      <c r="F151" s="123"/>
      <c r="G151" s="123"/>
      <c r="H151" s="123"/>
      <c r="I151" s="123"/>
      <c r="J151" s="123"/>
      <c r="K151" s="123"/>
      <c r="L151" s="15"/>
      <c r="M151" s="15"/>
      <c r="N151" s="15"/>
      <c r="O151" s="15"/>
      <c r="P151" s="15"/>
      <c r="Q151" s="15"/>
      <c r="R151" s="15"/>
      <c r="S151" s="15"/>
      <c r="T151" s="15"/>
      <c r="U151" s="15"/>
      <c r="V151" s="15"/>
      <c r="W151" s="15"/>
      <c r="X151" s="15"/>
    </row>
    <row r="152" spans="1:24" x14ac:dyDescent="0.35">
      <c r="A152" s="37">
        <v>64</v>
      </c>
      <c r="B152" s="37" t="s">
        <v>1043</v>
      </c>
      <c r="C152" s="37">
        <v>2022</v>
      </c>
      <c r="D152" s="37" t="s">
        <v>1044</v>
      </c>
      <c r="E152" s="37" t="s">
        <v>891</v>
      </c>
      <c r="F152" s="37" t="s">
        <v>861</v>
      </c>
      <c r="G152" s="42" t="s">
        <v>808</v>
      </c>
      <c r="H152" s="37" t="s">
        <v>37</v>
      </c>
      <c r="I152" s="42" t="s">
        <v>808</v>
      </c>
      <c r="J152" s="37" t="s">
        <v>138</v>
      </c>
      <c r="K152" s="42" t="s">
        <v>808</v>
      </c>
      <c r="L152" s="42" t="s">
        <v>808</v>
      </c>
      <c r="M152" s="42" t="s">
        <v>808</v>
      </c>
      <c r="N152" s="42" t="s">
        <v>808</v>
      </c>
      <c r="O152" s="42" t="s">
        <v>808</v>
      </c>
      <c r="P152" s="42" t="s">
        <v>808</v>
      </c>
      <c r="Q152" s="42" t="s">
        <v>808</v>
      </c>
      <c r="R152" s="42" t="s">
        <v>808</v>
      </c>
      <c r="S152" s="42" t="s">
        <v>808</v>
      </c>
      <c r="T152" s="42" t="s">
        <v>808</v>
      </c>
      <c r="U152" s="37" t="s">
        <v>913</v>
      </c>
      <c r="V152" s="37"/>
      <c r="W152" s="37" t="s">
        <v>810</v>
      </c>
      <c r="X152" s="37" t="s">
        <v>810</v>
      </c>
    </row>
    <row r="153" spans="1:24" x14ac:dyDescent="0.35">
      <c r="A153" s="38">
        <v>65</v>
      </c>
      <c r="B153" s="38" t="s">
        <v>1045</v>
      </c>
      <c r="C153" s="38">
        <v>2021</v>
      </c>
      <c r="D153" s="38" t="s">
        <v>1046</v>
      </c>
      <c r="E153" s="38" t="s">
        <v>891</v>
      </c>
      <c r="F153" s="38" t="s">
        <v>470</v>
      </c>
      <c r="G153" s="38" t="s">
        <v>1047</v>
      </c>
      <c r="H153" s="38" t="s">
        <v>1048</v>
      </c>
      <c r="I153" s="38" t="s">
        <v>1049</v>
      </c>
      <c r="J153" s="38" t="s">
        <v>1050</v>
      </c>
      <c r="K153" s="45" t="s">
        <v>808</v>
      </c>
      <c r="L153" s="45" t="s">
        <v>808</v>
      </c>
      <c r="M153" s="45" t="s">
        <v>808</v>
      </c>
      <c r="N153" s="45" t="s">
        <v>808</v>
      </c>
      <c r="O153" s="45" t="s">
        <v>808</v>
      </c>
      <c r="P153" s="45" t="s">
        <v>808</v>
      </c>
      <c r="Q153" s="45" t="s">
        <v>808</v>
      </c>
      <c r="R153" s="38" t="s">
        <v>1051</v>
      </c>
      <c r="S153" s="38" t="s">
        <v>820</v>
      </c>
      <c r="T153" s="38" t="s">
        <v>1052</v>
      </c>
      <c r="U153" s="45" t="s">
        <v>808</v>
      </c>
      <c r="V153" s="38" t="s">
        <v>810</v>
      </c>
      <c r="W153" s="38" t="s">
        <v>810</v>
      </c>
      <c r="X153" s="38" t="s">
        <v>810</v>
      </c>
    </row>
    <row r="154" spans="1:24" x14ac:dyDescent="0.35">
      <c r="A154" s="123"/>
      <c r="B154" s="123"/>
      <c r="C154" s="123"/>
      <c r="D154" s="123"/>
      <c r="E154" s="123"/>
      <c r="F154" s="123"/>
      <c r="G154" s="123"/>
      <c r="H154" s="123"/>
      <c r="I154" s="123"/>
      <c r="J154" s="123"/>
      <c r="K154" s="15"/>
      <c r="L154" s="15"/>
      <c r="M154" s="15"/>
      <c r="N154" s="15"/>
      <c r="O154" s="15"/>
      <c r="P154" s="15"/>
      <c r="Q154" s="15"/>
      <c r="R154" s="15"/>
      <c r="S154" s="15"/>
      <c r="T154" s="15"/>
      <c r="U154" s="15"/>
      <c r="V154" s="15"/>
      <c r="W154" s="15"/>
      <c r="X154" s="15"/>
    </row>
    <row r="155" spans="1:24" x14ac:dyDescent="0.35">
      <c r="A155" s="123"/>
      <c r="B155" s="123"/>
      <c r="C155" s="123"/>
      <c r="D155" s="123"/>
      <c r="E155" s="123"/>
      <c r="F155" s="123"/>
      <c r="G155" s="123"/>
      <c r="H155" s="123"/>
      <c r="I155" s="123"/>
      <c r="J155" s="123"/>
      <c r="K155" s="123" t="s">
        <v>1053</v>
      </c>
      <c r="L155" s="123"/>
      <c r="M155" s="123"/>
      <c r="N155" s="123"/>
      <c r="O155" s="123"/>
      <c r="P155" s="123"/>
      <c r="Q155" s="123"/>
      <c r="R155" s="15"/>
      <c r="S155" s="15"/>
      <c r="T155" s="15"/>
      <c r="U155" s="15"/>
      <c r="V155" s="15"/>
      <c r="W155" s="15"/>
      <c r="X155" s="15"/>
    </row>
    <row r="156" spans="1:24" x14ac:dyDescent="0.35">
      <c r="A156" s="123"/>
      <c r="B156" s="123"/>
      <c r="C156" s="123"/>
      <c r="D156" s="123"/>
      <c r="E156" s="123"/>
      <c r="F156" s="123"/>
      <c r="G156" s="123"/>
      <c r="H156" s="123"/>
      <c r="I156" s="123"/>
      <c r="J156" s="123"/>
      <c r="K156" s="15" t="s">
        <v>1054</v>
      </c>
      <c r="L156" s="44" t="s">
        <v>808</v>
      </c>
      <c r="M156" s="123">
        <v>63</v>
      </c>
      <c r="N156" s="123"/>
      <c r="O156" s="123"/>
      <c r="P156" s="15"/>
      <c r="Q156" s="15"/>
      <c r="R156" s="15"/>
      <c r="S156" s="15"/>
      <c r="T156" s="15"/>
      <c r="U156" s="15"/>
      <c r="V156" s="15"/>
      <c r="W156" s="15"/>
      <c r="X156" s="15"/>
    </row>
    <row r="157" spans="1:24" x14ac:dyDescent="0.35">
      <c r="A157" s="123"/>
      <c r="B157" s="123"/>
      <c r="C157" s="123"/>
      <c r="D157" s="123"/>
      <c r="E157" s="123"/>
      <c r="F157" s="123"/>
      <c r="G157" s="123"/>
      <c r="H157" s="123"/>
      <c r="I157" s="123"/>
      <c r="J157" s="123"/>
      <c r="K157" s="15" t="s">
        <v>1055</v>
      </c>
      <c r="L157" s="44" t="s">
        <v>808</v>
      </c>
      <c r="M157" s="123">
        <v>62</v>
      </c>
      <c r="N157" s="123"/>
      <c r="O157" s="123"/>
      <c r="P157" s="15"/>
      <c r="Q157" s="15"/>
      <c r="R157" s="15"/>
      <c r="S157" s="15"/>
      <c r="T157" s="15"/>
      <c r="U157" s="15"/>
      <c r="V157" s="15"/>
      <c r="W157" s="15"/>
      <c r="X157" s="15"/>
    </row>
    <row r="158" spans="1:24" x14ac:dyDescent="0.35">
      <c r="A158" s="123"/>
      <c r="B158" s="123"/>
      <c r="C158" s="123"/>
      <c r="D158" s="123"/>
      <c r="E158" s="123"/>
      <c r="F158" s="123"/>
      <c r="G158" s="123"/>
      <c r="H158" s="123"/>
      <c r="I158" s="123"/>
      <c r="J158" s="123"/>
      <c r="K158" s="15"/>
      <c r="L158" s="15"/>
      <c r="M158" s="15"/>
      <c r="N158" s="15"/>
      <c r="O158" s="15"/>
      <c r="P158" s="15"/>
      <c r="Q158" s="15"/>
      <c r="R158" s="15"/>
      <c r="S158" s="15"/>
      <c r="T158" s="15"/>
      <c r="U158" s="15"/>
      <c r="V158" s="15"/>
      <c r="W158" s="15"/>
      <c r="X158" s="15"/>
    </row>
    <row r="159" spans="1:24" x14ac:dyDescent="0.35">
      <c r="A159" s="123"/>
      <c r="B159" s="123"/>
      <c r="C159" s="123"/>
      <c r="D159" s="123"/>
      <c r="E159" s="123"/>
      <c r="F159" s="123"/>
      <c r="G159" s="123"/>
      <c r="H159" s="123"/>
      <c r="I159" s="123"/>
      <c r="J159" s="123"/>
      <c r="K159" s="123" t="s">
        <v>1056</v>
      </c>
      <c r="L159" s="123"/>
      <c r="M159" s="123"/>
      <c r="N159" s="123"/>
      <c r="O159" s="123"/>
      <c r="P159" s="123"/>
      <c r="Q159" s="123"/>
      <c r="R159" s="15"/>
      <c r="S159" s="15"/>
      <c r="T159" s="15"/>
      <c r="U159" s="15"/>
      <c r="V159" s="15"/>
      <c r="W159" s="15"/>
      <c r="X159" s="15"/>
    </row>
    <row r="160" spans="1:24" x14ac:dyDescent="0.35">
      <c r="A160" s="123"/>
      <c r="B160" s="123"/>
      <c r="C160" s="123"/>
      <c r="D160" s="123"/>
      <c r="E160" s="123"/>
      <c r="F160" s="123"/>
      <c r="G160" s="123"/>
      <c r="H160" s="123"/>
      <c r="I160" s="123"/>
      <c r="J160" s="123"/>
      <c r="K160" s="15" t="s">
        <v>1054</v>
      </c>
      <c r="L160" s="44" t="s">
        <v>808</v>
      </c>
      <c r="M160" s="123">
        <v>81.099999999999994</v>
      </c>
      <c r="N160" s="123"/>
      <c r="O160" s="123"/>
      <c r="P160" s="15"/>
      <c r="Q160" s="15"/>
      <c r="R160" s="15"/>
      <c r="S160" s="15"/>
      <c r="T160" s="15"/>
      <c r="U160" s="15"/>
      <c r="V160" s="15"/>
      <c r="W160" s="15"/>
      <c r="X160" s="15"/>
    </row>
    <row r="161" spans="1:24" x14ac:dyDescent="0.35">
      <c r="A161" s="123"/>
      <c r="B161" s="123"/>
      <c r="C161" s="123"/>
      <c r="D161" s="123"/>
      <c r="E161" s="123"/>
      <c r="F161" s="123"/>
      <c r="G161" s="123"/>
      <c r="H161" s="123"/>
      <c r="I161" s="123"/>
      <c r="J161" s="123"/>
      <c r="K161" s="15" t="s">
        <v>1055</v>
      </c>
      <c r="L161" s="44" t="s">
        <v>808</v>
      </c>
      <c r="M161" s="123">
        <v>79.400000000000006</v>
      </c>
      <c r="N161" s="123"/>
      <c r="O161" s="123"/>
      <c r="P161" s="15"/>
      <c r="Q161" s="15"/>
      <c r="R161" s="15"/>
      <c r="S161" s="15"/>
      <c r="T161" s="15"/>
      <c r="U161" s="15"/>
      <c r="V161" s="15"/>
      <c r="W161" s="15"/>
      <c r="X161" s="15"/>
    </row>
    <row r="162" spans="1:24" x14ac:dyDescent="0.35">
      <c r="A162" s="123"/>
      <c r="B162" s="123"/>
      <c r="C162" s="123"/>
      <c r="D162" s="123"/>
      <c r="E162" s="123"/>
      <c r="F162" s="123"/>
      <c r="G162" s="123"/>
      <c r="H162" s="123"/>
      <c r="I162" s="123"/>
      <c r="J162" s="123"/>
      <c r="K162" s="15"/>
      <c r="L162" s="15"/>
      <c r="M162" s="15"/>
      <c r="N162" s="15"/>
      <c r="O162" s="15"/>
      <c r="P162" s="15"/>
      <c r="Q162" s="15"/>
      <c r="R162" s="15"/>
      <c r="S162" s="15"/>
      <c r="T162" s="15"/>
      <c r="U162" s="15"/>
      <c r="V162" s="15"/>
      <c r="W162" s="15"/>
      <c r="X162" s="15"/>
    </row>
    <row r="163" spans="1:24" x14ac:dyDescent="0.35">
      <c r="A163" s="123"/>
      <c r="B163" s="123"/>
      <c r="C163" s="123"/>
      <c r="D163" s="123"/>
      <c r="E163" s="123"/>
      <c r="F163" s="123"/>
      <c r="G163" s="123"/>
      <c r="H163" s="123"/>
      <c r="I163" s="123"/>
      <c r="J163" s="123"/>
      <c r="K163" s="123" t="s">
        <v>1057</v>
      </c>
      <c r="L163" s="123"/>
      <c r="M163" s="123"/>
      <c r="N163" s="123"/>
      <c r="O163" s="123"/>
      <c r="P163" s="123"/>
      <c r="Q163" s="123"/>
      <c r="R163" s="15"/>
      <c r="S163" s="15"/>
      <c r="T163" s="15"/>
      <c r="U163" s="15"/>
      <c r="V163" s="15"/>
      <c r="W163" s="15"/>
      <c r="X163" s="15"/>
    </row>
    <row r="164" spans="1:24" x14ac:dyDescent="0.35">
      <c r="A164" s="123"/>
      <c r="B164" s="123"/>
      <c r="C164" s="123"/>
      <c r="D164" s="123"/>
      <c r="E164" s="123"/>
      <c r="F164" s="123"/>
      <c r="G164" s="123"/>
      <c r="H164" s="123"/>
      <c r="I164" s="123"/>
      <c r="J164" s="123"/>
      <c r="K164" s="15" t="s">
        <v>1058</v>
      </c>
      <c r="L164" s="15"/>
      <c r="M164" s="123">
        <v>45.6</v>
      </c>
      <c r="N164" s="123"/>
      <c r="O164" s="123"/>
      <c r="P164" s="15"/>
      <c r="Q164" s="15"/>
      <c r="R164" s="15"/>
      <c r="S164" s="15"/>
      <c r="T164" s="15"/>
      <c r="U164" s="15"/>
      <c r="V164" s="15"/>
      <c r="W164" s="15"/>
      <c r="X164" s="15"/>
    </row>
    <row r="165" spans="1:24" x14ac:dyDescent="0.35">
      <c r="A165" s="123"/>
      <c r="B165" s="123"/>
      <c r="C165" s="123"/>
      <c r="D165" s="123"/>
      <c r="E165" s="123"/>
      <c r="F165" s="123"/>
      <c r="G165" s="123"/>
      <c r="H165" s="123"/>
      <c r="I165" s="123"/>
      <c r="J165" s="123"/>
      <c r="K165" s="15" t="s">
        <v>1059</v>
      </c>
      <c r="L165" s="15"/>
      <c r="M165" s="123">
        <v>47.1</v>
      </c>
      <c r="N165" s="123"/>
      <c r="O165" s="123"/>
      <c r="P165" s="15"/>
      <c r="Q165" s="15"/>
      <c r="R165" s="15"/>
      <c r="S165" s="15"/>
      <c r="T165" s="15"/>
      <c r="U165" s="15"/>
      <c r="V165" s="15"/>
      <c r="W165" s="15"/>
      <c r="X165" s="15"/>
    </row>
    <row r="166" spans="1:24" x14ac:dyDescent="0.35">
      <c r="A166" s="123"/>
      <c r="B166" s="123"/>
      <c r="C166" s="123"/>
      <c r="D166" s="123"/>
      <c r="E166" s="123"/>
      <c r="F166" s="123"/>
      <c r="G166" s="123"/>
      <c r="H166" s="123"/>
      <c r="I166" s="123"/>
      <c r="J166" s="123"/>
      <c r="K166" s="123" t="s">
        <v>1060</v>
      </c>
      <c r="L166" s="123"/>
      <c r="M166" s="123"/>
      <c r="N166" s="123"/>
      <c r="O166" s="123"/>
      <c r="P166" s="123"/>
      <c r="Q166" s="123"/>
      <c r="R166" s="15"/>
      <c r="S166" s="15"/>
      <c r="T166" s="15"/>
      <c r="U166" s="15"/>
      <c r="V166" s="15"/>
      <c r="W166" s="15"/>
      <c r="X166" s="15"/>
    </row>
    <row r="167" spans="1:24" x14ac:dyDescent="0.35">
      <c r="A167" s="123"/>
      <c r="B167" s="123"/>
      <c r="C167" s="123"/>
      <c r="D167" s="123"/>
      <c r="E167" s="123"/>
      <c r="F167" s="123"/>
      <c r="G167" s="123"/>
      <c r="H167" s="123"/>
      <c r="I167" s="123"/>
      <c r="J167" s="123"/>
      <c r="K167" s="15" t="s">
        <v>1058</v>
      </c>
      <c r="L167" s="15"/>
      <c r="M167" s="123">
        <v>52.4</v>
      </c>
      <c r="N167" s="123"/>
      <c r="O167" s="123"/>
      <c r="P167" s="15"/>
      <c r="Q167" s="15"/>
      <c r="R167" s="15"/>
      <c r="S167" s="15"/>
      <c r="T167" s="15"/>
      <c r="U167" s="15"/>
      <c r="V167" s="15"/>
      <c r="W167" s="15"/>
      <c r="X167" s="15"/>
    </row>
    <row r="168" spans="1:24" x14ac:dyDescent="0.35">
      <c r="A168" s="123"/>
      <c r="B168" s="123"/>
      <c r="C168" s="123"/>
      <c r="D168" s="123"/>
      <c r="E168" s="123"/>
      <c r="F168" s="123"/>
      <c r="G168" s="123"/>
      <c r="H168" s="123"/>
      <c r="I168" s="123"/>
      <c r="J168" s="123"/>
      <c r="K168" s="15" t="s">
        <v>1059</v>
      </c>
      <c r="L168" s="15"/>
      <c r="M168" s="123">
        <v>55.8</v>
      </c>
      <c r="N168" s="123"/>
      <c r="O168" s="123"/>
      <c r="P168" s="15"/>
      <c r="Q168" s="15"/>
      <c r="R168" s="15"/>
      <c r="S168" s="15"/>
      <c r="T168" s="15"/>
      <c r="U168" s="15"/>
      <c r="V168" s="15"/>
      <c r="W168" s="15"/>
      <c r="X168" s="15"/>
    </row>
    <row r="169" spans="1:24" x14ac:dyDescent="0.35">
      <c r="A169" s="123"/>
      <c r="B169" s="123"/>
      <c r="C169" s="123"/>
      <c r="D169" s="123"/>
      <c r="E169" s="123"/>
      <c r="F169" s="123"/>
      <c r="G169" s="123"/>
      <c r="H169" s="123"/>
      <c r="I169" s="123"/>
      <c r="J169" s="123"/>
      <c r="K169" s="123" t="s">
        <v>1061</v>
      </c>
      <c r="L169" s="123"/>
      <c r="M169" s="123"/>
      <c r="N169" s="123"/>
      <c r="O169" s="123"/>
      <c r="P169" s="123"/>
      <c r="Q169" s="123"/>
      <c r="R169" s="15"/>
      <c r="S169" s="15"/>
      <c r="T169" s="15"/>
      <c r="U169" s="15"/>
      <c r="V169" s="15"/>
      <c r="W169" s="15"/>
      <c r="X169" s="15"/>
    </row>
    <row r="170" spans="1:24" x14ac:dyDescent="0.35">
      <c r="A170" s="123"/>
      <c r="B170" s="123"/>
      <c r="C170" s="123"/>
      <c r="D170" s="123"/>
      <c r="E170" s="123"/>
      <c r="F170" s="123"/>
      <c r="G170" s="123"/>
      <c r="H170" s="123"/>
      <c r="I170" s="123"/>
      <c r="J170" s="123"/>
      <c r="K170" s="15" t="s">
        <v>1058</v>
      </c>
      <c r="L170" s="15"/>
      <c r="M170" s="123">
        <v>54.4</v>
      </c>
      <c r="N170" s="123"/>
      <c r="O170" s="123"/>
      <c r="P170" s="15"/>
      <c r="Q170" s="15"/>
      <c r="R170" s="15"/>
      <c r="S170" s="15"/>
      <c r="T170" s="15"/>
      <c r="U170" s="15"/>
      <c r="V170" s="15"/>
      <c r="W170" s="15"/>
      <c r="X170" s="15"/>
    </row>
    <row r="171" spans="1:24" x14ac:dyDescent="0.35">
      <c r="A171" s="123"/>
      <c r="B171" s="123"/>
      <c r="C171" s="123"/>
      <c r="D171" s="123"/>
      <c r="E171" s="123"/>
      <c r="F171" s="123"/>
      <c r="G171" s="123"/>
      <c r="H171" s="123"/>
      <c r="I171" s="123"/>
      <c r="J171" s="123"/>
      <c r="K171" s="15" t="s">
        <v>1059</v>
      </c>
      <c r="L171" s="15"/>
      <c r="M171" s="123">
        <v>63.4</v>
      </c>
      <c r="N171" s="123"/>
      <c r="O171" s="123"/>
      <c r="P171" s="15"/>
      <c r="Q171" s="15"/>
      <c r="R171" s="15"/>
      <c r="S171" s="15"/>
      <c r="T171" s="15"/>
      <c r="U171" s="15"/>
      <c r="V171" s="15"/>
      <c r="W171" s="15"/>
      <c r="X171" s="15"/>
    </row>
    <row r="172" spans="1:24" x14ac:dyDescent="0.35">
      <c r="A172" s="123"/>
      <c r="B172" s="123"/>
      <c r="C172" s="123"/>
      <c r="D172" s="123"/>
      <c r="E172" s="123"/>
      <c r="F172" s="123"/>
      <c r="G172" s="123"/>
      <c r="H172" s="123"/>
      <c r="I172" s="123"/>
      <c r="J172" s="123"/>
      <c r="K172" s="123" t="s">
        <v>1062</v>
      </c>
      <c r="L172" s="123"/>
      <c r="M172" s="123"/>
      <c r="N172" s="123"/>
      <c r="O172" s="123"/>
      <c r="P172" s="123"/>
      <c r="Q172" s="123"/>
      <c r="R172" s="15"/>
      <c r="S172" s="15"/>
      <c r="T172" s="15"/>
      <c r="U172" s="15"/>
      <c r="V172" s="15"/>
      <c r="W172" s="15"/>
      <c r="X172" s="15"/>
    </row>
    <row r="173" spans="1:24" x14ac:dyDescent="0.35">
      <c r="A173" s="123"/>
      <c r="B173" s="123"/>
      <c r="C173" s="123"/>
      <c r="D173" s="123"/>
      <c r="E173" s="123"/>
      <c r="F173" s="123"/>
      <c r="G173" s="123"/>
      <c r="H173" s="123"/>
      <c r="I173" s="123"/>
      <c r="J173" s="123"/>
      <c r="K173" s="15" t="s">
        <v>1058</v>
      </c>
      <c r="L173" s="15"/>
      <c r="M173" s="123">
        <v>76.900000000000006</v>
      </c>
      <c r="N173" s="123"/>
      <c r="O173" s="123"/>
      <c r="P173" s="15"/>
      <c r="Q173" s="15"/>
      <c r="R173" s="15"/>
      <c r="S173" s="15"/>
      <c r="T173" s="15"/>
      <c r="U173" s="15"/>
      <c r="V173" s="15"/>
      <c r="W173" s="15"/>
      <c r="X173" s="15"/>
    </row>
    <row r="174" spans="1:24" x14ac:dyDescent="0.35">
      <c r="A174" s="123"/>
      <c r="B174" s="123"/>
      <c r="C174" s="123"/>
      <c r="D174" s="123"/>
      <c r="E174" s="123"/>
      <c r="F174" s="123"/>
      <c r="G174" s="123"/>
      <c r="H174" s="123"/>
      <c r="I174" s="123"/>
      <c r="J174" s="123"/>
      <c r="K174" s="15" t="s">
        <v>1059</v>
      </c>
      <c r="L174" s="15"/>
      <c r="M174" s="123">
        <v>76.8</v>
      </c>
      <c r="N174" s="123"/>
      <c r="O174" s="123"/>
      <c r="P174" s="15"/>
      <c r="Q174" s="15"/>
      <c r="R174" s="15"/>
      <c r="S174" s="15"/>
      <c r="T174" s="15"/>
      <c r="U174" s="15"/>
      <c r="V174" s="15"/>
      <c r="W174" s="15"/>
      <c r="X174" s="15"/>
    </row>
    <row r="175" spans="1:24" x14ac:dyDescent="0.35">
      <c r="A175" s="123"/>
      <c r="B175" s="123"/>
      <c r="C175" s="123"/>
      <c r="D175" s="123"/>
      <c r="E175" s="123"/>
      <c r="F175" s="123"/>
      <c r="G175" s="123"/>
      <c r="H175" s="123"/>
      <c r="I175" s="123"/>
      <c r="J175" s="123"/>
      <c r="K175" s="123" t="s">
        <v>1063</v>
      </c>
      <c r="L175" s="123"/>
      <c r="M175" s="123"/>
      <c r="N175" s="123"/>
      <c r="O175" s="123"/>
      <c r="P175" s="123"/>
      <c r="Q175" s="123"/>
      <c r="R175" s="15"/>
      <c r="S175" s="15"/>
      <c r="T175" s="15"/>
      <c r="U175" s="15"/>
      <c r="V175" s="15"/>
      <c r="W175" s="15"/>
      <c r="X175" s="15"/>
    </row>
    <row r="176" spans="1:24" x14ac:dyDescent="0.35">
      <c r="A176" s="123"/>
      <c r="B176" s="123"/>
      <c r="C176" s="123"/>
      <c r="D176" s="123"/>
      <c r="E176" s="123"/>
      <c r="F176" s="123"/>
      <c r="G176" s="123"/>
      <c r="H176" s="123"/>
      <c r="I176" s="123"/>
      <c r="J176" s="123"/>
      <c r="K176" s="15" t="s">
        <v>1058</v>
      </c>
      <c r="L176" s="15"/>
      <c r="M176" s="123">
        <v>77.5</v>
      </c>
      <c r="N176" s="123"/>
      <c r="O176" s="123"/>
      <c r="P176" s="15"/>
      <c r="Q176" s="15"/>
      <c r="R176" s="15"/>
      <c r="S176" s="15"/>
      <c r="T176" s="15"/>
      <c r="U176" s="15"/>
      <c r="V176" s="15"/>
      <c r="W176" s="15"/>
      <c r="X176" s="15"/>
    </row>
    <row r="177" spans="1:24" x14ac:dyDescent="0.35">
      <c r="A177" s="123"/>
      <c r="B177" s="123"/>
      <c r="C177" s="123"/>
      <c r="D177" s="123"/>
      <c r="E177" s="123"/>
      <c r="F177" s="123"/>
      <c r="G177" s="123"/>
      <c r="H177" s="123"/>
      <c r="I177" s="123"/>
      <c r="J177" s="123"/>
      <c r="K177" s="15" t="s">
        <v>1059</v>
      </c>
      <c r="L177" s="15"/>
      <c r="M177" s="123">
        <v>77.5</v>
      </c>
      <c r="N177" s="123"/>
      <c r="O177" s="123"/>
      <c r="P177" s="15"/>
      <c r="Q177" s="15"/>
      <c r="R177" s="15"/>
      <c r="S177" s="15"/>
      <c r="T177" s="15"/>
      <c r="U177" s="15"/>
      <c r="V177" s="15"/>
      <c r="W177" s="15"/>
      <c r="X177" s="15"/>
    </row>
    <row r="178" spans="1:24" x14ac:dyDescent="0.35">
      <c r="A178" s="123"/>
      <c r="B178" s="123"/>
      <c r="C178" s="123"/>
      <c r="D178" s="123"/>
      <c r="E178" s="123"/>
      <c r="F178" s="123"/>
      <c r="G178" s="123"/>
      <c r="H178" s="123"/>
      <c r="I178" s="123"/>
      <c r="J178" s="123"/>
      <c r="K178" s="123" t="s">
        <v>1064</v>
      </c>
      <c r="L178" s="123"/>
      <c r="M178" s="123"/>
      <c r="N178" s="123"/>
      <c r="O178" s="123"/>
      <c r="P178" s="123"/>
      <c r="Q178" s="123"/>
      <c r="R178" s="15"/>
      <c r="S178" s="15"/>
      <c r="T178" s="15"/>
      <c r="U178" s="15"/>
      <c r="V178" s="15"/>
      <c r="W178" s="15"/>
      <c r="X178" s="15"/>
    </row>
    <row r="179" spans="1:24" x14ac:dyDescent="0.35">
      <c r="A179" s="123"/>
      <c r="B179" s="123"/>
      <c r="C179" s="123"/>
      <c r="D179" s="123"/>
      <c r="E179" s="123"/>
      <c r="F179" s="123"/>
      <c r="G179" s="123"/>
      <c r="H179" s="123"/>
      <c r="I179" s="123"/>
      <c r="J179" s="123"/>
      <c r="K179" s="15" t="s">
        <v>1058</v>
      </c>
      <c r="L179" s="15"/>
      <c r="M179" s="123">
        <v>69.2</v>
      </c>
      <c r="N179" s="123"/>
      <c r="O179" s="123"/>
      <c r="P179" s="15"/>
      <c r="Q179" s="15"/>
      <c r="R179" s="15"/>
      <c r="S179" s="15"/>
      <c r="T179" s="15"/>
      <c r="U179" s="15"/>
      <c r="V179" s="15"/>
      <c r="W179" s="15"/>
      <c r="X179" s="15"/>
    </row>
    <row r="180" spans="1:24" x14ac:dyDescent="0.35">
      <c r="A180" s="123"/>
      <c r="B180" s="123"/>
      <c r="C180" s="123"/>
      <c r="D180" s="123"/>
      <c r="E180" s="123"/>
      <c r="F180" s="123"/>
      <c r="G180" s="123"/>
      <c r="H180" s="123"/>
      <c r="I180" s="123"/>
      <c r="J180" s="123"/>
      <c r="K180" s="15" t="s">
        <v>1059</v>
      </c>
      <c r="L180" s="15"/>
      <c r="M180" s="123">
        <v>74.400000000000006</v>
      </c>
      <c r="N180" s="123"/>
      <c r="O180" s="123"/>
      <c r="P180" s="15"/>
      <c r="Q180" s="15"/>
      <c r="R180" s="15"/>
      <c r="S180" s="15"/>
      <c r="T180" s="15"/>
      <c r="U180" s="15"/>
      <c r="V180" s="15"/>
      <c r="W180" s="15"/>
      <c r="X180" s="15"/>
    </row>
    <row r="181" spans="1:24" x14ac:dyDescent="0.35">
      <c r="A181" s="123"/>
      <c r="B181" s="123"/>
      <c r="C181" s="123"/>
      <c r="D181" s="123"/>
      <c r="E181" s="123"/>
      <c r="F181" s="123"/>
      <c r="G181" s="123"/>
      <c r="H181" s="123"/>
      <c r="I181" s="123"/>
      <c r="J181" s="123"/>
      <c r="K181" s="15"/>
      <c r="L181" s="15"/>
      <c r="M181" s="15"/>
      <c r="N181" s="15"/>
      <c r="O181" s="15"/>
      <c r="P181" s="15"/>
      <c r="Q181" s="15"/>
      <c r="R181" s="15"/>
      <c r="S181" s="15"/>
      <c r="T181" s="15"/>
      <c r="U181" s="15"/>
      <c r="V181" s="15"/>
      <c r="W181" s="15"/>
      <c r="X181" s="15"/>
    </row>
    <row r="182" spans="1:24" x14ac:dyDescent="0.35">
      <c r="A182" s="123"/>
      <c r="B182" s="123"/>
      <c r="C182" s="123"/>
      <c r="D182" s="123"/>
      <c r="E182" s="123"/>
      <c r="F182" s="123"/>
      <c r="G182" s="123"/>
      <c r="H182" s="123"/>
      <c r="I182" s="123"/>
      <c r="J182" s="123"/>
      <c r="K182" s="123" t="s">
        <v>1065</v>
      </c>
      <c r="L182" s="123"/>
      <c r="M182" s="123"/>
      <c r="N182" s="123"/>
      <c r="O182" s="123"/>
      <c r="P182" s="123"/>
      <c r="Q182" s="123"/>
      <c r="R182" s="15"/>
      <c r="S182" s="15"/>
      <c r="T182" s="15"/>
      <c r="U182" s="15"/>
      <c r="V182" s="15"/>
      <c r="W182" s="15"/>
      <c r="X182" s="15"/>
    </row>
    <row r="183" spans="1:24" x14ac:dyDescent="0.35">
      <c r="A183" s="123"/>
      <c r="B183" s="123"/>
      <c r="C183" s="123"/>
      <c r="D183" s="123"/>
      <c r="E183" s="123"/>
      <c r="F183" s="123"/>
      <c r="G183" s="123"/>
      <c r="H183" s="123"/>
      <c r="I183" s="123"/>
      <c r="J183" s="123"/>
      <c r="K183" s="15" t="s">
        <v>1058</v>
      </c>
      <c r="L183" s="15"/>
      <c r="M183" s="123">
        <v>61.9</v>
      </c>
      <c r="N183" s="123"/>
      <c r="O183" s="123"/>
      <c r="P183" s="15"/>
      <c r="Q183" s="15"/>
      <c r="R183" s="15"/>
      <c r="S183" s="15"/>
      <c r="T183" s="15"/>
      <c r="U183" s="15"/>
      <c r="V183" s="15"/>
      <c r="W183" s="15"/>
      <c r="X183" s="15"/>
    </row>
    <row r="184" spans="1:24" x14ac:dyDescent="0.35">
      <c r="A184" s="123"/>
      <c r="B184" s="123"/>
      <c r="C184" s="123"/>
      <c r="D184" s="123"/>
      <c r="E184" s="123"/>
      <c r="F184" s="123"/>
      <c r="G184" s="123"/>
      <c r="H184" s="123"/>
      <c r="I184" s="123"/>
      <c r="J184" s="123"/>
      <c r="K184" s="15" t="s">
        <v>1059</v>
      </c>
      <c r="L184" s="15"/>
      <c r="M184" s="123">
        <v>61.8</v>
      </c>
      <c r="N184" s="123"/>
      <c r="O184" s="123"/>
      <c r="P184" s="15"/>
      <c r="Q184" s="15"/>
      <c r="R184" s="15"/>
      <c r="S184" s="15"/>
      <c r="T184" s="15"/>
      <c r="U184" s="15"/>
      <c r="V184" s="15"/>
      <c r="W184" s="15"/>
      <c r="X184" s="15"/>
    </row>
    <row r="185" spans="1:24" x14ac:dyDescent="0.35">
      <c r="A185" s="123"/>
      <c r="B185" s="123"/>
      <c r="C185" s="123"/>
      <c r="D185" s="123"/>
      <c r="E185" s="123"/>
      <c r="F185" s="123"/>
      <c r="G185" s="123"/>
      <c r="H185" s="123"/>
      <c r="I185" s="123"/>
      <c r="J185" s="123"/>
      <c r="K185" s="15"/>
      <c r="L185" s="15"/>
      <c r="M185" s="15"/>
      <c r="N185" s="15"/>
      <c r="O185" s="15"/>
      <c r="P185" s="15"/>
      <c r="Q185" s="15"/>
      <c r="R185" s="15"/>
      <c r="S185" s="15"/>
      <c r="T185" s="15"/>
      <c r="U185" s="15"/>
      <c r="V185" s="15"/>
      <c r="W185" s="15"/>
      <c r="X185" s="15"/>
    </row>
    <row r="186" spans="1:24" x14ac:dyDescent="0.35">
      <c r="A186" s="37">
        <v>66</v>
      </c>
      <c r="B186" s="37" t="s">
        <v>1066</v>
      </c>
      <c r="C186" s="37">
        <v>2021</v>
      </c>
      <c r="D186" s="37" t="s">
        <v>1067</v>
      </c>
      <c r="E186" s="37" t="s">
        <v>1068</v>
      </c>
      <c r="F186" s="37" t="s">
        <v>861</v>
      </c>
      <c r="G186" s="42" t="s">
        <v>808</v>
      </c>
      <c r="H186" s="37" t="s">
        <v>37</v>
      </c>
      <c r="I186" s="42" t="s">
        <v>808</v>
      </c>
      <c r="J186" s="37" t="s">
        <v>138</v>
      </c>
      <c r="K186" s="42" t="s">
        <v>808</v>
      </c>
      <c r="L186" s="42" t="s">
        <v>808</v>
      </c>
      <c r="M186" s="42" t="s">
        <v>808</v>
      </c>
      <c r="N186" s="42" t="s">
        <v>808</v>
      </c>
      <c r="O186" s="42" t="s">
        <v>808</v>
      </c>
      <c r="P186" s="42" t="s">
        <v>808</v>
      </c>
      <c r="Q186" s="42" t="s">
        <v>808</v>
      </c>
      <c r="R186" s="42" t="s">
        <v>808</v>
      </c>
      <c r="S186" s="42" t="s">
        <v>808</v>
      </c>
      <c r="T186" s="42" t="s">
        <v>808</v>
      </c>
      <c r="U186" s="37" t="s">
        <v>913</v>
      </c>
      <c r="V186" s="37"/>
      <c r="W186" s="37" t="s">
        <v>810</v>
      </c>
      <c r="X186" s="37" t="s">
        <v>810</v>
      </c>
    </row>
    <row r="187" spans="1:24" x14ac:dyDescent="0.35">
      <c r="A187" s="40">
        <v>67</v>
      </c>
      <c r="B187" s="40" t="s">
        <v>1069</v>
      </c>
      <c r="C187" s="40">
        <v>2014</v>
      </c>
      <c r="D187" s="40" t="s">
        <v>1070</v>
      </c>
      <c r="E187" s="40" t="s">
        <v>891</v>
      </c>
      <c r="F187" s="40" t="s">
        <v>988</v>
      </c>
      <c r="G187" s="40" t="s">
        <v>1071</v>
      </c>
      <c r="H187" s="40" t="s">
        <v>22</v>
      </c>
      <c r="I187" s="40">
        <v>1114</v>
      </c>
      <c r="J187" s="40" t="s">
        <v>1072</v>
      </c>
      <c r="K187" s="40"/>
      <c r="L187" s="43" t="s">
        <v>808</v>
      </c>
      <c r="M187" s="43" t="s">
        <v>808</v>
      </c>
      <c r="N187" s="43" t="s">
        <v>808</v>
      </c>
      <c r="O187" s="43" t="s">
        <v>808</v>
      </c>
      <c r="P187" s="43" t="s">
        <v>808</v>
      </c>
      <c r="Q187" s="43" t="s">
        <v>808</v>
      </c>
      <c r="R187" s="40" t="s">
        <v>1017</v>
      </c>
      <c r="S187" s="40" t="s">
        <v>1018</v>
      </c>
      <c r="T187" s="40" t="s">
        <v>1073</v>
      </c>
      <c r="U187" s="40"/>
      <c r="V187" s="40"/>
      <c r="W187" s="40"/>
      <c r="X187" s="40"/>
    </row>
    <row r="188" spans="1:24" x14ac:dyDescent="0.35">
      <c r="A188" s="123"/>
      <c r="B188" s="123"/>
      <c r="C188" s="123"/>
      <c r="D188" s="123"/>
      <c r="E188" s="123"/>
      <c r="F188" s="123"/>
      <c r="G188" s="123"/>
      <c r="H188" s="123"/>
      <c r="I188" s="123"/>
      <c r="J188" s="123"/>
      <c r="K188" s="15"/>
      <c r="L188" s="15"/>
      <c r="M188" s="15"/>
      <c r="N188" s="15"/>
      <c r="O188" s="15"/>
      <c r="P188" s="15"/>
      <c r="Q188" s="15"/>
      <c r="R188" s="15"/>
      <c r="S188" s="15"/>
      <c r="T188" s="15"/>
      <c r="U188" s="15"/>
      <c r="V188" s="15"/>
      <c r="W188" s="15"/>
      <c r="X188" s="15"/>
    </row>
    <row r="189" spans="1:24" x14ac:dyDescent="0.35">
      <c r="A189" s="123"/>
      <c r="B189" s="123"/>
      <c r="C189" s="123"/>
      <c r="D189" s="123"/>
      <c r="E189" s="123"/>
      <c r="F189" s="123"/>
      <c r="G189" s="123"/>
      <c r="H189" s="123"/>
      <c r="I189" s="123"/>
      <c r="J189" s="123"/>
      <c r="K189" s="123" t="s">
        <v>1074</v>
      </c>
      <c r="L189" s="123"/>
      <c r="M189" s="123"/>
      <c r="N189" s="123"/>
      <c r="O189" s="123"/>
      <c r="P189" s="123"/>
      <c r="Q189" s="123"/>
      <c r="R189" s="15"/>
      <c r="S189" s="15"/>
      <c r="T189" s="15"/>
      <c r="U189" s="15"/>
      <c r="V189" s="15"/>
      <c r="W189" s="15"/>
      <c r="X189" s="15"/>
    </row>
    <row r="190" spans="1:24" x14ac:dyDescent="0.35">
      <c r="A190" s="123"/>
      <c r="B190" s="123"/>
      <c r="C190" s="123"/>
      <c r="D190" s="123"/>
      <c r="E190" s="123"/>
      <c r="F190" s="123"/>
      <c r="G190" s="123"/>
      <c r="H190" s="123"/>
      <c r="I190" s="123"/>
      <c r="J190" s="123"/>
      <c r="K190" s="123" t="s">
        <v>1075</v>
      </c>
      <c r="L190" s="123"/>
      <c r="M190" s="123">
        <v>83.75</v>
      </c>
      <c r="N190" s="123"/>
      <c r="O190" s="123"/>
      <c r="P190" s="15"/>
      <c r="Q190" s="15"/>
      <c r="R190" s="15"/>
      <c r="S190" s="15"/>
      <c r="T190" s="15"/>
      <c r="U190" s="15"/>
      <c r="V190" s="15"/>
      <c r="W190" s="15"/>
      <c r="X190" s="15"/>
    </row>
    <row r="191" spans="1:24" x14ac:dyDescent="0.35">
      <c r="A191" s="123"/>
      <c r="B191" s="123"/>
      <c r="C191" s="123"/>
      <c r="D191" s="123"/>
      <c r="E191" s="123"/>
      <c r="F191" s="123"/>
      <c r="G191" s="123"/>
      <c r="H191" s="123"/>
      <c r="I191" s="123"/>
      <c r="J191" s="123"/>
      <c r="K191" s="15"/>
      <c r="L191" s="15"/>
      <c r="M191" s="15" t="s">
        <v>648</v>
      </c>
      <c r="N191" s="15" t="s">
        <v>653</v>
      </c>
      <c r="O191" s="15" t="s">
        <v>651</v>
      </c>
      <c r="P191" s="15" t="s">
        <v>649</v>
      </c>
      <c r="Q191" s="15"/>
      <c r="R191" s="15"/>
      <c r="S191" s="15"/>
      <c r="T191" s="15"/>
      <c r="U191" s="15"/>
      <c r="V191" s="15"/>
      <c r="W191" s="15"/>
      <c r="X191" s="15"/>
    </row>
    <row r="192" spans="1:24" x14ac:dyDescent="0.35">
      <c r="A192" s="123"/>
      <c r="B192" s="123"/>
      <c r="C192" s="123"/>
      <c r="D192" s="123"/>
      <c r="E192" s="123"/>
      <c r="F192" s="123"/>
      <c r="G192" s="123"/>
      <c r="H192" s="123"/>
      <c r="I192" s="123"/>
      <c r="J192" s="123"/>
      <c r="K192" s="123" t="s">
        <v>417</v>
      </c>
      <c r="L192" s="123"/>
      <c r="M192" s="15">
        <v>87.94</v>
      </c>
      <c r="N192" s="15">
        <v>81.78</v>
      </c>
      <c r="O192" s="15">
        <v>75.7</v>
      </c>
      <c r="P192" s="15">
        <v>86.67</v>
      </c>
      <c r="Q192" s="15"/>
      <c r="R192" s="15"/>
      <c r="S192" s="15"/>
      <c r="T192" s="15"/>
      <c r="U192" s="15"/>
      <c r="V192" s="15"/>
      <c r="W192" s="15"/>
      <c r="X192" s="15"/>
    </row>
    <row r="193" spans="1:24" x14ac:dyDescent="0.35">
      <c r="A193" s="123"/>
      <c r="B193" s="123"/>
      <c r="C193" s="123"/>
      <c r="D193" s="123"/>
      <c r="E193" s="123"/>
      <c r="F193" s="123"/>
      <c r="G193" s="123"/>
      <c r="H193" s="123"/>
      <c r="I193" s="123"/>
      <c r="J193" s="123"/>
      <c r="K193" s="123" t="s">
        <v>841</v>
      </c>
      <c r="L193" s="123"/>
      <c r="M193" s="15">
        <v>199</v>
      </c>
      <c r="N193" s="15">
        <v>236</v>
      </c>
      <c r="O193" s="15">
        <v>214</v>
      </c>
      <c r="P193" s="15">
        <v>465</v>
      </c>
      <c r="Q193" s="15"/>
      <c r="R193" s="15"/>
      <c r="S193" s="15"/>
      <c r="T193" s="15"/>
      <c r="U193" s="15"/>
      <c r="V193" s="15"/>
      <c r="W193" s="15"/>
      <c r="X193" s="15"/>
    </row>
    <row r="194" spans="1:24" x14ac:dyDescent="0.35">
      <c r="A194" s="123"/>
      <c r="B194" s="123"/>
      <c r="C194" s="123"/>
      <c r="D194" s="123"/>
      <c r="E194" s="123"/>
      <c r="F194" s="123"/>
      <c r="G194" s="123"/>
      <c r="H194" s="123"/>
      <c r="I194" s="123"/>
      <c r="J194" s="123"/>
      <c r="K194" s="123" t="s">
        <v>1076</v>
      </c>
      <c r="L194" s="123"/>
      <c r="M194" s="123">
        <v>87.305000000000007</v>
      </c>
      <c r="N194" s="123"/>
      <c r="O194" s="123">
        <v>78.739999999999995</v>
      </c>
      <c r="P194" s="123"/>
      <c r="Q194" s="15"/>
      <c r="R194" s="15"/>
      <c r="S194" s="15"/>
      <c r="T194" s="15"/>
      <c r="U194" s="15"/>
      <c r="V194" s="15"/>
      <c r="W194" s="15"/>
      <c r="X194" s="15"/>
    </row>
    <row r="195" spans="1:24" x14ac:dyDescent="0.35">
      <c r="A195" s="123"/>
      <c r="B195" s="123"/>
      <c r="C195" s="123"/>
      <c r="D195" s="123"/>
      <c r="E195" s="123"/>
      <c r="F195" s="123"/>
      <c r="G195" s="123"/>
      <c r="H195" s="123"/>
      <c r="I195" s="123"/>
      <c r="J195" s="123"/>
      <c r="K195" s="123" t="s">
        <v>1077</v>
      </c>
      <c r="L195" s="123"/>
      <c r="M195" s="15"/>
      <c r="N195" s="15"/>
      <c r="O195" s="15"/>
      <c r="P195" s="15"/>
      <c r="Q195" s="15">
        <v>1114</v>
      </c>
      <c r="R195" s="15"/>
      <c r="S195" s="15"/>
      <c r="T195" s="15"/>
      <c r="U195" s="15"/>
      <c r="V195" s="15"/>
      <c r="W195" s="15"/>
      <c r="X195" s="15"/>
    </row>
    <row r="196" spans="1:24" x14ac:dyDescent="0.35">
      <c r="A196" s="123"/>
      <c r="B196" s="123"/>
      <c r="C196" s="123"/>
      <c r="D196" s="123"/>
      <c r="E196" s="123"/>
      <c r="F196" s="123"/>
      <c r="G196" s="123"/>
      <c r="H196" s="123"/>
      <c r="I196" s="123"/>
      <c r="J196" s="123"/>
      <c r="K196" s="123" t="s">
        <v>1078</v>
      </c>
      <c r="L196" s="123"/>
      <c r="M196" s="123"/>
      <c r="N196" s="123"/>
      <c r="O196" s="123"/>
      <c r="P196" s="123"/>
      <c r="Q196" s="123"/>
      <c r="R196" s="15"/>
      <c r="S196" s="15"/>
      <c r="T196" s="15"/>
      <c r="U196" s="15"/>
      <c r="V196" s="15"/>
      <c r="W196" s="15"/>
      <c r="X196" s="15"/>
    </row>
    <row r="197" spans="1:24" x14ac:dyDescent="0.35">
      <c r="A197" s="123"/>
      <c r="B197" s="123"/>
      <c r="C197" s="123"/>
      <c r="D197" s="123"/>
      <c r="E197" s="123"/>
      <c r="F197" s="123"/>
      <c r="G197" s="123"/>
      <c r="H197" s="123"/>
      <c r="I197" s="123"/>
      <c r="J197" s="123"/>
      <c r="K197" s="123" t="s">
        <v>1075</v>
      </c>
      <c r="L197" s="123"/>
      <c r="M197" s="123">
        <v>91.47</v>
      </c>
      <c r="N197" s="123"/>
      <c r="O197" s="123"/>
      <c r="P197" s="15"/>
      <c r="Q197" s="15"/>
      <c r="R197" s="15"/>
      <c r="S197" s="15"/>
      <c r="T197" s="15"/>
      <c r="U197" s="15"/>
      <c r="V197" s="15"/>
      <c r="W197" s="15"/>
      <c r="X197" s="15"/>
    </row>
    <row r="198" spans="1:24" x14ac:dyDescent="0.35">
      <c r="A198" s="123"/>
      <c r="B198" s="123"/>
      <c r="C198" s="123"/>
      <c r="D198" s="123"/>
      <c r="E198" s="123"/>
      <c r="F198" s="123"/>
      <c r="G198" s="123"/>
      <c r="H198" s="123"/>
      <c r="I198" s="123"/>
      <c r="J198" s="123"/>
      <c r="K198" s="15"/>
      <c r="L198" s="15"/>
      <c r="M198" s="15"/>
      <c r="N198" s="15"/>
      <c r="O198" s="15"/>
      <c r="P198" s="15"/>
      <c r="Q198" s="15"/>
      <c r="R198" s="15"/>
      <c r="S198" s="15"/>
      <c r="T198" s="15"/>
      <c r="U198" s="15"/>
      <c r="V198" s="15"/>
      <c r="W198" s="15"/>
      <c r="X198" s="15"/>
    </row>
    <row r="199" spans="1:24" x14ac:dyDescent="0.35">
      <c r="A199" s="37">
        <v>68</v>
      </c>
      <c r="B199" s="37" t="s">
        <v>1079</v>
      </c>
      <c r="C199" s="37">
        <v>2021</v>
      </c>
      <c r="D199" s="37" t="s">
        <v>1080</v>
      </c>
      <c r="E199" s="37" t="s">
        <v>856</v>
      </c>
      <c r="F199" s="37" t="s">
        <v>476</v>
      </c>
      <c r="G199" s="37" t="s">
        <v>1081</v>
      </c>
      <c r="H199" s="37" t="s">
        <v>1082</v>
      </c>
      <c r="I199" s="37"/>
      <c r="J199" s="37" t="s">
        <v>343</v>
      </c>
      <c r="K199" s="42" t="s">
        <v>808</v>
      </c>
      <c r="L199" s="42" t="s">
        <v>808</v>
      </c>
      <c r="M199" s="42" t="s">
        <v>808</v>
      </c>
      <c r="N199" s="42" t="s">
        <v>808</v>
      </c>
      <c r="O199" s="42" t="s">
        <v>808</v>
      </c>
      <c r="P199" s="42" t="s">
        <v>808</v>
      </c>
      <c r="Q199" s="42" t="s">
        <v>808</v>
      </c>
      <c r="R199" s="37" t="s">
        <v>1083</v>
      </c>
      <c r="S199" s="37" t="s">
        <v>1084</v>
      </c>
      <c r="T199" s="37" t="s">
        <v>1085</v>
      </c>
      <c r="U199" s="37" t="s">
        <v>1086</v>
      </c>
      <c r="V199" s="37"/>
      <c r="W199" s="37"/>
      <c r="X199" s="37"/>
    </row>
    <row r="200" spans="1:24" x14ac:dyDescent="0.35">
      <c r="A200" s="123"/>
      <c r="B200" s="123"/>
      <c r="C200" s="123"/>
      <c r="D200" s="123"/>
      <c r="E200" s="123"/>
      <c r="F200" s="123"/>
      <c r="G200" s="123"/>
      <c r="H200" s="123"/>
      <c r="I200" s="123"/>
      <c r="J200" s="123"/>
      <c r="K200" s="15"/>
      <c r="L200" s="15"/>
      <c r="M200" s="15"/>
      <c r="N200" s="15"/>
      <c r="O200" s="15"/>
      <c r="P200" s="15"/>
      <c r="Q200" s="15"/>
      <c r="R200" s="15"/>
      <c r="S200" s="15"/>
      <c r="T200" s="15"/>
      <c r="U200" s="15"/>
      <c r="V200" s="15"/>
      <c r="W200" s="15"/>
      <c r="X200" s="15"/>
    </row>
    <row r="201" spans="1:24" x14ac:dyDescent="0.35">
      <c r="A201" s="123"/>
      <c r="B201" s="123"/>
      <c r="C201" s="123"/>
      <c r="D201" s="123"/>
      <c r="E201" s="123"/>
      <c r="F201" s="123"/>
      <c r="G201" s="123"/>
      <c r="H201" s="123"/>
      <c r="I201" s="123"/>
      <c r="J201" s="123"/>
      <c r="K201" s="123" t="s">
        <v>1087</v>
      </c>
      <c r="L201" s="123"/>
      <c r="M201" s="123"/>
      <c r="N201" s="123"/>
      <c r="O201" s="15"/>
      <c r="P201" s="15"/>
      <c r="Q201" s="15"/>
      <c r="R201" s="15"/>
      <c r="S201" s="15"/>
      <c r="T201" s="15"/>
      <c r="U201" s="15"/>
      <c r="V201" s="15"/>
      <c r="W201" s="15"/>
      <c r="X201" s="15"/>
    </row>
    <row r="202" spans="1:24" x14ac:dyDescent="0.35">
      <c r="A202" s="123"/>
      <c r="B202" s="123"/>
      <c r="C202" s="123"/>
      <c r="D202" s="123"/>
      <c r="E202" s="123"/>
      <c r="F202" s="123"/>
      <c r="G202" s="123"/>
      <c r="H202" s="123"/>
      <c r="I202" s="123"/>
      <c r="J202" s="123"/>
      <c r="K202" s="15" t="s">
        <v>974</v>
      </c>
      <c r="L202" s="123">
        <v>0.623</v>
      </c>
      <c r="M202" s="123"/>
      <c r="N202" s="123"/>
      <c r="O202" s="15"/>
      <c r="P202" s="15"/>
      <c r="Q202" s="15"/>
      <c r="R202" s="15"/>
      <c r="S202" s="15"/>
      <c r="T202" s="15"/>
      <c r="U202" s="15"/>
      <c r="V202" s="15"/>
      <c r="W202" s="15"/>
      <c r="X202" s="15"/>
    </row>
    <row r="203" spans="1:24" x14ac:dyDescent="0.35">
      <c r="A203" s="123"/>
      <c r="B203" s="123"/>
      <c r="C203" s="123"/>
      <c r="D203" s="123"/>
      <c r="E203" s="123"/>
      <c r="F203" s="123"/>
      <c r="G203" s="123"/>
      <c r="H203" s="123"/>
      <c r="I203" s="123"/>
      <c r="J203" s="123"/>
      <c r="K203" s="15" t="s">
        <v>975</v>
      </c>
      <c r="L203" s="123">
        <v>0.42</v>
      </c>
      <c r="M203" s="123"/>
      <c r="N203" s="123"/>
      <c r="O203" s="15"/>
      <c r="P203" s="15"/>
      <c r="Q203" s="15"/>
      <c r="R203" s="15"/>
      <c r="S203" s="15"/>
      <c r="T203" s="15"/>
      <c r="U203" s="15"/>
      <c r="V203" s="15"/>
      <c r="W203" s="15"/>
      <c r="X203" s="15"/>
    </row>
    <row r="204" spans="1:24" x14ac:dyDescent="0.35">
      <c r="A204" s="123"/>
      <c r="B204" s="123"/>
      <c r="C204" s="123"/>
      <c r="D204" s="123"/>
      <c r="E204" s="123"/>
      <c r="F204" s="123"/>
      <c r="G204" s="123"/>
      <c r="H204" s="123"/>
      <c r="I204" s="123"/>
      <c r="J204" s="123"/>
      <c r="K204" s="15"/>
      <c r="L204" s="15"/>
      <c r="M204" s="15"/>
      <c r="N204" s="15"/>
      <c r="O204" s="15"/>
      <c r="P204" s="15"/>
      <c r="Q204" s="15"/>
      <c r="R204" s="15"/>
      <c r="S204" s="15"/>
      <c r="T204" s="15"/>
      <c r="U204" s="15"/>
      <c r="V204" s="15"/>
      <c r="W204" s="15"/>
      <c r="X204" s="15"/>
    </row>
    <row r="205" spans="1:24" x14ac:dyDescent="0.35">
      <c r="A205" s="123"/>
      <c r="B205" s="123"/>
      <c r="C205" s="123"/>
      <c r="D205" s="123"/>
      <c r="E205" s="123"/>
      <c r="F205" s="123"/>
      <c r="G205" s="123"/>
      <c r="H205" s="123"/>
      <c r="I205" s="123"/>
      <c r="J205" s="123"/>
      <c r="K205" s="123" t="s">
        <v>1088</v>
      </c>
      <c r="L205" s="123"/>
      <c r="M205" s="123"/>
      <c r="N205" s="123"/>
      <c r="O205" s="15"/>
      <c r="P205" s="15"/>
      <c r="Q205" s="15"/>
      <c r="R205" s="15"/>
      <c r="S205" s="15"/>
      <c r="T205" s="15"/>
      <c r="U205" s="15"/>
      <c r="V205" s="15"/>
      <c r="W205" s="15"/>
      <c r="X205" s="15"/>
    </row>
    <row r="206" spans="1:24" x14ac:dyDescent="0.35">
      <c r="A206" s="123"/>
      <c r="B206" s="123"/>
      <c r="C206" s="123"/>
      <c r="D206" s="123"/>
      <c r="E206" s="123"/>
      <c r="F206" s="123"/>
      <c r="G206" s="123"/>
      <c r="H206" s="123"/>
      <c r="I206" s="123"/>
      <c r="J206" s="123"/>
      <c r="K206" s="15" t="s">
        <v>974</v>
      </c>
      <c r="L206" s="123">
        <v>0.45600000000000002</v>
      </c>
      <c r="M206" s="123"/>
      <c r="N206" s="123"/>
      <c r="O206" s="15"/>
      <c r="P206" s="15"/>
      <c r="Q206" s="15"/>
      <c r="R206" s="15"/>
      <c r="S206" s="15"/>
      <c r="T206" s="15"/>
      <c r="U206" s="15"/>
      <c r="V206" s="15"/>
      <c r="W206" s="15"/>
      <c r="X206" s="15"/>
    </row>
    <row r="207" spans="1:24" x14ac:dyDescent="0.35">
      <c r="A207" s="123"/>
      <c r="B207" s="123"/>
      <c r="C207" s="123"/>
      <c r="D207" s="123"/>
      <c r="E207" s="123"/>
      <c r="F207" s="123"/>
      <c r="G207" s="123"/>
      <c r="H207" s="123"/>
      <c r="I207" s="123"/>
      <c r="J207" s="123"/>
      <c r="K207" s="15" t="s">
        <v>975</v>
      </c>
      <c r="L207" s="123">
        <v>0.52500000000000002</v>
      </c>
      <c r="M207" s="123"/>
      <c r="N207" s="123"/>
      <c r="O207" s="15"/>
      <c r="P207" s="15"/>
      <c r="Q207" s="15"/>
      <c r="R207" s="15"/>
      <c r="S207" s="15"/>
      <c r="T207" s="15"/>
      <c r="U207" s="15"/>
      <c r="V207" s="15"/>
      <c r="W207" s="15"/>
      <c r="X207" s="15"/>
    </row>
    <row r="208" spans="1:24" x14ac:dyDescent="0.35">
      <c r="A208" s="123"/>
      <c r="B208" s="123"/>
      <c r="C208" s="123"/>
      <c r="D208" s="123"/>
      <c r="E208" s="123"/>
      <c r="F208" s="123"/>
      <c r="G208" s="123"/>
      <c r="H208" s="123"/>
      <c r="I208" s="123"/>
      <c r="J208" s="123"/>
      <c r="K208" s="15"/>
      <c r="L208" s="15"/>
      <c r="M208" s="15"/>
      <c r="N208" s="15"/>
      <c r="O208" s="15"/>
      <c r="P208" s="15"/>
      <c r="Q208" s="15"/>
      <c r="R208" s="15"/>
      <c r="S208" s="15"/>
      <c r="T208" s="15"/>
      <c r="U208" s="15"/>
      <c r="V208" s="15"/>
      <c r="W208" s="15"/>
      <c r="X208" s="15"/>
    </row>
    <row r="209" spans="1:24" x14ac:dyDescent="0.35">
      <c r="A209" s="123"/>
      <c r="B209" s="123"/>
      <c r="C209" s="123"/>
      <c r="D209" s="123"/>
      <c r="E209" s="123"/>
      <c r="F209" s="123"/>
      <c r="G209" s="123"/>
      <c r="H209" s="123"/>
      <c r="I209" s="123"/>
      <c r="J209" s="123"/>
      <c r="K209" s="123" t="s">
        <v>1089</v>
      </c>
      <c r="L209" s="123"/>
      <c r="M209" s="123"/>
      <c r="N209" s="123"/>
      <c r="O209" s="15"/>
      <c r="P209" s="15"/>
      <c r="Q209" s="15"/>
      <c r="R209" s="15"/>
      <c r="S209" s="15"/>
      <c r="T209" s="15"/>
      <c r="U209" s="15"/>
      <c r="V209" s="15"/>
      <c r="W209" s="15"/>
      <c r="X209" s="15"/>
    </row>
    <row r="210" spans="1:24" x14ac:dyDescent="0.35">
      <c r="A210" s="123"/>
      <c r="B210" s="123"/>
      <c r="C210" s="123"/>
      <c r="D210" s="123"/>
      <c r="E210" s="123"/>
      <c r="F210" s="123"/>
      <c r="G210" s="123"/>
      <c r="H210" s="123"/>
      <c r="I210" s="123"/>
      <c r="J210" s="123"/>
      <c r="K210" s="15" t="s">
        <v>974</v>
      </c>
      <c r="L210" s="123">
        <v>0.40699999999999997</v>
      </c>
      <c r="M210" s="123"/>
      <c r="N210" s="123"/>
      <c r="O210" s="15"/>
      <c r="P210" s="15"/>
      <c r="Q210" s="15"/>
      <c r="R210" s="15"/>
      <c r="S210" s="15"/>
      <c r="T210" s="15"/>
      <c r="U210" s="15"/>
      <c r="V210" s="15"/>
      <c r="W210" s="15"/>
      <c r="X210" s="15"/>
    </row>
    <row r="211" spans="1:24" x14ac:dyDescent="0.35">
      <c r="A211" s="123"/>
      <c r="B211" s="123"/>
      <c r="C211" s="123"/>
      <c r="D211" s="123"/>
      <c r="E211" s="123"/>
      <c r="F211" s="123"/>
      <c r="G211" s="123"/>
      <c r="H211" s="123"/>
      <c r="I211" s="123"/>
      <c r="J211" s="123"/>
      <c r="K211" s="15" t="s">
        <v>975</v>
      </c>
      <c r="L211" s="123">
        <v>0.54500000000000004</v>
      </c>
      <c r="M211" s="123"/>
      <c r="N211" s="123"/>
      <c r="O211" s="15"/>
      <c r="P211" s="15"/>
      <c r="Q211" s="15"/>
      <c r="R211" s="15"/>
      <c r="S211" s="15"/>
      <c r="T211" s="15"/>
      <c r="U211" s="15"/>
      <c r="V211" s="15"/>
      <c r="W211" s="15"/>
      <c r="X211" s="15"/>
    </row>
    <row r="212" spans="1:24" x14ac:dyDescent="0.35">
      <c r="A212" s="123"/>
      <c r="B212" s="123"/>
      <c r="C212" s="123"/>
      <c r="D212" s="123"/>
      <c r="E212" s="123"/>
      <c r="F212" s="123"/>
      <c r="G212" s="123"/>
      <c r="H212" s="123"/>
      <c r="I212" s="123"/>
      <c r="J212" s="123"/>
      <c r="K212" s="15"/>
      <c r="L212" s="15"/>
      <c r="M212" s="15"/>
      <c r="N212" s="15"/>
      <c r="O212" s="15"/>
      <c r="P212" s="15"/>
      <c r="Q212" s="15"/>
      <c r="R212" s="15"/>
      <c r="S212" s="15"/>
      <c r="T212" s="15"/>
      <c r="U212" s="15"/>
      <c r="V212" s="15"/>
      <c r="W212" s="15"/>
      <c r="X212" s="15"/>
    </row>
    <row r="213" spans="1:24" x14ac:dyDescent="0.35">
      <c r="A213" s="37">
        <v>69</v>
      </c>
      <c r="B213" s="37" t="s">
        <v>1090</v>
      </c>
      <c r="C213" s="37">
        <v>2021</v>
      </c>
      <c r="D213" s="37" t="s">
        <v>1091</v>
      </c>
      <c r="E213" s="37" t="s">
        <v>849</v>
      </c>
      <c r="F213" s="37" t="s">
        <v>1000</v>
      </c>
      <c r="G213" s="42" t="s">
        <v>808</v>
      </c>
      <c r="H213" s="42" t="s">
        <v>808</v>
      </c>
      <c r="I213" s="42" t="s">
        <v>808</v>
      </c>
      <c r="J213" s="42" t="s">
        <v>808</v>
      </c>
      <c r="K213" s="42" t="s">
        <v>808</v>
      </c>
      <c r="L213" s="42" t="s">
        <v>808</v>
      </c>
      <c r="M213" s="42" t="s">
        <v>808</v>
      </c>
      <c r="N213" s="42" t="s">
        <v>808</v>
      </c>
      <c r="O213" s="42" t="s">
        <v>808</v>
      </c>
      <c r="P213" s="42" t="s">
        <v>808</v>
      </c>
      <c r="Q213" s="42" t="s">
        <v>808</v>
      </c>
      <c r="R213" s="42" t="s">
        <v>808</v>
      </c>
      <c r="S213" s="42" t="s">
        <v>808</v>
      </c>
      <c r="T213" s="42" t="s">
        <v>808</v>
      </c>
      <c r="U213" s="37" t="s">
        <v>913</v>
      </c>
      <c r="V213" s="37"/>
      <c r="W213" s="37" t="s">
        <v>810</v>
      </c>
      <c r="X213" s="37" t="s">
        <v>810</v>
      </c>
    </row>
    <row r="214" spans="1:24" x14ac:dyDescent="0.35">
      <c r="A214" s="40">
        <v>70</v>
      </c>
      <c r="B214" s="40" t="s">
        <v>1092</v>
      </c>
      <c r="C214" s="40">
        <v>2022</v>
      </c>
      <c r="D214" s="40" t="s">
        <v>1093</v>
      </c>
      <c r="E214" s="40" t="s">
        <v>849</v>
      </c>
      <c r="F214" s="40" t="s">
        <v>988</v>
      </c>
      <c r="G214" s="40" t="s">
        <v>1094</v>
      </c>
      <c r="H214" s="40" t="s">
        <v>37</v>
      </c>
      <c r="I214" s="40" t="s">
        <v>1095</v>
      </c>
      <c r="J214" s="40" t="s">
        <v>1096</v>
      </c>
      <c r="K214" s="40"/>
      <c r="L214" s="43" t="s">
        <v>808</v>
      </c>
      <c r="M214" s="43" t="s">
        <v>808</v>
      </c>
      <c r="N214" s="43" t="s">
        <v>808</v>
      </c>
      <c r="O214" s="43" t="s">
        <v>808</v>
      </c>
      <c r="P214" s="43" t="s">
        <v>808</v>
      </c>
      <c r="Q214" s="43" t="s">
        <v>808</v>
      </c>
      <c r="R214" s="40" t="s">
        <v>819</v>
      </c>
      <c r="S214" s="40" t="s">
        <v>820</v>
      </c>
      <c r="T214" s="40" t="s">
        <v>1097</v>
      </c>
      <c r="U214" s="43" t="s">
        <v>808</v>
      </c>
      <c r="V214" s="40" t="s">
        <v>810</v>
      </c>
      <c r="W214" s="40" t="s">
        <v>810</v>
      </c>
      <c r="X214" s="40" t="s">
        <v>810</v>
      </c>
    </row>
    <row r="215" spans="1:24" x14ac:dyDescent="0.35">
      <c r="A215" s="123"/>
      <c r="B215" s="123"/>
      <c r="C215" s="123"/>
      <c r="D215" s="123"/>
      <c r="E215" s="123"/>
      <c r="F215" s="123"/>
      <c r="G215" s="123"/>
      <c r="H215" s="123"/>
      <c r="I215" s="15"/>
      <c r="J215" s="15"/>
      <c r="K215" s="15"/>
      <c r="L215" s="15"/>
      <c r="M215" s="15"/>
      <c r="N215" s="15"/>
      <c r="O215" s="15"/>
      <c r="P215" s="15"/>
      <c r="Q215" s="15"/>
      <c r="R215" s="15"/>
      <c r="S215" s="15"/>
      <c r="T215" s="15"/>
      <c r="U215" s="15"/>
      <c r="V215" s="15"/>
      <c r="W215" s="15"/>
      <c r="X215" s="15"/>
    </row>
    <row r="216" spans="1:24" x14ac:dyDescent="0.35">
      <c r="A216" s="123"/>
      <c r="B216" s="123"/>
      <c r="C216" s="123"/>
      <c r="D216" s="123"/>
      <c r="E216" s="123"/>
      <c r="F216" s="123"/>
      <c r="G216" s="123"/>
      <c r="H216" s="123"/>
      <c r="I216" s="15"/>
      <c r="J216" s="15"/>
      <c r="K216" s="123" t="s">
        <v>1098</v>
      </c>
      <c r="L216" s="123"/>
      <c r="M216" s="123"/>
      <c r="N216" s="123"/>
      <c r="O216" s="123"/>
      <c r="P216" s="123"/>
      <c r="Q216" s="123"/>
      <c r="R216" s="15"/>
      <c r="S216" s="15"/>
      <c r="T216" s="15"/>
      <c r="U216" s="15"/>
      <c r="V216" s="15"/>
      <c r="W216" s="15"/>
      <c r="X216" s="15"/>
    </row>
    <row r="217" spans="1:24" x14ac:dyDescent="0.35">
      <c r="A217" s="123"/>
      <c r="B217" s="123"/>
      <c r="C217" s="123"/>
      <c r="D217" s="123"/>
      <c r="E217" s="123"/>
      <c r="F217" s="123"/>
      <c r="G217" s="123"/>
      <c r="H217" s="123"/>
      <c r="I217" s="15"/>
      <c r="J217" s="15"/>
      <c r="K217" s="15"/>
      <c r="L217" s="15"/>
      <c r="M217" s="15" t="s">
        <v>39</v>
      </c>
      <c r="N217" s="15" t="s">
        <v>138</v>
      </c>
      <c r="O217" s="15"/>
      <c r="P217" s="15"/>
      <c r="Q217" s="15"/>
      <c r="R217" s="15"/>
      <c r="S217" s="15"/>
      <c r="T217" s="15"/>
      <c r="U217" s="15"/>
      <c r="V217" s="15"/>
      <c r="W217" s="15"/>
      <c r="X217" s="15"/>
    </row>
    <row r="218" spans="1:24" x14ac:dyDescent="0.35">
      <c r="A218" s="123"/>
      <c r="B218" s="123"/>
      <c r="C218" s="123"/>
      <c r="D218" s="123"/>
      <c r="E218" s="123"/>
      <c r="F218" s="123"/>
      <c r="G218" s="123"/>
      <c r="H218" s="123"/>
      <c r="I218" s="15"/>
      <c r="J218" s="15"/>
      <c r="K218" s="123" t="s">
        <v>1099</v>
      </c>
      <c r="L218" s="123"/>
      <c r="M218" s="15">
        <v>67.36</v>
      </c>
      <c r="N218" s="15">
        <v>62.3</v>
      </c>
      <c r="O218" s="15"/>
      <c r="P218" s="15"/>
      <c r="Q218" s="15"/>
      <c r="R218" s="15"/>
      <c r="S218" s="15"/>
      <c r="T218" s="15"/>
      <c r="U218" s="15"/>
      <c r="V218" s="15"/>
      <c r="W218" s="15"/>
      <c r="X218" s="15"/>
    </row>
    <row r="219" spans="1:24" x14ac:dyDescent="0.35">
      <c r="A219" s="123"/>
      <c r="B219" s="123"/>
      <c r="C219" s="123"/>
      <c r="D219" s="123"/>
      <c r="E219" s="123"/>
      <c r="F219" s="123"/>
      <c r="G219" s="123"/>
      <c r="H219" s="123"/>
      <c r="I219" s="15"/>
      <c r="J219" s="15"/>
      <c r="K219" s="15"/>
      <c r="L219" s="15"/>
      <c r="M219" s="15"/>
      <c r="N219" s="15"/>
      <c r="O219" s="15"/>
      <c r="P219" s="15"/>
      <c r="Q219" s="15"/>
      <c r="R219" s="15"/>
      <c r="S219" s="15"/>
      <c r="T219" s="15"/>
      <c r="U219" s="15"/>
      <c r="V219" s="15"/>
      <c r="W219" s="15"/>
      <c r="X219" s="15"/>
    </row>
    <row r="220" spans="1:24" x14ac:dyDescent="0.35">
      <c r="A220" s="123"/>
      <c r="B220" s="123"/>
      <c r="C220" s="123"/>
      <c r="D220" s="123"/>
      <c r="E220" s="123"/>
      <c r="F220" s="123"/>
      <c r="G220" s="123"/>
      <c r="H220" s="123"/>
      <c r="I220" s="15"/>
      <c r="J220" s="15"/>
      <c r="K220" s="123" t="s">
        <v>1100</v>
      </c>
      <c r="L220" s="123"/>
      <c r="M220" s="123"/>
      <c r="N220" s="123"/>
      <c r="O220" s="123"/>
      <c r="P220" s="123"/>
      <c r="Q220" s="123"/>
      <c r="R220" s="15"/>
      <c r="S220" s="15"/>
      <c r="T220" s="15"/>
      <c r="U220" s="15"/>
      <c r="V220" s="15"/>
      <c r="W220" s="15"/>
      <c r="X220" s="15"/>
    </row>
    <row r="221" spans="1:24" x14ac:dyDescent="0.35">
      <c r="A221" s="123"/>
      <c r="B221" s="123"/>
      <c r="C221" s="123"/>
      <c r="D221" s="123"/>
      <c r="E221" s="123"/>
      <c r="F221" s="123"/>
      <c r="G221" s="123"/>
      <c r="H221" s="123"/>
      <c r="I221" s="123" t="s">
        <v>823</v>
      </c>
      <c r="J221" s="123"/>
      <c r="K221" s="15">
        <v>66.790000000000006</v>
      </c>
      <c r="L221" s="15"/>
      <c r="M221" s="15"/>
      <c r="N221" s="15"/>
      <c r="O221" s="15"/>
      <c r="P221" s="15"/>
      <c r="Q221" s="15"/>
      <c r="R221" s="15"/>
      <c r="S221" s="15"/>
      <c r="T221" s="15"/>
      <c r="U221" s="15"/>
      <c r="V221" s="15"/>
      <c r="W221" s="15"/>
      <c r="X221" s="15"/>
    </row>
    <row r="222" spans="1:24" x14ac:dyDescent="0.35">
      <c r="A222" s="123"/>
      <c r="B222" s="123"/>
      <c r="C222" s="123"/>
      <c r="D222" s="123"/>
      <c r="E222" s="123"/>
      <c r="F222" s="123"/>
      <c r="G222" s="123"/>
      <c r="H222" s="123"/>
      <c r="I222" s="123" t="s">
        <v>825</v>
      </c>
      <c r="J222" s="123"/>
      <c r="K222" s="15">
        <v>66.89</v>
      </c>
      <c r="L222" s="15"/>
      <c r="M222" s="15"/>
      <c r="N222" s="15"/>
      <c r="O222" s="15"/>
      <c r="P222" s="15"/>
      <c r="Q222" s="15"/>
      <c r="R222" s="15"/>
      <c r="S222" s="15"/>
      <c r="T222" s="15"/>
      <c r="U222" s="15"/>
      <c r="V222" s="15"/>
      <c r="W222" s="15"/>
      <c r="X222" s="15"/>
    </row>
    <row r="223" spans="1:24" x14ac:dyDescent="0.35">
      <c r="A223" s="123"/>
      <c r="B223" s="123"/>
      <c r="C223" s="123"/>
      <c r="D223" s="123"/>
      <c r="E223" s="123"/>
      <c r="F223" s="123"/>
      <c r="G223" s="123"/>
      <c r="H223" s="123"/>
      <c r="I223" s="15"/>
      <c r="J223" s="123" t="s">
        <v>638</v>
      </c>
      <c r="K223" s="123"/>
      <c r="L223" s="123"/>
      <c r="M223" s="15"/>
      <c r="N223" s="123" t="s">
        <v>827</v>
      </c>
      <c r="O223" s="123"/>
      <c r="P223" s="123"/>
      <c r="Q223" s="123"/>
      <c r="R223" s="15"/>
      <c r="S223" s="15"/>
      <c r="T223" s="15"/>
      <c r="U223" s="15"/>
      <c r="V223" s="15"/>
      <c r="W223" s="15"/>
      <c r="X223" s="15"/>
    </row>
    <row r="224" spans="1:24" x14ac:dyDescent="0.35">
      <c r="A224" s="123"/>
      <c r="B224" s="123"/>
      <c r="C224" s="123"/>
      <c r="D224" s="123"/>
      <c r="E224" s="123"/>
      <c r="F224" s="123"/>
      <c r="G224" s="123"/>
      <c r="H224" s="123"/>
      <c r="I224" s="15"/>
      <c r="J224" s="123" t="s">
        <v>828</v>
      </c>
      <c r="K224" s="123"/>
      <c r="L224" s="123"/>
      <c r="M224" s="15"/>
      <c r="N224" s="123" t="s">
        <v>643</v>
      </c>
      <c r="O224" s="123"/>
      <c r="P224" s="123"/>
      <c r="Q224" s="123"/>
      <c r="R224" s="15"/>
      <c r="S224" s="15"/>
      <c r="T224" s="15"/>
      <c r="U224" s="15"/>
      <c r="V224" s="15"/>
      <c r="W224" s="15"/>
      <c r="X224" s="15"/>
    </row>
    <row r="225" spans="1:24" x14ac:dyDescent="0.35">
      <c r="A225" s="123"/>
      <c r="B225" s="123"/>
      <c r="C225" s="123"/>
      <c r="D225" s="123"/>
      <c r="E225" s="123"/>
      <c r="F225" s="123"/>
      <c r="G225" s="123"/>
      <c r="H225" s="123"/>
      <c r="I225" s="15"/>
      <c r="J225" s="15" t="s">
        <v>649</v>
      </c>
      <c r="K225" s="15" t="s">
        <v>648</v>
      </c>
      <c r="L225" s="15" t="s">
        <v>650</v>
      </c>
      <c r="M225" s="15"/>
      <c r="N225" s="15" t="s">
        <v>832</v>
      </c>
      <c r="O225" s="15" t="s">
        <v>653</v>
      </c>
      <c r="P225" s="15" t="s">
        <v>652</v>
      </c>
      <c r="Q225" s="15"/>
      <c r="R225" s="15"/>
      <c r="S225" s="15"/>
      <c r="T225" s="15"/>
      <c r="U225" s="15"/>
      <c r="V225" s="15"/>
      <c r="W225" s="15"/>
      <c r="X225" s="15"/>
    </row>
    <row r="226" spans="1:24" x14ac:dyDescent="0.35">
      <c r="A226" s="123"/>
      <c r="B226" s="123"/>
      <c r="C226" s="123"/>
      <c r="D226" s="123"/>
      <c r="E226" s="123"/>
      <c r="F226" s="123"/>
      <c r="G226" s="123"/>
      <c r="H226" s="123"/>
      <c r="I226" s="15" t="s">
        <v>930</v>
      </c>
      <c r="J226" s="15">
        <v>68.489999999999995</v>
      </c>
      <c r="K226" s="15">
        <v>58.33</v>
      </c>
      <c r="L226" s="15">
        <v>68.900000000000006</v>
      </c>
      <c r="M226" s="15"/>
      <c r="N226" s="15">
        <v>78.37</v>
      </c>
      <c r="O226" s="15">
        <v>65.88</v>
      </c>
      <c r="P226" s="15">
        <v>59.58</v>
      </c>
      <c r="Q226" s="15"/>
      <c r="R226" s="15"/>
      <c r="S226" s="15"/>
      <c r="T226" s="15"/>
      <c r="U226" s="15"/>
      <c r="V226" s="15"/>
      <c r="W226" s="15"/>
      <c r="X226" s="15"/>
    </row>
    <row r="227" spans="1:24" x14ac:dyDescent="0.35">
      <c r="A227" s="123"/>
      <c r="B227" s="123"/>
      <c r="C227" s="123"/>
      <c r="D227" s="123"/>
      <c r="E227" s="123"/>
      <c r="F227" s="123"/>
      <c r="G227" s="123"/>
      <c r="H227" s="123"/>
      <c r="I227" s="15" t="s">
        <v>657</v>
      </c>
      <c r="J227" s="15">
        <v>62.47</v>
      </c>
      <c r="K227" s="15">
        <v>60.87</v>
      </c>
      <c r="L227" s="15">
        <v>72.540000000000006</v>
      </c>
      <c r="M227" s="15"/>
      <c r="N227" s="15">
        <v>78.849999999999994</v>
      </c>
      <c r="O227" s="15">
        <v>65.5</v>
      </c>
      <c r="P227" s="15">
        <v>62.11</v>
      </c>
      <c r="Q227" s="15"/>
      <c r="R227" s="15"/>
      <c r="S227" s="15"/>
      <c r="T227" s="15"/>
      <c r="U227" s="15"/>
      <c r="V227" s="15"/>
      <c r="W227" s="15"/>
      <c r="X227" s="15"/>
    </row>
    <row r="228" spans="1:24" x14ac:dyDescent="0.35">
      <c r="A228" s="123"/>
      <c r="B228" s="123"/>
      <c r="C228" s="123"/>
      <c r="D228" s="123"/>
      <c r="E228" s="123"/>
      <c r="F228" s="123"/>
      <c r="G228" s="123"/>
      <c r="H228" s="123"/>
      <c r="I228" s="15"/>
      <c r="J228" s="15"/>
      <c r="K228" s="15"/>
      <c r="L228" s="15"/>
      <c r="M228" s="15"/>
      <c r="N228" s="15"/>
      <c r="O228" s="15"/>
      <c r="P228" s="15"/>
      <c r="Q228" s="15"/>
      <c r="R228" s="15"/>
      <c r="S228" s="15"/>
      <c r="T228" s="15"/>
      <c r="U228" s="15"/>
      <c r="V228" s="15"/>
      <c r="W228" s="15"/>
      <c r="X228" s="15"/>
    </row>
    <row r="229" spans="1:24" x14ac:dyDescent="0.35">
      <c r="A229" s="123"/>
      <c r="B229" s="123"/>
      <c r="C229" s="123"/>
      <c r="D229" s="123"/>
      <c r="E229" s="123"/>
      <c r="F229" s="123"/>
      <c r="G229" s="123"/>
      <c r="H229" s="123"/>
      <c r="I229" s="15" t="s">
        <v>824</v>
      </c>
      <c r="J229" s="123">
        <v>65.239999999999995</v>
      </c>
      <c r="K229" s="123"/>
      <c r="L229" s="123"/>
      <c r="M229" s="15"/>
      <c r="N229" s="123">
        <v>67.943333330000002</v>
      </c>
      <c r="O229" s="123"/>
      <c r="P229" s="123"/>
      <c r="Q229" s="15"/>
      <c r="R229" s="15"/>
      <c r="S229" s="15"/>
      <c r="T229" s="15"/>
      <c r="U229" s="15"/>
      <c r="V229" s="15"/>
      <c r="W229" s="15"/>
      <c r="X229" s="15"/>
    </row>
    <row r="230" spans="1:24" x14ac:dyDescent="0.35">
      <c r="A230" s="123"/>
      <c r="B230" s="123"/>
      <c r="C230" s="123"/>
      <c r="D230" s="123"/>
      <c r="E230" s="123"/>
      <c r="F230" s="123"/>
      <c r="G230" s="123"/>
      <c r="H230" s="123"/>
      <c r="I230" s="15" t="s">
        <v>838</v>
      </c>
      <c r="J230" s="123">
        <v>65.293333329999996</v>
      </c>
      <c r="K230" s="123"/>
      <c r="L230" s="123"/>
      <c r="M230" s="15"/>
      <c r="N230" s="123">
        <v>68.819999999999993</v>
      </c>
      <c r="O230" s="123"/>
      <c r="P230" s="123"/>
      <c r="Q230" s="15"/>
      <c r="R230" s="15"/>
      <c r="S230" s="15"/>
      <c r="T230" s="15"/>
      <c r="U230" s="15"/>
      <c r="V230" s="15"/>
      <c r="W230" s="15"/>
      <c r="X230" s="15"/>
    </row>
    <row r="231" spans="1:24" x14ac:dyDescent="0.35">
      <c r="A231" s="123"/>
      <c r="B231" s="123"/>
      <c r="C231" s="123"/>
      <c r="D231" s="123"/>
      <c r="E231" s="123"/>
      <c r="F231" s="123"/>
      <c r="G231" s="123"/>
      <c r="H231" s="123"/>
      <c r="I231" s="15"/>
      <c r="J231" s="15"/>
      <c r="K231" s="15"/>
      <c r="L231" s="15"/>
      <c r="M231" s="15"/>
      <c r="N231" s="15"/>
      <c r="O231" s="15"/>
      <c r="P231" s="15"/>
      <c r="Q231" s="15"/>
      <c r="R231" s="15"/>
      <c r="S231" s="15"/>
      <c r="T231" s="15"/>
      <c r="U231" s="15"/>
      <c r="V231" s="15"/>
      <c r="W231" s="15"/>
      <c r="X231" s="15"/>
    </row>
    <row r="232" spans="1:24" x14ac:dyDescent="0.35">
      <c r="A232" s="123"/>
      <c r="B232" s="123"/>
      <c r="C232" s="123"/>
      <c r="D232" s="123"/>
      <c r="E232" s="123"/>
      <c r="F232" s="123"/>
      <c r="G232" s="123"/>
      <c r="H232" s="123"/>
      <c r="I232" s="15"/>
      <c r="J232" s="15"/>
      <c r="K232" s="123" t="s">
        <v>1101</v>
      </c>
      <c r="L232" s="123"/>
      <c r="M232" s="123"/>
      <c r="N232" s="123"/>
      <c r="O232" s="123"/>
      <c r="P232" s="123"/>
      <c r="Q232" s="123"/>
      <c r="R232" s="15"/>
      <c r="S232" s="15"/>
      <c r="T232" s="15"/>
      <c r="U232" s="15"/>
      <c r="V232" s="15"/>
      <c r="W232" s="15"/>
      <c r="X232" s="15"/>
    </row>
    <row r="233" spans="1:24" x14ac:dyDescent="0.35">
      <c r="A233" s="123"/>
      <c r="B233" s="123"/>
      <c r="C233" s="123"/>
      <c r="D233" s="123"/>
      <c r="E233" s="123"/>
      <c r="F233" s="123"/>
      <c r="G233" s="123"/>
      <c r="H233" s="123"/>
      <c r="I233" s="15"/>
      <c r="J233" s="15"/>
      <c r="K233" s="15"/>
      <c r="L233" s="15"/>
      <c r="M233" s="15" t="s">
        <v>39</v>
      </c>
      <c r="N233" s="15" t="s">
        <v>138</v>
      </c>
      <c r="O233" s="15"/>
      <c r="P233" s="15"/>
      <c r="Q233" s="15"/>
      <c r="R233" s="15"/>
      <c r="S233" s="15"/>
      <c r="T233" s="15"/>
      <c r="U233" s="15"/>
      <c r="V233" s="15"/>
      <c r="W233" s="15"/>
      <c r="X233" s="15"/>
    </row>
    <row r="234" spans="1:24" x14ac:dyDescent="0.35">
      <c r="A234" s="123"/>
      <c r="B234" s="123"/>
      <c r="C234" s="123"/>
      <c r="D234" s="123"/>
      <c r="E234" s="123"/>
      <c r="F234" s="123"/>
      <c r="G234" s="123"/>
      <c r="H234" s="123"/>
      <c r="I234" s="15"/>
      <c r="J234" s="15"/>
      <c r="K234" s="123" t="s">
        <v>1099</v>
      </c>
      <c r="L234" s="123"/>
      <c r="M234" s="15">
        <v>67.41</v>
      </c>
      <c r="N234" s="15">
        <v>62.11</v>
      </c>
      <c r="O234" s="15"/>
      <c r="P234" s="15"/>
      <c r="Q234" s="15"/>
      <c r="R234" s="15"/>
      <c r="S234" s="15"/>
      <c r="T234" s="15"/>
      <c r="U234" s="15"/>
      <c r="V234" s="15"/>
      <c r="W234" s="15"/>
      <c r="X234" s="15"/>
    </row>
    <row r="235" spans="1:24" x14ac:dyDescent="0.35">
      <c r="A235" s="123"/>
      <c r="B235" s="123"/>
      <c r="C235" s="123"/>
      <c r="D235" s="123"/>
      <c r="E235" s="123"/>
      <c r="F235" s="123"/>
      <c r="G235" s="123"/>
      <c r="H235" s="123"/>
      <c r="I235" s="15"/>
      <c r="J235" s="15"/>
      <c r="K235" s="15"/>
      <c r="L235" s="15"/>
      <c r="M235" s="15"/>
      <c r="N235" s="15"/>
      <c r="O235" s="15"/>
      <c r="P235" s="15"/>
      <c r="Q235" s="15"/>
      <c r="R235" s="15"/>
      <c r="S235" s="15"/>
      <c r="T235" s="15"/>
      <c r="U235" s="15"/>
      <c r="V235" s="15"/>
      <c r="W235" s="15"/>
      <c r="X235" s="15"/>
    </row>
    <row r="236" spans="1:24" x14ac:dyDescent="0.35">
      <c r="A236" s="37">
        <v>71</v>
      </c>
      <c r="B236" s="37" t="s">
        <v>1102</v>
      </c>
      <c r="C236" s="37">
        <v>2022</v>
      </c>
      <c r="D236" s="37" t="s">
        <v>1103</v>
      </c>
      <c r="E236" s="37" t="s">
        <v>891</v>
      </c>
      <c r="F236" s="42" t="s">
        <v>808</v>
      </c>
      <c r="G236" s="42" t="s">
        <v>808</v>
      </c>
      <c r="H236" s="42" t="s">
        <v>808</v>
      </c>
      <c r="I236" s="42" t="s">
        <v>808</v>
      </c>
      <c r="J236" s="42" t="s">
        <v>808</v>
      </c>
      <c r="K236" s="42" t="s">
        <v>808</v>
      </c>
      <c r="L236" s="42" t="s">
        <v>808</v>
      </c>
      <c r="M236" s="42" t="s">
        <v>808</v>
      </c>
      <c r="N236" s="42" t="s">
        <v>808</v>
      </c>
      <c r="O236" s="42" t="s">
        <v>808</v>
      </c>
      <c r="P236" s="42" t="s">
        <v>808</v>
      </c>
      <c r="Q236" s="42" t="s">
        <v>808</v>
      </c>
      <c r="R236" s="42" t="s">
        <v>808</v>
      </c>
      <c r="S236" s="42" t="s">
        <v>808</v>
      </c>
      <c r="T236" s="42" t="s">
        <v>808</v>
      </c>
      <c r="U236" s="37" t="s">
        <v>1104</v>
      </c>
      <c r="V236" s="37"/>
      <c r="W236" s="37" t="s">
        <v>810</v>
      </c>
      <c r="X236" s="37" t="s">
        <v>810</v>
      </c>
    </row>
    <row r="237" spans="1:24" x14ac:dyDescent="0.35">
      <c r="A237" s="39">
        <v>72</v>
      </c>
      <c r="B237" s="39" t="s">
        <v>1105</v>
      </c>
      <c r="C237" s="39">
        <v>2020</v>
      </c>
      <c r="D237" s="39" t="s">
        <v>1106</v>
      </c>
      <c r="E237" s="39" t="s">
        <v>856</v>
      </c>
      <c r="F237" s="39" t="s">
        <v>892</v>
      </c>
      <c r="G237" s="39" t="s">
        <v>1107</v>
      </c>
      <c r="H237" s="39" t="s">
        <v>37</v>
      </c>
      <c r="I237" s="39" t="s">
        <v>137</v>
      </c>
      <c r="J237" s="39" t="s">
        <v>138</v>
      </c>
      <c r="K237" s="46" t="s">
        <v>808</v>
      </c>
      <c r="L237" s="46" t="s">
        <v>808</v>
      </c>
      <c r="M237" s="46" t="s">
        <v>808</v>
      </c>
      <c r="N237" s="46" t="s">
        <v>808</v>
      </c>
      <c r="O237" s="46" t="s">
        <v>808</v>
      </c>
      <c r="P237" s="46" t="s">
        <v>808</v>
      </c>
      <c r="Q237" s="46" t="s">
        <v>808</v>
      </c>
      <c r="R237" s="39" t="s">
        <v>493</v>
      </c>
      <c r="S237" s="39" t="s">
        <v>926</v>
      </c>
      <c r="T237" s="39" t="s">
        <v>1108</v>
      </c>
      <c r="U237" s="46" t="s">
        <v>808</v>
      </c>
      <c r="V237" s="39" t="s">
        <v>810</v>
      </c>
      <c r="W237" s="39" t="s">
        <v>810</v>
      </c>
      <c r="X237" s="39" t="s">
        <v>810</v>
      </c>
    </row>
    <row r="238" spans="1:24" x14ac:dyDescent="0.35">
      <c r="A238" s="123"/>
      <c r="B238" s="123"/>
      <c r="C238" s="123"/>
      <c r="D238" s="123"/>
      <c r="E238" s="123"/>
      <c r="F238" s="123"/>
      <c r="G238" s="123"/>
      <c r="H238" s="15"/>
      <c r="I238" s="15"/>
      <c r="J238" s="15"/>
      <c r="K238" s="15"/>
      <c r="L238" s="15"/>
      <c r="M238" s="15"/>
      <c r="N238" s="15"/>
      <c r="O238" s="15"/>
      <c r="P238" s="15"/>
      <c r="Q238" s="15"/>
      <c r="R238" s="15"/>
      <c r="S238" s="15"/>
      <c r="T238" s="15"/>
      <c r="U238" s="15"/>
      <c r="V238" s="15"/>
      <c r="W238" s="15"/>
      <c r="X238" s="15"/>
    </row>
    <row r="239" spans="1:24" x14ac:dyDescent="0.35">
      <c r="A239" s="123"/>
      <c r="B239" s="123"/>
      <c r="C239" s="123"/>
      <c r="D239" s="123"/>
      <c r="E239" s="123"/>
      <c r="F239" s="123"/>
      <c r="G239" s="123"/>
      <c r="H239" s="15"/>
      <c r="I239" s="15"/>
      <c r="J239" s="123" t="s">
        <v>1025</v>
      </c>
      <c r="K239" s="123"/>
      <c r="L239" s="123"/>
      <c r="M239" s="123"/>
      <c r="N239" s="123"/>
      <c r="O239" s="15"/>
      <c r="P239" s="15"/>
      <c r="Q239" s="15"/>
      <c r="R239" s="15"/>
      <c r="S239" s="15"/>
      <c r="T239" s="15"/>
      <c r="U239" s="15"/>
      <c r="V239" s="15"/>
      <c r="W239" s="15"/>
      <c r="X239" s="15"/>
    </row>
    <row r="240" spans="1:24" x14ac:dyDescent="0.35">
      <c r="A240" s="123"/>
      <c r="B240" s="123"/>
      <c r="C240" s="123"/>
      <c r="D240" s="123"/>
      <c r="E240" s="123"/>
      <c r="F240" s="123"/>
      <c r="G240" s="123"/>
      <c r="H240" s="15"/>
      <c r="I240" s="15"/>
      <c r="J240" s="15"/>
      <c r="K240" s="15"/>
      <c r="L240" s="15"/>
      <c r="M240" s="15"/>
      <c r="N240" s="15"/>
      <c r="O240" s="15"/>
      <c r="P240" s="15"/>
      <c r="Q240" s="15"/>
      <c r="R240" s="15"/>
      <c r="S240" s="15"/>
      <c r="T240" s="15"/>
      <c r="U240" s="15"/>
      <c r="V240" s="15"/>
      <c r="W240" s="15"/>
      <c r="X240" s="15"/>
    </row>
    <row r="241" spans="1:24" x14ac:dyDescent="0.35">
      <c r="A241" s="123"/>
      <c r="B241" s="123"/>
      <c r="C241" s="123"/>
      <c r="D241" s="123"/>
      <c r="E241" s="123"/>
      <c r="F241" s="123"/>
      <c r="G241" s="123"/>
      <c r="H241" s="15"/>
      <c r="I241" s="15" t="s">
        <v>657</v>
      </c>
      <c r="J241" s="123" t="s">
        <v>638</v>
      </c>
      <c r="K241" s="123"/>
      <c r="L241" s="123"/>
      <c r="M241" s="15"/>
      <c r="N241" s="123" t="s">
        <v>827</v>
      </c>
      <c r="O241" s="123"/>
      <c r="P241" s="123"/>
      <c r="Q241" s="123"/>
      <c r="R241" s="123" t="s">
        <v>1026</v>
      </c>
      <c r="S241" s="123"/>
      <c r="T241" s="15"/>
      <c r="U241" s="15"/>
      <c r="V241" s="15"/>
      <c r="W241" s="15"/>
      <c r="X241" s="15"/>
    </row>
    <row r="242" spans="1:24" x14ac:dyDescent="0.35">
      <c r="A242" s="123"/>
      <c r="B242" s="123"/>
      <c r="C242" s="123"/>
      <c r="D242" s="123"/>
      <c r="E242" s="123"/>
      <c r="F242" s="123"/>
      <c r="G242" s="123"/>
      <c r="H242" s="15"/>
      <c r="I242" s="15"/>
      <c r="J242" s="123" t="s">
        <v>828</v>
      </c>
      <c r="K242" s="123"/>
      <c r="L242" s="123"/>
      <c r="M242" s="15"/>
      <c r="N242" s="123" t="s">
        <v>643</v>
      </c>
      <c r="O242" s="123"/>
      <c r="P242" s="123"/>
      <c r="Q242" s="123"/>
      <c r="R242" s="123"/>
      <c r="S242" s="123"/>
      <c r="T242" s="15"/>
      <c r="U242" s="15"/>
      <c r="V242" s="15"/>
      <c r="W242" s="15"/>
      <c r="X242" s="15"/>
    </row>
    <row r="243" spans="1:24" x14ac:dyDescent="0.35">
      <c r="A243" s="123"/>
      <c r="B243" s="123"/>
      <c r="C243" s="123"/>
      <c r="D243" s="123"/>
      <c r="E243" s="123"/>
      <c r="F243" s="123"/>
      <c r="G243" s="123"/>
      <c r="H243" s="15"/>
      <c r="I243" s="15"/>
      <c r="J243" s="15" t="s">
        <v>649</v>
      </c>
      <c r="K243" s="15" t="s">
        <v>668</v>
      </c>
      <c r="L243" s="15" t="s">
        <v>1027</v>
      </c>
      <c r="M243" s="15"/>
      <c r="N243" s="15" t="s">
        <v>832</v>
      </c>
      <c r="O243" s="15" t="s">
        <v>846</v>
      </c>
      <c r="P243" s="15" t="s">
        <v>833</v>
      </c>
      <c r="Q243" s="15" t="s">
        <v>847</v>
      </c>
      <c r="R243" s="123"/>
      <c r="S243" s="123"/>
      <c r="T243" s="15"/>
      <c r="U243" s="15"/>
      <c r="V243" s="15"/>
      <c r="W243" s="15"/>
      <c r="X243" s="15"/>
    </row>
    <row r="244" spans="1:24" x14ac:dyDescent="0.35">
      <c r="A244" s="123"/>
      <c r="B244" s="123"/>
      <c r="C244" s="123"/>
      <c r="D244" s="123"/>
      <c r="E244" s="123"/>
      <c r="F244" s="123"/>
      <c r="G244" s="123"/>
      <c r="H244" s="123" t="s">
        <v>861</v>
      </c>
      <c r="I244" s="123"/>
      <c r="J244" s="15">
        <v>77.19</v>
      </c>
      <c r="K244" s="15">
        <v>55.16</v>
      </c>
      <c r="L244" s="15">
        <v>51.46</v>
      </c>
      <c r="M244" s="15"/>
      <c r="N244" s="15">
        <v>25.53</v>
      </c>
      <c r="O244" s="15">
        <v>3.85</v>
      </c>
      <c r="P244" s="15">
        <v>43.53</v>
      </c>
      <c r="Q244" s="15">
        <v>27.3</v>
      </c>
      <c r="R244" s="123">
        <v>59.47</v>
      </c>
      <c r="S244" s="123"/>
      <c r="T244" s="15"/>
      <c r="U244" s="15"/>
      <c r="V244" s="15"/>
      <c r="W244" s="15"/>
      <c r="X244" s="15"/>
    </row>
    <row r="245" spans="1:24" x14ac:dyDescent="0.35">
      <c r="A245" s="123"/>
      <c r="B245" s="123"/>
      <c r="C245" s="123"/>
      <c r="D245" s="123"/>
      <c r="E245" s="123"/>
      <c r="F245" s="123"/>
      <c r="G245" s="123"/>
      <c r="H245" s="123" t="s">
        <v>470</v>
      </c>
      <c r="I245" s="123"/>
      <c r="J245" s="15">
        <v>75.86</v>
      </c>
      <c r="K245" s="15">
        <v>42.59</v>
      </c>
      <c r="L245" s="15">
        <v>31.28</v>
      </c>
      <c r="M245" s="15"/>
      <c r="N245" s="15">
        <v>0.43</v>
      </c>
      <c r="O245" s="15">
        <v>0</v>
      </c>
      <c r="P245" s="15">
        <v>26.06</v>
      </c>
      <c r="Q245" s="15">
        <v>0</v>
      </c>
      <c r="R245" s="123">
        <v>49.79</v>
      </c>
      <c r="S245" s="123"/>
      <c r="T245" s="15"/>
      <c r="U245" s="15"/>
      <c r="V245" s="15"/>
      <c r="W245" s="15"/>
      <c r="X245" s="15"/>
    </row>
    <row r="246" spans="1:24" x14ac:dyDescent="0.35">
      <c r="A246" s="123"/>
      <c r="B246" s="123"/>
      <c r="C246" s="123"/>
      <c r="D246" s="123"/>
      <c r="E246" s="123"/>
      <c r="F246" s="123"/>
      <c r="G246" s="123"/>
      <c r="H246" s="123" t="s">
        <v>1028</v>
      </c>
      <c r="I246" s="123"/>
      <c r="J246" s="15">
        <v>77.55</v>
      </c>
      <c r="K246" s="15">
        <v>56.03</v>
      </c>
      <c r="L246" s="15">
        <v>52.95</v>
      </c>
      <c r="M246" s="15"/>
      <c r="N246" s="15">
        <v>25.91</v>
      </c>
      <c r="O246" s="15">
        <v>4.63</v>
      </c>
      <c r="P246" s="15">
        <v>47.02</v>
      </c>
      <c r="Q246" s="15">
        <v>23.57</v>
      </c>
      <c r="R246" s="123">
        <v>60.21</v>
      </c>
      <c r="S246" s="123"/>
      <c r="T246" s="15"/>
      <c r="U246" s="15"/>
      <c r="V246" s="15"/>
      <c r="W246" s="15"/>
      <c r="X246" s="15"/>
    </row>
    <row r="247" spans="1:24" x14ac:dyDescent="0.35">
      <c r="A247" s="123"/>
      <c r="B247" s="123"/>
      <c r="C247" s="123"/>
      <c r="D247" s="123"/>
      <c r="E247" s="123"/>
      <c r="F247" s="123"/>
      <c r="G247" s="123"/>
      <c r="H247" s="15"/>
      <c r="I247" s="15"/>
      <c r="J247" s="15"/>
      <c r="K247" s="15"/>
      <c r="L247" s="15"/>
      <c r="M247" s="15"/>
      <c r="N247" s="15"/>
      <c r="O247" s="15"/>
      <c r="P247" s="15"/>
      <c r="Q247" s="15"/>
      <c r="R247" s="15"/>
      <c r="S247" s="15"/>
      <c r="T247" s="15"/>
      <c r="U247" s="15"/>
      <c r="V247" s="15"/>
      <c r="W247" s="15"/>
      <c r="X247" s="15"/>
    </row>
    <row r="248" spans="1:24" x14ac:dyDescent="0.35">
      <c r="A248" s="123"/>
      <c r="B248" s="123"/>
      <c r="C248" s="123"/>
      <c r="D248" s="123"/>
      <c r="E248" s="123"/>
      <c r="F248" s="123"/>
      <c r="G248" s="123"/>
      <c r="H248" s="123" t="s">
        <v>1029</v>
      </c>
      <c r="I248" s="123"/>
      <c r="J248" s="15"/>
      <c r="K248" s="15"/>
      <c r="L248" s="15"/>
      <c r="M248" s="15"/>
      <c r="N248" s="15"/>
      <c r="O248" s="15"/>
      <c r="P248" s="15"/>
      <c r="Q248" s="15"/>
      <c r="R248" s="15"/>
      <c r="S248" s="15"/>
      <c r="T248" s="15"/>
      <c r="U248" s="15"/>
      <c r="V248" s="15"/>
      <c r="W248" s="15"/>
      <c r="X248" s="15"/>
    </row>
    <row r="249" spans="1:24" x14ac:dyDescent="0.35">
      <c r="A249" s="123"/>
      <c r="B249" s="123"/>
      <c r="C249" s="123"/>
      <c r="D249" s="123"/>
      <c r="E249" s="123"/>
      <c r="F249" s="123"/>
      <c r="G249" s="123"/>
      <c r="H249" s="123" t="s">
        <v>861</v>
      </c>
      <c r="I249" s="123"/>
      <c r="J249" s="123">
        <v>61.27</v>
      </c>
      <c r="K249" s="123"/>
      <c r="L249" s="123"/>
      <c r="M249" s="15"/>
      <c r="N249" s="123">
        <v>25.052499999999998</v>
      </c>
      <c r="O249" s="123"/>
      <c r="P249" s="123"/>
      <c r="Q249" s="123"/>
      <c r="R249" s="15"/>
      <c r="S249" s="15"/>
      <c r="T249" s="15"/>
      <c r="U249" s="15"/>
      <c r="V249" s="15"/>
      <c r="W249" s="15"/>
      <c r="X249" s="15"/>
    </row>
    <row r="250" spans="1:24" x14ac:dyDescent="0.35">
      <c r="A250" s="123"/>
      <c r="B250" s="123"/>
      <c r="C250" s="123"/>
      <c r="D250" s="123"/>
      <c r="E250" s="123"/>
      <c r="F250" s="123"/>
      <c r="G250" s="123"/>
      <c r="H250" s="123" t="s">
        <v>470</v>
      </c>
      <c r="I250" s="123"/>
      <c r="J250" s="123">
        <v>49.91</v>
      </c>
      <c r="K250" s="123"/>
      <c r="L250" s="123"/>
      <c r="M250" s="15"/>
      <c r="N250" s="123">
        <v>6.6224999999999996</v>
      </c>
      <c r="O250" s="123"/>
      <c r="P250" s="123"/>
      <c r="Q250" s="123"/>
      <c r="R250" s="15"/>
      <c r="S250" s="15"/>
      <c r="T250" s="15"/>
      <c r="U250" s="15"/>
      <c r="V250" s="15"/>
      <c r="W250" s="15"/>
      <c r="X250" s="15"/>
    </row>
    <row r="251" spans="1:24" x14ac:dyDescent="0.35">
      <c r="A251" s="123"/>
      <c r="B251" s="123"/>
      <c r="C251" s="123"/>
      <c r="D251" s="123"/>
      <c r="E251" s="123"/>
      <c r="F251" s="123"/>
      <c r="G251" s="123"/>
      <c r="H251" s="123" t="s">
        <v>1028</v>
      </c>
      <c r="I251" s="123"/>
      <c r="J251" s="123">
        <v>62.176666670000003</v>
      </c>
      <c r="K251" s="123"/>
      <c r="L251" s="123"/>
      <c r="M251" s="15"/>
      <c r="N251" s="123">
        <v>25.282499999999999</v>
      </c>
      <c r="O251" s="123"/>
      <c r="P251" s="123"/>
      <c r="Q251" s="123"/>
      <c r="R251" s="15"/>
      <c r="S251" s="15"/>
      <c r="T251" s="15"/>
      <c r="U251" s="15"/>
      <c r="V251" s="15"/>
      <c r="W251" s="15"/>
      <c r="X251" s="15"/>
    </row>
    <row r="252" spans="1:24" ht="0.75" customHeight="1" x14ac:dyDescent="0.35">
      <c r="A252" s="123"/>
      <c r="B252" s="123"/>
      <c r="C252" s="123"/>
      <c r="D252" s="123"/>
      <c r="E252" s="123"/>
      <c r="F252" s="123"/>
      <c r="G252" s="123"/>
      <c r="H252" s="15"/>
      <c r="I252" s="15"/>
      <c r="J252" s="15"/>
      <c r="K252" s="15"/>
      <c r="L252" s="15"/>
      <c r="M252" s="15"/>
      <c r="N252" s="15"/>
      <c r="O252" s="15"/>
      <c r="P252" s="15"/>
      <c r="Q252" s="15"/>
      <c r="R252" s="15"/>
      <c r="S252" s="15"/>
      <c r="T252" s="15"/>
      <c r="U252" s="15"/>
      <c r="V252" s="15"/>
      <c r="W252" s="15"/>
      <c r="X252" s="15"/>
    </row>
    <row r="253" spans="1:24" s="80" customFormat="1" ht="15.75" customHeight="1" x14ac:dyDescent="0.35">
      <c r="A253" s="79">
        <v>73</v>
      </c>
      <c r="B253" s="80" t="s">
        <v>1109</v>
      </c>
      <c r="C253" s="79">
        <v>2021</v>
      </c>
      <c r="D253" s="81" t="s">
        <v>1110</v>
      </c>
      <c r="E253" s="79" t="s">
        <v>1111</v>
      </c>
      <c r="F253" s="79" t="s">
        <v>470</v>
      </c>
      <c r="G253" s="80" t="s">
        <v>234</v>
      </c>
      <c r="H253" s="79" t="s">
        <v>37</v>
      </c>
      <c r="I253" s="79" t="s">
        <v>235</v>
      </c>
      <c r="J253" s="79" t="s">
        <v>39</v>
      </c>
      <c r="K253" s="82" t="s">
        <v>808</v>
      </c>
      <c r="L253" s="82" t="s">
        <v>808</v>
      </c>
      <c r="M253" s="82" t="s">
        <v>808</v>
      </c>
      <c r="N253" s="82" t="s">
        <v>808</v>
      </c>
      <c r="O253" s="82" t="s">
        <v>808</v>
      </c>
      <c r="P253" s="82" t="s">
        <v>808</v>
      </c>
      <c r="Q253" s="82" t="s">
        <v>808</v>
      </c>
      <c r="R253" s="79" t="s">
        <v>493</v>
      </c>
      <c r="S253" s="79" t="s">
        <v>926</v>
      </c>
      <c r="T253" s="79" t="s">
        <v>64</v>
      </c>
      <c r="U253" s="82" t="s">
        <v>808</v>
      </c>
      <c r="V253" s="79" t="s">
        <v>810</v>
      </c>
      <c r="W253" s="79" t="s">
        <v>810</v>
      </c>
      <c r="X253" s="79" t="s">
        <v>810</v>
      </c>
    </row>
    <row r="254" spans="1:24" ht="14.25" customHeight="1" x14ac:dyDescent="0.35">
      <c r="A254" s="127" t="s">
        <v>1112</v>
      </c>
      <c r="B254" s="127"/>
      <c r="C254" s="127"/>
      <c r="D254" s="127"/>
      <c r="E254" s="127"/>
      <c r="F254" s="127"/>
      <c r="G254" s="127"/>
      <c r="H254" s="56"/>
      <c r="I254" s="56"/>
      <c r="J254" s="56"/>
      <c r="K254" s="56"/>
      <c r="L254" s="56"/>
      <c r="M254" s="56"/>
      <c r="N254" s="56"/>
      <c r="O254" s="56"/>
      <c r="P254" s="56"/>
      <c r="Q254" s="56"/>
      <c r="R254" s="56"/>
      <c r="S254" s="56"/>
      <c r="T254" s="56"/>
      <c r="U254" s="56"/>
      <c r="V254" s="56"/>
      <c r="W254" s="56"/>
      <c r="X254" s="56"/>
    </row>
    <row r="255" spans="1:24" ht="15.75" customHeight="1" x14ac:dyDescent="0.35">
      <c r="A255" s="127"/>
      <c r="B255" s="127"/>
      <c r="C255" s="127"/>
      <c r="D255" s="127"/>
      <c r="E255" s="127"/>
      <c r="F255" s="127"/>
      <c r="G255" s="127"/>
      <c r="H255" s="56"/>
      <c r="I255" s="56"/>
      <c r="J255" s="121" t="s">
        <v>1113</v>
      </c>
      <c r="K255" s="121"/>
      <c r="L255" s="121"/>
      <c r="M255" s="121"/>
      <c r="N255" s="121"/>
      <c r="O255" s="56"/>
      <c r="P255" s="56"/>
      <c r="Q255" s="56"/>
      <c r="R255" s="56"/>
      <c r="S255" s="56"/>
      <c r="T255" s="56"/>
      <c r="U255" s="56"/>
      <c r="V255" s="56"/>
      <c r="W255" s="56"/>
      <c r="X255" s="56"/>
    </row>
    <row r="256" spans="1:24" ht="13.5" customHeight="1" x14ac:dyDescent="0.35">
      <c r="A256" s="127"/>
      <c r="B256" s="127"/>
      <c r="C256" s="127"/>
      <c r="D256" s="127"/>
      <c r="E256" s="127"/>
      <c r="F256" s="127"/>
      <c r="G256" s="127"/>
      <c r="H256" s="56" t="s">
        <v>649</v>
      </c>
      <c r="I256" s="56">
        <f>ROUND(0.29*5531,0)</f>
        <v>1604</v>
      </c>
      <c r="J256" s="56"/>
      <c r="K256" s="56"/>
      <c r="L256" s="56"/>
      <c r="M256" s="56"/>
      <c r="N256" s="56"/>
      <c r="O256" s="56"/>
      <c r="P256" s="56"/>
      <c r="Q256" s="56"/>
      <c r="R256" s="56"/>
      <c r="S256" s="56"/>
      <c r="T256" s="56"/>
      <c r="U256" s="56"/>
      <c r="V256" s="56"/>
      <c r="W256" s="56"/>
      <c r="X256" s="56"/>
    </row>
    <row r="257" spans="1:26" ht="15" customHeight="1" x14ac:dyDescent="0.35">
      <c r="A257" s="127"/>
      <c r="B257" s="127"/>
      <c r="C257" s="127"/>
      <c r="D257" s="127"/>
      <c r="E257" s="127"/>
      <c r="F257" s="127"/>
      <c r="G257" s="127"/>
      <c r="H257" s="56" t="s">
        <v>653</v>
      </c>
      <c r="I257" s="56">
        <f>ROUND(0.2*5531,0)</f>
        <v>1106</v>
      </c>
      <c r="J257" s="56"/>
      <c r="K257" s="56"/>
      <c r="L257" s="56"/>
      <c r="M257" s="56"/>
      <c r="N257" s="56"/>
      <c r="O257" s="56"/>
      <c r="P257" s="56"/>
      <c r="Q257" s="56"/>
      <c r="R257" s="56"/>
      <c r="S257" s="56"/>
      <c r="T257" s="56"/>
      <c r="U257" s="56"/>
      <c r="V257" s="56"/>
      <c r="W257" s="56"/>
      <c r="X257" s="56"/>
    </row>
    <row r="258" spans="1:26" ht="15.75" customHeight="1" x14ac:dyDescent="0.35">
      <c r="A258" s="127"/>
      <c r="B258" s="127"/>
      <c r="C258" s="127"/>
      <c r="D258" s="127"/>
      <c r="E258" s="127"/>
      <c r="F258" s="127"/>
      <c r="G258" s="127"/>
      <c r="H258" s="56" t="s">
        <v>651</v>
      </c>
      <c r="I258" s="56">
        <f>ROUND(0.2*5531,0)</f>
        <v>1106</v>
      </c>
      <c r="J258" s="56"/>
      <c r="K258" s="56"/>
      <c r="L258" s="56"/>
      <c r="M258" s="56"/>
      <c r="N258" s="56"/>
      <c r="O258" s="56"/>
      <c r="P258" s="56"/>
      <c r="Q258" s="56"/>
      <c r="R258" s="56"/>
      <c r="S258" s="56"/>
      <c r="T258" s="56"/>
      <c r="U258" s="56"/>
      <c r="V258" s="56"/>
      <c r="W258" s="56"/>
      <c r="X258" s="56"/>
    </row>
    <row r="259" spans="1:26" ht="14.25" customHeight="1" x14ac:dyDescent="0.35">
      <c r="A259" s="127"/>
      <c r="B259" s="127"/>
      <c r="C259" s="127"/>
      <c r="D259" s="127"/>
      <c r="E259" s="127"/>
      <c r="F259" s="127"/>
      <c r="G259" s="127"/>
      <c r="H259" s="56" t="s">
        <v>648</v>
      </c>
      <c r="I259" s="56">
        <f>ROUND(0.31*5531,0)</f>
        <v>1715</v>
      </c>
      <c r="J259" s="56"/>
      <c r="K259" s="56"/>
      <c r="L259" s="56"/>
      <c r="M259" s="56"/>
      <c r="N259" s="56"/>
      <c r="O259" s="56"/>
      <c r="P259" s="56"/>
      <c r="Q259" s="56"/>
      <c r="R259" s="56"/>
      <c r="S259" s="56"/>
      <c r="T259" s="56"/>
      <c r="U259" s="56"/>
      <c r="V259" s="56"/>
      <c r="W259" s="56"/>
      <c r="X259" s="56"/>
    </row>
    <row r="260" spans="1:26" ht="13.5" customHeight="1" x14ac:dyDescent="0.35">
      <c r="A260" s="127"/>
      <c r="B260" s="127"/>
      <c r="C260" s="127"/>
      <c r="D260" s="127"/>
      <c r="E260" s="127"/>
      <c r="F260" s="127"/>
      <c r="G260" s="127"/>
      <c r="H260" s="56"/>
      <c r="I260" s="56">
        <f>SUM(I256:I259)</f>
        <v>5531</v>
      </c>
      <c r="J260" s="56"/>
      <c r="K260" s="56"/>
      <c r="L260" s="56"/>
      <c r="M260" s="56"/>
      <c r="N260" s="56"/>
      <c r="O260" s="56"/>
      <c r="P260" s="56"/>
      <c r="Q260" s="56"/>
      <c r="R260" s="56"/>
      <c r="S260" s="56"/>
      <c r="T260" s="56"/>
      <c r="U260" s="56"/>
      <c r="V260" s="56"/>
      <c r="W260" s="56"/>
      <c r="X260" s="56"/>
    </row>
    <row r="261" spans="1:26" ht="14.25" customHeight="1" x14ac:dyDescent="0.35">
      <c r="A261" s="127"/>
      <c r="B261" s="127"/>
      <c r="C261" s="127"/>
      <c r="D261" s="127"/>
      <c r="E261" s="127"/>
      <c r="F261" s="127"/>
      <c r="G261" s="127"/>
      <c r="H261" s="56"/>
      <c r="I261" s="56"/>
      <c r="J261" s="117" t="s">
        <v>1114</v>
      </c>
      <c r="K261" s="117"/>
      <c r="L261" s="117"/>
      <c r="M261" s="117"/>
      <c r="N261" s="56"/>
      <c r="O261" s="56"/>
      <c r="P261" s="56"/>
      <c r="Q261" s="56"/>
      <c r="R261" s="56"/>
      <c r="S261" s="56"/>
      <c r="T261" s="56"/>
      <c r="U261" s="56"/>
      <c r="V261" s="56"/>
      <c r="W261" s="56"/>
      <c r="X261" s="56"/>
    </row>
    <row r="262" spans="1:26" ht="15" customHeight="1" x14ac:dyDescent="0.35">
      <c r="A262" s="127"/>
      <c r="B262" s="127"/>
      <c r="C262" s="127"/>
      <c r="D262" s="127"/>
      <c r="E262" s="127"/>
      <c r="F262" s="127"/>
      <c r="G262" s="127"/>
      <c r="H262" s="56"/>
      <c r="I262" s="56"/>
      <c r="J262" s="56" t="s">
        <v>649</v>
      </c>
      <c r="K262" s="56" t="s">
        <v>653</v>
      </c>
      <c r="L262" s="56" t="s">
        <v>651</v>
      </c>
      <c r="M262" s="56" t="s">
        <v>648</v>
      </c>
      <c r="N262" s="56"/>
      <c r="O262" s="56"/>
      <c r="P262" t="s">
        <v>1115</v>
      </c>
      <c r="Q262" t="s">
        <v>1116</v>
      </c>
      <c r="R262" t="s">
        <v>1117</v>
      </c>
      <c r="S262" t="s">
        <v>1118</v>
      </c>
      <c r="T262" t="s">
        <v>1119</v>
      </c>
      <c r="V262" s="56" t="s">
        <v>930</v>
      </c>
      <c r="W262" s="56" t="s">
        <v>657</v>
      </c>
      <c r="X262" s="56" t="s">
        <v>1120</v>
      </c>
      <c r="Y262" t="s">
        <v>423</v>
      </c>
      <c r="Z262" s="56" t="s">
        <v>1042</v>
      </c>
    </row>
    <row r="263" spans="1:26" ht="12.75" customHeight="1" x14ac:dyDescent="0.35">
      <c r="A263" s="127"/>
      <c r="B263" s="127"/>
      <c r="C263" s="127"/>
      <c r="D263" s="127"/>
      <c r="E263" s="127"/>
      <c r="F263" s="127"/>
      <c r="G263" s="127"/>
      <c r="H263" s="128" t="s">
        <v>1121</v>
      </c>
      <c r="I263" s="56" t="s">
        <v>649</v>
      </c>
      <c r="J263" s="56">
        <f>0.69*I256</f>
        <v>1106.76</v>
      </c>
      <c r="K263" s="56">
        <f>0.07*I256</f>
        <v>112.28000000000002</v>
      </c>
      <c r="L263" s="56">
        <f>0.09*I256</f>
        <v>144.35999999999999</v>
      </c>
      <c r="M263" s="56">
        <f>0.15*I256</f>
        <v>240.6</v>
      </c>
      <c r="N263" s="56">
        <f>SUM(J263:M263)</f>
        <v>1603.9999999999998</v>
      </c>
      <c r="O263" s="56"/>
      <c r="P263" s="56">
        <f>J263</f>
        <v>1106.76</v>
      </c>
      <c r="Q263" s="56">
        <f>SUM(K264:M266)</f>
        <v>3569.5299999999997</v>
      </c>
      <c r="R263" s="56">
        <f>SUM(J264:J266)</f>
        <v>357.46999999999997</v>
      </c>
      <c r="S263" s="56">
        <f>SUM(K263:M263)</f>
        <v>497.24</v>
      </c>
      <c r="T263" s="56">
        <f>P263+S263</f>
        <v>1604</v>
      </c>
      <c r="U263" s="56"/>
      <c r="V263" s="56">
        <f>SUM(P263:Q263)/SUM(P263:S263)</f>
        <v>0.84546917374796604</v>
      </c>
      <c r="W263" s="56">
        <f>2*P263/(2*P263 + SUM(R263:S263))</f>
        <v>0.72143222639762994</v>
      </c>
      <c r="X263" s="56">
        <f>P263/(P263+S263)</f>
        <v>0.69</v>
      </c>
      <c r="Y263" s="56">
        <f>P263/(P263+R263)</f>
        <v>0.75586485729700936</v>
      </c>
      <c r="Z263">
        <f>Q263/SUM(Q263:R263)</f>
        <v>0.90897122485357784</v>
      </c>
    </row>
    <row r="264" spans="1:26" ht="14.25" customHeight="1" x14ac:dyDescent="0.35">
      <c r="A264" s="127"/>
      <c r="B264" s="127"/>
      <c r="C264" s="127"/>
      <c r="D264" s="127"/>
      <c r="E264" s="127"/>
      <c r="F264" s="127"/>
      <c r="G264" s="127"/>
      <c r="H264" s="128"/>
      <c r="I264" s="56" t="s">
        <v>653</v>
      </c>
      <c r="J264" s="56">
        <f>0.24*I257 - 3.66</f>
        <v>261.77999999999997</v>
      </c>
      <c r="K264" s="56">
        <f>0.62*I257 - 3.66</f>
        <v>682.06000000000006</v>
      </c>
      <c r="L264" s="56">
        <f>0.15*I257 - 3.74</f>
        <v>162.16</v>
      </c>
      <c r="M264" s="56">
        <f>0*I257</f>
        <v>0</v>
      </c>
      <c r="N264" s="56">
        <f>SUM(J264:M264)</f>
        <v>1106</v>
      </c>
      <c r="O264" s="56"/>
      <c r="P264" s="56">
        <f>K264</f>
        <v>682.06000000000006</v>
      </c>
      <c r="Q264">
        <f>J263+SUM(L263:M263)+SUM(J265:J266)+SUM(L265:M266)</f>
        <v>4257.42</v>
      </c>
      <c r="R264" s="56">
        <f>K263+SUM(K265:K266)</f>
        <v>167.58</v>
      </c>
      <c r="S264" s="56">
        <f>J264+SUM(L264:M264)</f>
        <v>423.93999999999994</v>
      </c>
      <c r="T264" s="56">
        <f>P264 + S264</f>
        <v>1106</v>
      </c>
      <c r="U264" s="56"/>
      <c r="V264" s="56">
        <f>SUM(P264:Q264)/SUM(P264:S264)</f>
        <v>0.89305369734225282</v>
      </c>
      <c r="W264" s="56">
        <f>2*P264/(2*P264 + SUM(R264:S264))</f>
        <v>0.69753124296905367</v>
      </c>
      <c r="X264" s="56">
        <f>P264/(P264+S264)</f>
        <v>0.61669077757685353</v>
      </c>
      <c r="Y264" s="56">
        <f>P264/(P264+R264)</f>
        <v>0.80276352337460566</v>
      </c>
      <c r="Z264">
        <f>Q264/SUM(Q264:R264)</f>
        <v>0.962128813559322</v>
      </c>
    </row>
    <row r="265" spans="1:26" ht="13.5" customHeight="1" x14ac:dyDescent="0.35">
      <c r="A265" s="127"/>
      <c r="B265" s="127"/>
      <c r="C265" s="127"/>
      <c r="D265" s="127"/>
      <c r="E265" s="127"/>
      <c r="F265" s="127"/>
      <c r="G265" s="127"/>
      <c r="H265" s="128"/>
      <c r="I265" s="56" t="s">
        <v>651</v>
      </c>
      <c r="J265" s="56">
        <f>0.04*I258</f>
        <v>44.24</v>
      </c>
      <c r="K265" s="56">
        <f>0.05*I258</f>
        <v>55.300000000000004</v>
      </c>
      <c r="L265" s="56">
        <f>0.73*I258</f>
        <v>807.38</v>
      </c>
      <c r="M265" s="56">
        <f>0.18*I258</f>
        <v>199.07999999999998</v>
      </c>
      <c r="N265" s="56">
        <f>SUM(J265:M265)</f>
        <v>1106</v>
      </c>
      <c r="O265" s="56"/>
      <c r="P265">
        <f>L265</f>
        <v>807.38</v>
      </c>
      <c r="Q265">
        <f>SUM(J263:K264) +SUM(J266:K266) +SUM(M263:M264) + M266</f>
        <v>3964.13</v>
      </c>
      <c r="R265">
        <f>SUM(J263:J264) + J266</f>
        <v>1419.99</v>
      </c>
      <c r="S265">
        <f>SUM(J265:K265) + M265</f>
        <v>298.62</v>
      </c>
      <c r="T265" s="56">
        <f>P265+S265</f>
        <v>1106</v>
      </c>
      <c r="U265" s="56"/>
      <c r="V265" s="56">
        <f>SUM(P265:Q265)/SUM(P265:S265)</f>
        <v>0.73519595939674465</v>
      </c>
      <c r="W265" s="56">
        <f>2*P265/(2*P265 + SUM(R265:S265))</f>
        <v>0.48442267135061517</v>
      </c>
      <c r="X265" s="56">
        <f>P265/(P265+S265)</f>
        <v>0.73</v>
      </c>
      <c r="Y265" s="56">
        <f>P265/(P265+R265)</f>
        <v>0.36248131204065781</v>
      </c>
      <c r="Z265">
        <f>Q265/SUM(Q265:R265)</f>
        <v>0.73626330765287551</v>
      </c>
    </row>
    <row r="266" spans="1:26" ht="15" customHeight="1" x14ac:dyDescent="0.35">
      <c r="A266" s="127"/>
      <c r="B266" s="127"/>
      <c r="C266" s="127"/>
      <c r="D266" s="127"/>
      <c r="E266" s="127"/>
      <c r="F266" s="127"/>
      <c r="G266" s="127"/>
      <c r="H266" s="128"/>
      <c r="I266" s="56" t="s">
        <v>648</v>
      </c>
      <c r="J266" s="56">
        <f>0.03*I259</f>
        <v>51.449999999999996</v>
      </c>
      <c r="K266" s="56">
        <f>0*I259</f>
        <v>0</v>
      </c>
      <c r="L266" s="56">
        <f>0.09*I259</f>
        <v>154.35</v>
      </c>
      <c r="M266" s="56">
        <f>0.88*I259</f>
        <v>1509.2</v>
      </c>
      <c r="N266" s="56">
        <f>SUM(J266:M266)</f>
        <v>1715</v>
      </c>
      <c r="O266" s="56"/>
      <c r="P266" s="56">
        <f>M266</f>
        <v>1509.2</v>
      </c>
      <c r="Q266" s="56">
        <f>SUM(J263:L265)</f>
        <v>3376.3199999999997</v>
      </c>
      <c r="R266" s="56">
        <f xml:space="preserve"> SUM(J263:J265)</f>
        <v>1412.78</v>
      </c>
      <c r="S266" s="56">
        <f>SUM(J266:L266)</f>
        <v>205.79999999999998</v>
      </c>
      <c r="T266" s="56">
        <f>P266+S266</f>
        <v>1715</v>
      </c>
      <c r="U266" s="56"/>
      <c r="V266" s="56">
        <f>SUM(P266:Q266)/SUM(P266:S266)</f>
        <v>0.75114466259743851</v>
      </c>
      <c r="W266" s="56">
        <f>2*P266/(2*P266 + SUM(R266:S266))</f>
        <v>0.65094091412945498</v>
      </c>
      <c r="X266" s="56">
        <f>P266/(P266+S266)</f>
        <v>0.88</v>
      </c>
      <c r="Y266" s="56">
        <f>P266/(P266+R266)</f>
        <v>0.51649908623604546</v>
      </c>
      <c r="Z266">
        <f>Q266/SUM(Q266:R266)</f>
        <v>0.70500093963375166</v>
      </c>
    </row>
    <row r="267" spans="1:26" ht="15" customHeight="1" x14ac:dyDescent="0.35">
      <c r="A267" s="127"/>
      <c r="B267" s="127"/>
      <c r="C267" s="127"/>
      <c r="D267" s="127"/>
      <c r="E267" s="127"/>
      <c r="F267" s="127"/>
      <c r="G267" s="127"/>
      <c r="H267" s="56"/>
      <c r="I267" s="56"/>
      <c r="J267" s="56">
        <f>SUM(J263:J266)</f>
        <v>1464.23</v>
      </c>
      <c r="K267" s="56">
        <f>SUM(K263:K266)</f>
        <v>849.64</v>
      </c>
      <c r="L267" s="56">
        <f>SUM(L263:L266)</f>
        <v>1268.25</v>
      </c>
      <c r="M267" s="56">
        <f>SUM(M263:M266)</f>
        <v>1948.88</v>
      </c>
      <c r="N267" s="56"/>
      <c r="O267" s="56"/>
      <c r="P267" s="56"/>
      <c r="Q267" s="56"/>
      <c r="R267" s="56"/>
      <c r="S267" s="56"/>
      <c r="T267" s="56"/>
      <c r="U267" s="56"/>
      <c r="V267" s="56"/>
      <c r="W267" s="56"/>
      <c r="X267" s="56"/>
    </row>
    <row r="268" spans="1:26" ht="15.75" customHeight="1" x14ac:dyDescent="0.35">
      <c r="A268" s="127"/>
      <c r="B268" s="127"/>
      <c r="C268" s="127"/>
      <c r="D268" s="127"/>
      <c r="E268" s="127"/>
      <c r="F268" s="127"/>
      <c r="G268" s="127"/>
      <c r="H268" s="56"/>
      <c r="I268" s="56"/>
      <c r="J268" s="56"/>
      <c r="K268" s="56"/>
      <c r="L268" s="56"/>
      <c r="M268" s="56"/>
      <c r="N268" s="56"/>
      <c r="O268" s="56"/>
      <c r="P268" s="56"/>
      <c r="Q268" s="56"/>
      <c r="R268" s="56"/>
      <c r="S268" s="56"/>
      <c r="T268" s="56"/>
      <c r="U268" s="56"/>
      <c r="V268" s="56"/>
      <c r="W268" s="56"/>
      <c r="X268" s="56"/>
    </row>
    <row r="269" spans="1:26" ht="15" customHeight="1" x14ac:dyDescent="0.35">
      <c r="A269" s="127"/>
      <c r="B269" s="127"/>
      <c r="C269" s="127"/>
      <c r="D269" s="127"/>
      <c r="E269" s="127"/>
      <c r="F269" s="127"/>
      <c r="G269" s="127"/>
      <c r="H269" s="56"/>
      <c r="I269" s="56"/>
      <c r="J269" s="56"/>
      <c r="K269" s="56"/>
      <c r="L269" s="56"/>
      <c r="M269" s="56"/>
      <c r="N269" s="56"/>
      <c r="O269" s="56"/>
      <c r="P269" s="56"/>
      <c r="Q269" s="56"/>
      <c r="R269" s="56"/>
      <c r="S269" s="56"/>
      <c r="T269" s="56"/>
      <c r="U269" s="56"/>
      <c r="V269" s="56"/>
      <c r="W269" s="56"/>
      <c r="X269" s="56"/>
    </row>
    <row r="270" spans="1:26" ht="15" customHeight="1" x14ac:dyDescent="0.35">
      <c r="A270" s="127"/>
      <c r="B270" s="127"/>
      <c r="C270" s="127"/>
      <c r="D270" s="127"/>
      <c r="E270" s="127"/>
      <c r="F270" s="127"/>
      <c r="G270" s="127"/>
      <c r="H270" s="56"/>
      <c r="I270" s="56"/>
      <c r="J270" s="121" t="s">
        <v>638</v>
      </c>
      <c r="K270" s="121"/>
      <c r="L270" s="121"/>
      <c r="M270" s="56"/>
      <c r="N270" s="121" t="s">
        <v>827</v>
      </c>
      <c r="O270" s="121"/>
      <c r="P270" s="121"/>
      <c r="Q270" s="121"/>
      <c r="R270" s="121"/>
      <c r="S270" s="121"/>
      <c r="T270" s="56"/>
      <c r="U270" s="56"/>
      <c r="V270" s="56"/>
      <c r="W270" s="56"/>
      <c r="X270" s="56"/>
    </row>
    <row r="271" spans="1:26" ht="15" customHeight="1" x14ac:dyDescent="0.35">
      <c r="A271" s="127"/>
      <c r="B271" s="127"/>
      <c r="C271" s="127"/>
      <c r="D271" s="127"/>
      <c r="E271" s="127"/>
      <c r="F271" s="127"/>
      <c r="G271" s="127"/>
      <c r="H271" s="56"/>
      <c r="I271" s="56"/>
      <c r="J271" s="121" t="s">
        <v>828</v>
      </c>
      <c r="K271" s="121"/>
      <c r="L271" s="121"/>
      <c r="M271" s="56"/>
      <c r="N271" s="121" t="s">
        <v>643</v>
      </c>
      <c r="O271" s="121"/>
      <c r="P271" s="121"/>
      <c r="Q271" s="121"/>
      <c r="R271" s="121"/>
      <c r="S271" s="121"/>
      <c r="T271" s="56"/>
      <c r="U271" s="56"/>
      <c r="V271" s="56"/>
      <c r="W271" s="56"/>
      <c r="X271" s="56"/>
    </row>
    <row r="272" spans="1:26" ht="15.75" customHeight="1" x14ac:dyDescent="0.35">
      <c r="A272" s="127"/>
      <c r="B272" s="127"/>
      <c r="C272" s="127"/>
      <c r="D272" s="127"/>
      <c r="E272" s="127"/>
      <c r="F272" s="127"/>
      <c r="G272" s="127"/>
      <c r="H272" s="56"/>
      <c r="I272" s="56"/>
      <c r="J272" s="56" t="s">
        <v>649</v>
      </c>
      <c r="K272" s="56" t="s">
        <v>648</v>
      </c>
      <c r="L272" s="56"/>
      <c r="M272" s="56"/>
      <c r="N272" s="56" t="s">
        <v>832</v>
      </c>
      <c r="O272" s="56" t="s">
        <v>653</v>
      </c>
      <c r="P272" s="56"/>
      <c r="Q272" s="56"/>
      <c r="R272" s="121"/>
      <c r="S272" s="121"/>
      <c r="T272" s="56"/>
      <c r="U272" s="56"/>
      <c r="V272" s="56"/>
      <c r="W272" s="56"/>
      <c r="X272" s="56"/>
    </row>
    <row r="273" spans="1:24" ht="15" customHeight="1" x14ac:dyDescent="0.35">
      <c r="A273" s="127"/>
      <c r="B273" s="127"/>
      <c r="C273" s="127"/>
      <c r="D273" s="127"/>
      <c r="E273" s="127"/>
      <c r="F273" s="127"/>
      <c r="G273" s="127"/>
      <c r="H273" s="121" t="s">
        <v>417</v>
      </c>
      <c r="I273" s="121"/>
      <c r="J273" s="56">
        <f>V263</f>
        <v>0.84546917374796604</v>
      </c>
      <c r="K273" s="56">
        <f>V266</f>
        <v>0.75114466259743851</v>
      </c>
      <c r="L273" s="56"/>
      <c r="M273" s="56"/>
      <c r="N273" s="56">
        <f>V265</f>
        <v>0.73519595939674465</v>
      </c>
      <c r="O273" s="56">
        <f>V264</f>
        <v>0.89305369734225282</v>
      </c>
      <c r="P273" s="56"/>
      <c r="Q273" s="56"/>
      <c r="R273" s="121"/>
      <c r="S273" s="121"/>
      <c r="T273" s="56"/>
      <c r="U273" s="56"/>
      <c r="V273" s="56"/>
      <c r="W273" s="56"/>
      <c r="X273" s="56"/>
    </row>
    <row r="274" spans="1:24" ht="16.5" customHeight="1" x14ac:dyDescent="0.35">
      <c r="A274" s="127"/>
      <c r="B274" s="127"/>
      <c r="C274" s="127"/>
      <c r="D274" s="127"/>
      <c r="E274" s="127"/>
      <c r="F274" s="127"/>
      <c r="G274" s="127"/>
      <c r="H274" s="117" t="s">
        <v>1122</v>
      </c>
      <c r="I274" s="117"/>
      <c r="J274" s="56">
        <f>W263</f>
        <v>0.72143222639762994</v>
      </c>
      <c r="K274" s="56">
        <f>W266</f>
        <v>0.65094091412945498</v>
      </c>
      <c r="L274" s="56"/>
      <c r="M274" s="56"/>
      <c r="N274" s="56">
        <f>W265</f>
        <v>0.48442267135061517</v>
      </c>
      <c r="O274" s="56">
        <f>W264</f>
        <v>0.69753124296905367</v>
      </c>
      <c r="P274" s="56"/>
      <c r="Q274" s="56"/>
      <c r="R274" s="56"/>
      <c r="S274" s="56"/>
      <c r="T274" s="56"/>
      <c r="U274" s="56"/>
      <c r="V274" s="56"/>
      <c r="W274" s="56"/>
      <c r="X274" s="56"/>
    </row>
    <row r="275" spans="1:24" ht="15" customHeight="1" x14ac:dyDescent="0.35">
      <c r="A275" s="127"/>
      <c r="B275" s="127"/>
      <c r="C275" s="127"/>
      <c r="D275" s="127"/>
      <c r="E275" s="127"/>
      <c r="F275" s="127"/>
      <c r="G275" s="127"/>
      <c r="H275" s="117" t="s">
        <v>1123</v>
      </c>
      <c r="I275" s="117"/>
      <c r="J275" s="56">
        <f>X263</f>
        <v>0.69</v>
      </c>
      <c r="K275" s="56">
        <f>X266</f>
        <v>0.88</v>
      </c>
      <c r="L275" s="56"/>
      <c r="M275" s="56"/>
      <c r="N275" s="56">
        <f>X265</f>
        <v>0.73</v>
      </c>
      <c r="O275" s="56">
        <f>X264</f>
        <v>0.61669077757685353</v>
      </c>
      <c r="P275" s="56"/>
      <c r="Q275" s="56"/>
      <c r="R275" s="56"/>
      <c r="S275" s="56"/>
      <c r="T275" s="56"/>
      <c r="U275" s="56"/>
      <c r="V275" s="56"/>
      <c r="W275" s="56"/>
      <c r="X275" s="56"/>
    </row>
    <row r="276" spans="1:24" ht="15.75" customHeight="1" x14ac:dyDescent="0.35">
      <c r="A276" s="127"/>
      <c r="B276" s="127"/>
      <c r="C276" s="127"/>
      <c r="D276" s="127"/>
      <c r="E276" s="127"/>
      <c r="F276" s="127"/>
      <c r="G276" s="127"/>
      <c r="H276" s="117" t="s">
        <v>423</v>
      </c>
      <c r="I276" s="117"/>
      <c r="J276" s="56">
        <f>Y263</f>
        <v>0.75586485729700936</v>
      </c>
      <c r="K276" s="56">
        <f>Y266</f>
        <v>0.51649908623604546</v>
      </c>
      <c r="L276" s="56"/>
      <c r="M276" s="56"/>
      <c r="N276" s="56">
        <f>Y265</f>
        <v>0.36248131204065781</v>
      </c>
      <c r="O276" s="56">
        <f>Y264</f>
        <v>0.80276352337460566</v>
      </c>
      <c r="P276" s="56"/>
      <c r="Q276" s="56"/>
      <c r="R276" s="56"/>
      <c r="S276" s="56"/>
      <c r="T276" s="56"/>
      <c r="U276" s="56"/>
      <c r="V276" s="56"/>
      <c r="W276" s="56"/>
      <c r="X276" s="56"/>
    </row>
    <row r="277" spans="1:24" ht="16.5" customHeight="1" x14ac:dyDescent="0.35">
      <c r="A277" s="127"/>
      <c r="B277" s="127"/>
      <c r="C277" s="127"/>
      <c r="D277" s="127"/>
      <c r="E277" s="127"/>
      <c r="F277" s="127"/>
      <c r="G277" s="127"/>
      <c r="H277" s="117" t="s">
        <v>418</v>
      </c>
      <c r="I277" s="117"/>
      <c r="J277" s="56">
        <f>Z263</f>
        <v>0.90897122485357784</v>
      </c>
      <c r="K277" s="56">
        <f>Z266</f>
        <v>0.70500093963375166</v>
      </c>
      <c r="L277" s="56"/>
      <c r="M277" s="56"/>
      <c r="N277" s="56">
        <f>Z265</f>
        <v>0.73626330765287551</v>
      </c>
      <c r="O277" s="56">
        <f>Z264</f>
        <v>0.962128813559322</v>
      </c>
      <c r="P277" s="56"/>
      <c r="Q277" s="56"/>
      <c r="R277" s="56"/>
      <c r="S277" s="56"/>
      <c r="T277" s="56"/>
      <c r="U277" s="56"/>
      <c r="V277" s="56"/>
      <c r="W277" s="56"/>
      <c r="X277" s="56"/>
    </row>
    <row r="278" spans="1:24" ht="16.5" customHeight="1" x14ac:dyDescent="0.35">
      <c r="A278" s="127"/>
      <c r="B278" s="127"/>
      <c r="C278" s="127"/>
      <c r="D278" s="127"/>
      <c r="E278" s="127"/>
      <c r="F278" s="127"/>
      <c r="G278" s="127"/>
      <c r="H278" s="56"/>
      <c r="I278" s="56"/>
      <c r="J278" s="56"/>
      <c r="K278" s="56"/>
      <c r="L278" s="56"/>
      <c r="M278" s="56"/>
      <c r="N278" s="56"/>
      <c r="O278" s="56"/>
      <c r="P278" s="56"/>
      <c r="Q278" s="56"/>
      <c r="R278" s="56"/>
      <c r="S278" s="56"/>
      <c r="T278" s="56"/>
      <c r="U278" s="56"/>
      <c r="V278" s="56"/>
      <c r="W278" s="56"/>
      <c r="X278" s="56"/>
    </row>
    <row r="279" spans="1:24" ht="15.75" customHeight="1" x14ac:dyDescent="0.35">
      <c r="A279" s="127"/>
      <c r="B279" s="127"/>
      <c r="C279" s="127"/>
      <c r="D279" s="127"/>
      <c r="E279" s="127"/>
      <c r="F279" s="127"/>
      <c r="G279" s="127"/>
      <c r="J279" s="56"/>
      <c r="K279" s="56"/>
      <c r="L279" s="56"/>
      <c r="M279" s="56"/>
      <c r="N279" s="56"/>
      <c r="O279" s="56"/>
      <c r="P279" s="56"/>
      <c r="Q279" s="56"/>
      <c r="R279" s="56"/>
      <c r="S279" s="56"/>
      <c r="T279" s="56"/>
      <c r="U279" s="56"/>
      <c r="V279" s="56"/>
      <c r="W279" s="56"/>
      <c r="X279" s="56"/>
    </row>
    <row r="280" spans="1:24" ht="14.25" customHeight="1" x14ac:dyDescent="0.35">
      <c r="A280" s="127"/>
      <c r="B280" s="127"/>
      <c r="C280" s="127"/>
      <c r="D280" s="127"/>
      <c r="E280" s="127"/>
      <c r="F280" s="127"/>
      <c r="G280" s="127"/>
      <c r="H280" s="120" t="s">
        <v>1124</v>
      </c>
      <c r="I280" s="120"/>
      <c r="J280" s="119">
        <f>SUM(J274:K274)/2</f>
        <v>0.68618657026354246</v>
      </c>
      <c r="K280" s="119"/>
      <c r="L280" s="119"/>
      <c r="M280" s="76"/>
      <c r="N280" s="119">
        <f>SUM(N274:O274)/2</f>
        <v>0.59097695715983445</v>
      </c>
      <c r="O280" s="119"/>
      <c r="P280" s="119"/>
      <c r="Q280" s="56"/>
      <c r="R280" s="56"/>
      <c r="S280" s="56"/>
      <c r="T280" s="56"/>
      <c r="U280" s="56"/>
      <c r="V280" s="56"/>
      <c r="W280" s="56"/>
      <c r="X280" s="56"/>
    </row>
    <row r="281" spans="1:24" ht="13.5" customHeight="1" x14ac:dyDescent="0.35">
      <c r="A281" s="127"/>
      <c r="B281" s="127"/>
      <c r="C281" s="127"/>
      <c r="D281" s="127"/>
      <c r="E281" s="127"/>
      <c r="F281" s="127"/>
      <c r="G281" s="127"/>
      <c r="H281" s="129" t="s">
        <v>1125</v>
      </c>
      <c r="I281" s="129"/>
      <c r="J281" s="129">
        <f>((J274*I256) + (K274*I259))/(I256+I259)</f>
        <v>0.68500782129370708</v>
      </c>
      <c r="K281" s="129"/>
      <c r="L281" s="129"/>
      <c r="M281" s="78"/>
      <c r="N281" s="129">
        <f>((N274*I258)+(O274*I257))/(I257+I258)</f>
        <v>0.59097695715983445</v>
      </c>
      <c r="O281" s="129"/>
      <c r="P281" s="129"/>
      <c r="Q281" s="56"/>
      <c r="R281" s="56"/>
      <c r="S281" s="56"/>
      <c r="T281" s="56"/>
      <c r="U281" s="56"/>
      <c r="V281" s="56"/>
      <c r="W281" s="56"/>
      <c r="X281" s="56"/>
    </row>
    <row r="282" spans="1:24" x14ac:dyDescent="0.35">
      <c r="A282" s="127"/>
      <c r="B282" s="127"/>
      <c r="C282" s="127"/>
      <c r="D282" s="127"/>
      <c r="E282" s="127"/>
      <c r="F282" s="127"/>
      <c r="G282" s="127"/>
      <c r="H282" s="118" t="s">
        <v>1126</v>
      </c>
      <c r="I282" s="118"/>
      <c r="J282" s="119">
        <f>SUM(J273:K273)/2</f>
        <v>0.79830691817270227</v>
      </c>
      <c r="K282" s="119"/>
      <c r="L282" s="119"/>
      <c r="M282" s="77"/>
      <c r="N282" s="119">
        <f>SUM(N273:O273)/2</f>
        <v>0.81412482836949873</v>
      </c>
      <c r="O282" s="119"/>
      <c r="P282" s="119"/>
    </row>
    <row r="283" spans="1:24" x14ac:dyDescent="0.35">
      <c r="A283" s="127"/>
      <c r="B283" s="127"/>
      <c r="C283" s="127"/>
      <c r="D283" s="127"/>
      <c r="E283" s="127"/>
      <c r="F283" s="127"/>
      <c r="G283" s="127"/>
      <c r="H283" s="118" t="s">
        <v>1127</v>
      </c>
      <c r="I283" s="118"/>
      <c r="J283" s="119">
        <f>SUM(J275:K275)/2</f>
        <v>0.78499999999999992</v>
      </c>
      <c r="K283" s="119"/>
      <c r="L283" s="119"/>
      <c r="M283" s="77"/>
      <c r="N283" s="119">
        <f>SUM(N275:O275)/2</f>
        <v>0.67334538878842676</v>
      </c>
      <c r="O283" s="119"/>
      <c r="P283" s="119"/>
    </row>
    <row r="284" spans="1:24" x14ac:dyDescent="0.35">
      <c r="A284" s="127"/>
      <c r="B284" s="127"/>
      <c r="C284" s="127"/>
      <c r="D284" s="127"/>
      <c r="E284" s="127"/>
      <c r="F284" s="127"/>
      <c r="G284" s="127"/>
      <c r="H284" s="118" t="s">
        <v>1128</v>
      </c>
      <c r="I284" s="118"/>
      <c r="J284" s="119">
        <f>SUM(J276:K276)/2</f>
        <v>0.63618197176652735</v>
      </c>
      <c r="K284" s="119"/>
      <c r="L284" s="119"/>
      <c r="M284" s="77"/>
      <c r="N284" s="119">
        <f>SUM(N276:O276)/2</f>
        <v>0.58262241770763179</v>
      </c>
      <c r="O284" s="119"/>
      <c r="P284" s="119"/>
    </row>
    <row r="285" spans="1:24" x14ac:dyDescent="0.35">
      <c r="A285" s="127"/>
      <c r="B285" s="127"/>
      <c r="C285" s="127"/>
      <c r="D285" s="127"/>
      <c r="E285" s="127"/>
      <c r="F285" s="127"/>
      <c r="G285" s="127"/>
      <c r="H285" s="118" t="s">
        <v>1129</v>
      </c>
      <c r="I285" s="118"/>
      <c r="J285" s="119">
        <f>SUM(J277:K277)/2</f>
        <v>0.80698608224366475</v>
      </c>
      <c r="K285" s="119"/>
      <c r="L285" s="119"/>
      <c r="M285" s="77"/>
      <c r="N285" s="119">
        <f>SUM(N277:O277)/2</f>
        <v>0.84919606060609876</v>
      </c>
      <c r="O285" s="119"/>
      <c r="P285" s="119"/>
    </row>
    <row r="286" spans="1:24" x14ac:dyDescent="0.35">
      <c r="H286" s="116"/>
      <c r="I286" s="116"/>
    </row>
    <row r="288" spans="1:24" s="80" customFormat="1" x14ac:dyDescent="0.35">
      <c r="A288" s="80">
        <v>74</v>
      </c>
      <c r="B288" s="80" t="s">
        <v>1130</v>
      </c>
      <c r="C288" s="80">
        <v>2019</v>
      </c>
      <c r="D288" s="80" t="s">
        <v>1131</v>
      </c>
      <c r="E288" s="80" t="s">
        <v>891</v>
      </c>
      <c r="F288" s="80" t="s">
        <v>470</v>
      </c>
      <c r="G288" s="80" t="s">
        <v>1132</v>
      </c>
      <c r="H288" s="80" t="s">
        <v>118</v>
      </c>
      <c r="I288" s="80" t="s">
        <v>119</v>
      </c>
      <c r="J288" s="80" t="s">
        <v>120</v>
      </c>
      <c r="K288" s="80" t="s">
        <v>808</v>
      </c>
      <c r="L288" s="80" t="s">
        <v>808</v>
      </c>
      <c r="M288" s="80" t="s">
        <v>808</v>
      </c>
      <c r="N288" s="80" t="s">
        <v>808</v>
      </c>
      <c r="O288" s="80" t="s">
        <v>808</v>
      </c>
      <c r="P288" s="80" t="s">
        <v>808</v>
      </c>
      <c r="Q288" s="80" t="s">
        <v>808</v>
      </c>
      <c r="R288" s="80" t="s">
        <v>1133</v>
      </c>
      <c r="S288" s="80" t="s">
        <v>926</v>
      </c>
      <c r="T288" s="80" t="s">
        <v>1134</v>
      </c>
    </row>
    <row r="290" spans="1:24" x14ac:dyDescent="0.35">
      <c r="D290" t="s">
        <v>657</v>
      </c>
      <c r="E290" t="s">
        <v>1135</v>
      </c>
      <c r="F290" t="s">
        <v>1136</v>
      </c>
    </row>
    <row r="291" spans="1:24" x14ac:dyDescent="0.35">
      <c r="C291" t="s">
        <v>662</v>
      </c>
      <c r="D291">
        <v>65</v>
      </c>
      <c r="E291">
        <v>69</v>
      </c>
      <c r="F291">
        <v>62</v>
      </c>
    </row>
    <row r="292" spans="1:24" x14ac:dyDescent="0.35">
      <c r="C292" t="s">
        <v>646</v>
      </c>
      <c r="D292">
        <v>56</v>
      </c>
      <c r="E292">
        <v>51</v>
      </c>
      <c r="F292">
        <v>61</v>
      </c>
    </row>
    <row r="293" spans="1:24" x14ac:dyDescent="0.35">
      <c r="C293" t="s">
        <v>664</v>
      </c>
      <c r="D293">
        <v>64</v>
      </c>
      <c r="E293">
        <v>66</v>
      </c>
      <c r="F293">
        <v>62</v>
      </c>
    </row>
    <row r="295" spans="1:24" x14ac:dyDescent="0.35">
      <c r="D295" t="s">
        <v>1137</v>
      </c>
      <c r="E295" t="s">
        <v>1138</v>
      </c>
    </row>
    <row r="296" spans="1:24" x14ac:dyDescent="0.35">
      <c r="C296" t="s">
        <v>1139</v>
      </c>
      <c r="D296">
        <f>SUM(D291:D292)/2</f>
        <v>60.5</v>
      </c>
      <c r="E296">
        <f>D293</f>
        <v>64</v>
      </c>
    </row>
    <row r="297" spans="1:24" x14ac:dyDescent="0.35">
      <c r="C297" t="s">
        <v>1140</v>
      </c>
      <c r="D297">
        <f>SUM(E291:E292)/2</f>
        <v>60</v>
      </c>
      <c r="E297">
        <f>E293</f>
        <v>66</v>
      </c>
    </row>
    <row r="298" spans="1:24" x14ac:dyDescent="0.35">
      <c r="C298" t="s">
        <v>1141</v>
      </c>
      <c r="D298">
        <f>SUM(F291:F292)/2</f>
        <v>61.5</v>
      </c>
      <c r="E298">
        <f>F293</f>
        <v>62</v>
      </c>
    </row>
    <row r="301" spans="1:24" s="77" customFormat="1" x14ac:dyDescent="0.35">
      <c r="A301" s="77">
        <v>75</v>
      </c>
      <c r="B301" s="77" t="s">
        <v>1142</v>
      </c>
      <c r="C301" s="77">
        <v>2022</v>
      </c>
      <c r="D301" s="77" t="s">
        <v>1143</v>
      </c>
      <c r="E301" s="77" t="s">
        <v>891</v>
      </c>
      <c r="F301" s="77" t="s">
        <v>470</v>
      </c>
      <c r="G301" s="77" t="s">
        <v>1144</v>
      </c>
      <c r="H301" s="77" t="s">
        <v>37</v>
      </c>
      <c r="I301" s="77" t="s">
        <v>1145</v>
      </c>
      <c r="J301" s="77" t="s">
        <v>383</v>
      </c>
      <c r="K301" s="77" t="s">
        <v>808</v>
      </c>
      <c r="L301" s="77" t="s">
        <v>808</v>
      </c>
      <c r="M301" s="77" t="s">
        <v>808</v>
      </c>
      <c r="N301" s="77" t="s">
        <v>808</v>
      </c>
      <c r="O301" s="77" t="s">
        <v>808</v>
      </c>
      <c r="P301" s="77" t="s">
        <v>808</v>
      </c>
      <c r="Q301" s="77" t="s">
        <v>808</v>
      </c>
      <c r="R301" s="77" t="s">
        <v>1146</v>
      </c>
      <c r="S301" s="77" t="s">
        <v>926</v>
      </c>
      <c r="T301" s="77" t="s">
        <v>1147</v>
      </c>
    </row>
    <row r="302" spans="1:24" x14ac:dyDescent="0.35">
      <c r="H302" s="56"/>
      <c r="I302" s="56" t="s">
        <v>1148</v>
      </c>
      <c r="J302" s="121"/>
      <c r="K302" s="121"/>
      <c r="L302" s="121"/>
      <c r="M302" s="121"/>
      <c r="N302" s="121"/>
      <c r="O302" s="56"/>
      <c r="P302" s="56"/>
      <c r="Q302" s="56"/>
      <c r="R302" s="56"/>
      <c r="S302" s="56"/>
      <c r="T302" s="56"/>
      <c r="U302" s="56"/>
      <c r="V302" s="56"/>
      <c r="W302" s="56"/>
      <c r="X302" s="56"/>
    </row>
    <row r="303" spans="1:24" x14ac:dyDescent="0.35">
      <c r="H303" s="56" t="s">
        <v>1149</v>
      </c>
      <c r="I303" s="56">
        <v>192</v>
      </c>
      <c r="J303" s="56"/>
      <c r="K303" s="117" t="s">
        <v>1150</v>
      </c>
      <c r="L303" s="117"/>
      <c r="M303" s="117"/>
      <c r="N303" s="56"/>
      <c r="O303" s="56"/>
      <c r="P303" s="56"/>
      <c r="Q303" s="56"/>
      <c r="R303" s="56"/>
      <c r="S303" s="56"/>
      <c r="T303" s="56"/>
      <c r="U303" s="56"/>
      <c r="V303" s="56"/>
      <c r="W303" s="56"/>
      <c r="X303" s="56"/>
    </row>
    <row r="304" spans="1:24" x14ac:dyDescent="0.35">
      <c r="H304" s="56" t="s">
        <v>649</v>
      </c>
      <c r="I304" s="56">
        <v>96</v>
      </c>
      <c r="J304" s="56"/>
      <c r="K304" s="117">
        <f>SUM(I303:I306)</f>
        <v>672</v>
      </c>
      <c r="L304" s="117"/>
      <c r="M304" s="117"/>
      <c r="N304" s="56"/>
      <c r="O304" s="56"/>
      <c r="P304" s="56"/>
      <c r="Q304" s="56"/>
      <c r="R304" s="56"/>
      <c r="S304" s="56"/>
      <c r="T304" s="56"/>
      <c r="U304" s="56"/>
      <c r="V304" s="56"/>
      <c r="W304" s="56"/>
      <c r="X304" s="56"/>
    </row>
    <row r="305" spans="8:30" x14ac:dyDescent="0.35">
      <c r="H305" s="56" t="s">
        <v>1151</v>
      </c>
      <c r="I305" s="56">
        <v>192</v>
      </c>
      <c r="J305" s="56"/>
      <c r="K305" s="117" t="s">
        <v>1152</v>
      </c>
      <c r="L305" s="117"/>
      <c r="M305" s="117"/>
      <c r="N305" s="56"/>
      <c r="O305" s="56"/>
      <c r="P305" s="56"/>
      <c r="Q305" s="56"/>
      <c r="R305" s="56"/>
      <c r="S305" s="56"/>
      <c r="T305" s="56"/>
      <c r="U305" s="56"/>
      <c r="V305" s="56"/>
      <c r="W305" s="56"/>
      <c r="X305" s="56"/>
    </row>
    <row r="306" spans="8:30" x14ac:dyDescent="0.35">
      <c r="H306" s="56" t="s">
        <v>648</v>
      </c>
      <c r="I306" s="56">
        <v>192</v>
      </c>
      <c r="J306" s="56"/>
      <c r="K306" s="117">
        <f>SUM(I307:I310)</f>
        <v>768</v>
      </c>
      <c r="L306" s="117"/>
      <c r="M306" s="117"/>
      <c r="N306" s="56"/>
      <c r="O306" s="56"/>
      <c r="P306" s="56"/>
      <c r="Q306" s="56"/>
      <c r="R306" s="56"/>
      <c r="S306" s="56"/>
      <c r="T306" s="56"/>
      <c r="U306" s="56"/>
      <c r="V306" s="56"/>
      <c r="W306" s="56"/>
      <c r="X306" s="56"/>
    </row>
    <row r="307" spans="8:30" x14ac:dyDescent="0.35">
      <c r="H307" s="56" t="s">
        <v>651</v>
      </c>
      <c r="I307" s="56">
        <v>192</v>
      </c>
      <c r="J307" s="56"/>
      <c r="K307" s="56"/>
      <c r="L307" s="56"/>
      <c r="M307" s="56"/>
      <c r="N307" s="56"/>
      <c r="O307" s="56"/>
      <c r="P307" s="56"/>
      <c r="Q307" s="56"/>
      <c r="R307" s="56"/>
      <c r="S307" s="56"/>
      <c r="T307" s="56"/>
      <c r="U307" s="56"/>
      <c r="V307" s="56"/>
      <c r="W307" s="56"/>
      <c r="X307" s="56"/>
    </row>
    <row r="308" spans="8:30" x14ac:dyDescent="0.35">
      <c r="H308" s="56" t="s">
        <v>653</v>
      </c>
      <c r="I308" s="56">
        <v>192</v>
      </c>
      <c r="J308" s="56"/>
      <c r="K308" s="56"/>
      <c r="L308" s="56"/>
      <c r="M308" s="56"/>
      <c r="N308" s="56"/>
      <c r="O308" s="56"/>
      <c r="P308" s="56"/>
      <c r="Q308" s="56"/>
      <c r="R308" s="56"/>
      <c r="S308" s="56"/>
      <c r="T308" s="56"/>
      <c r="U308" s="56"/>
      <c r="V308" s="56"/>
      <c r="W308" s="56"/>
      <c r="X308" s="56"/>
    </row>
    <row r="309" spans="8:30" x14ac:dyDescent="0.35">
      <c r="H309" s="56" t="s">
        <v>669</v>
      </c>
      <c r="I309" s="56">
        <v>192</v>
      </c>
      <c r="J309" s="56"/>
      <c r="K309" s="56"/>
      <c r="L309" s="56"/>
      <c r="M309" s="56"/>
      <c r="N309" s="56"/>
      <c r="O309" s="56"/>
      <c r="P309" s="56"/>
      <c r="Q309" s="56"/>
      <c r="R309" s="56"/>
      <c r="S309" s="56"/>
      <c r="T309" s="56"/>
      <c r="U309" s="56"/>
      <c r="V309" s="56"/>
      <c r="W309" s="56"/>
      <c r="X309" s="56"/>
    </row>
    <row r="310" spans="8:30" x14ac:dyDescent="0.35">
      <c r="H310" s="56" t="s">
        <v>670</v>
      </c>
      <c r="I310" s="56">
        <v>192</v>
      </c>
      <c r="J310" s="56"/>
      <c r="K310" s="56"/>
      <c r="L310" s="56"/>
      <c r="M310" s="56"/>
      <c r="N310" s="56"/>
      <c r="O310" s="56"/>
      <c r="P310" s="56"/>
      <c r="Q310" s="56"/>
      <c r="R310" s="56"/>
      <c r="S310" s="56"/>
      <c r="T310" s="56"/>
      <c r="U310" s="56"/>
      <c r="V310" s="56"/>
      <c r="W310" s="56"/>
      <c r="X310" s="56"/>
    </row>
    <row r="311" spans="8:30" x14ac:dyDescent="0.35">
      <c r="H311" s="56"/>
      <c r="I311" s="56">
        <f>SUM(I303:I310)</f>
        <v>1440</v>
      </c>
      <c r="J311" s="56"/>
      <c r="K311" s="56"/>
      <c r="L311" s="56"/>
      <c r="M311" s="56"/>
      <c r="N311" s="56"/>
      <c r="O311" s="56"/>
      <c r="P311" s="56"/>
      <c r="Q311" s="56"/>
      <c r="R311" s="56"/>
      <c r="S311" s="56"/>
      <c r="T311" s="56"/>
      <c r="U311" s="56"/>
      <c r="V311" s="56"/>
      <c r="W311" s="56"/>
      <c r="X311" s="56"/>
    </row>
    <row r="312" spans="8:30" x14ac:dyDescent="0.35">
      <c r="H312" s="56"/>
      <c r="I312" s="56"/>
      <c r="J312" s="117" t="s">
        <v>1114</v>
      </c>
      <c r="K312" s="117"/>
      <c r="L312" s="117"/>
      <c r="M312" s="117"/>
      <c r="N312" s="56"/>
      <c r="O312" s="56"/>
      <c r="P312" s="56"/>
      <c r="Q312" s="56"/>
      <c r="R312" s="56"/>
      <c r="S312" s="56"/>
      <c r="T312" s="56"/>
      <c r="U312" s="56"/>
      <c r="V312" s="56"/>
      <c r="W312" s="56"/>
      <c r="X312" s="56"/>
    </row>
    <row r="313" spans="8:30" x14ac:dyDescent="0.35">
      <c r="H313" s="56"/>
      <c r="I313" s="56"/>
      <c r="J313" s="56" t="s">
        <v>1149</v>
      </c>
      <c r="K313" s="56" t="s">
        <v>649</v>
      </c>
      <c r="L313" s="56" t="s">
        <v>1151</v>
      </c>
      <c r="M313" s="56" t="s">
        <v>648</v>
      </c>
      <c r="N313" s="56" t="s">
        <v>832</v>
      </c>
      <c r="O313" s="56" t="s">
        <v>653</v>
      </c>
      <c r="P313" t="s">
        <v>669</v>
      </c>
      <c r="Q313" t="s">
        <v>670</v>
      </c>
      <c r="T313" t="s">
        <v>1115</v>
      </c>
      <c r="U313" t="s">
        <v>1116</v>
      </c>
      <c r="V313" t="s">
        <v>1117</v>
      </c>
      <c r="W313" t="s">
        <v>1118</v>
      </c>
      <c r="X313" t="s">
        <v>1119</v>
      </c>
      <c r="Z313" s="56" t="s">
        <v>930</v>
      </c>
      <c r="AA313" s="56" t="s">
        <v>657</v>
      </c>
      <c r="AB313" s="56" t="s">
        <v>1120</v>
      </c>
      <c r="AC313" t="s">
        <v>423</v>
      </c>
      <c r="AD313" s="56" t="s">
        <v>1042</v>
      </c>
    </row>
    <row r="314" spans="8:30" ht="15" customHeight="1" x14ac:dyDescent="0.35">
      <c r="H314" s="122" t="s">
        <v>1121</v>
      </c>
      <c r="I314" s="56" t="s">
        <v>1149</v>
      </c>
      <c r="J314" s="84">
        <v>14</v>
      </c>
      <c r="K314" s="56">
        <v>0</v>
      </c>
      <c r="L314" s="56">
        <v>0</v>
      </c>
      <c r="M314" s="56">
        <v>2</v>
      </c>
      <c r="N314" s="56">
        <v>1</v>
      </c>
      <c r="O314" s="56">
        <v>1</v>
      </c>
      <c r="P314">
        <v>2</v>
      </c>
      <c r="Q314">
        <v>0</v>
      </c>
      <c r="R314" s="56">
        <f>SUM(J314:Q314)</f>
        <v>20</v>
      </c>
      <c r="T314" s="56">
        <v>14</v>
      </c>
      <c r="U314" s="56">
        <f>SUM(K315:Q321)</f>
        <v>124</v>
      </c>
      <c r="V314" s="56">
        <f>SUM(J315:J321)</f>
        <v>6</v>
      </c>
      <c r="W314" s="56">
        <f>SUM(K314:Q314)</f>
        <v>6</v>
      </c>
      <c r="X314" s="56">
        <f>T314+W314</f>
        <v>20</v>
      </c>
      <c r="Y314" s="56"/>
      <c r="Z314" s="56">
        <f t="shared" ref="Z314:Z321" si="0">SUM(T314:U314)/SUM(T314:W314)</f>
        <v>0.92</v>
      </c>
      <c r="AA314" s="56">
        <f>2*T314/(2*T314 + SUM(V314:W314))</f>
        <v>0.7</v>
      </c>
      <c r="AB314" s="56">
        <f>T314/(T314+W314)</f>
        <v>0.7</v>
      </c>
      <c r="AC314" s="56">
        <f>T314/(T314+V314)</f>
        <v>0.7</v>
      </c>
      <c r="AD314">
        <f>U314/SUM(U314:V314)</f>
        <v>0.9538461538461539</v>
      </c>
    </row>
    <row r="315" spans="8:30" x14ac:dyDescent="0.35">
      <c r="H315" s="122"/>
      <c r="I315" s="56" t="s">
        <v>649</v>
      </c>
      <c r="J315" s="56">
        <v>1</v>
      </c>
      <c r="K315" s="84">
        <v>4</v>
      </c>
      <c r="L315" s="56">
        <v>1</v>
      </c>
      <c r="M315" s="56">
        <v>1</v>
      </c>
      <c r="N315" s="56">
        <v>3</v>
      </c>
      <c r="O315" s="56">
        <v>0</v>
      </c>
      <c r="P315">
        <v>0</v>
      </c>
      <c r="Q315">
        <v>0</v>
      </c>
      <c r="R315" s="56">
        <f t="shared" ref="R315:R321" si="1">SUM(J315:Q315)</f>
        <v>10</v>
      </c>
      <c r="T315" s="56">
        <f>K315</f>
        <v>4</v>
      </c>
      <c r="U315">
        <f>J314+SUM(L314:Q314)+SUM(J316:J321)+SUM(L316:Q321)</f>
        <v>136</v>
      </c>
      <c r="V315" s="56">
        <f>K314+SUM(K316:K321)</f>
        <v>4</v>
      </c>
      <c r="W315" s="56">
        <f>J315+SUM(L315:Q315)</f>
        <v>6</v>
      </c>
      <c r="X315" s="56">
        <f>T315 + W315</f>
        <v>10</v>
      </c>
      <c r="Y315" s="56"/>
      <c r="Z315" s="56">
        <f t="shared" si="0"/>
        <v>0.93333333333333335</v>
      </c>
      <c r="AA315" s="56">
        <f>2*T315/(2*T315 + SUM(V315:W315))</f>
        <v>0.44444444444444442</v>
      </c>
      <c r="AB315" s="56">
        <f>T315/(T315+W315)</f>
        <v>0.4</v>
      </c>
      <c r="AC315" s="56">
        <f>T315/(T315+V315)</f>
        <v>0.5</v>
      </c>
      <c r="AD315">
        <f>U315/SUM(U315:V315)</f>
        <v>0.97142857142857142</v>
      </c>
    </row>
    <row r="316" spans="8:30" x14ac:dyDescent="0.35">
      <c r="H316" s="122"/>
      <c r="I316" s="56" t="s">
        <v>1151</v>
      </c>
      <c r="J316" s="56">
        <v>0</v>
      </c>
      <c r="K316" s="56">
        <v>3</v>
      </c>
      <c r="L316" s="84">
        <v>16</v>
      </c>
      <c r="M316" s="56">
        <v>0</v>
      </c>
      <c r="N316" s="56">
        <v>1</v>
      </c>
      <c r="O316" s="56">
        <v>0</v>
      </c>
      <c r="P316">
        <v>0</v>
      </c>
      <c r="Q316">
        <v>0</v>
      </c>
      <c r="R316" s="56">
        <f t="shared" si="1"/>
        <v>20</v>
      </c>
      <c r="T316">
        <f>L316</f>
        <v>16</v>
      </c>
      <c r="U316">
        <f>SUM(J314:K315) +SUM(J317:K321) +SUM(M314:Q315) + SUM(M317:Q321)</f>
        <v>128</v>
      </c>
      <c r="V316">
        <f>SUM(L314:L315) + SUM(L317:L321)</f>
        <v>2</v>
      </c>
      <c r="W316">
        <f>SUM(J316:K316) + SUM(M316:Q316)</f>
        <v>4</v>
      </c>
      <c r="X316" s="56">
        <f t="shared" ref="X316:X321" si="2">T316+W316</f>
        <v>20</v>
      </c>
      <c r="Y316" s="56"/>
      <c r="Z316" s="56">
        <f t="shared" si="0"/>
        <v>0.96</v>
      </c>
      <c r="AA316" s="56">
        <f>2*T316/(2*T316 + SUM(V316:W316))</f>
        <v>0.84210526315789469</v>
      </c>
      <c r="AB316" s="56">
        <f>T316/(T316+W316)</f>
        <v>0.8</v>
      </c>
      <c r="AC316" s="56">
        <f>T316/(T316+V316)</f>
        <v>0.88888888888888884</v>
      </c>
      <c r="AD316">
        <f>U316/SUM(U316:V316)</f>
        <v>0.98461538461538467</v>
      </c>
    </row>
    <row r="317" spans="8:30" x14ac:dyDescent="0.35">
      <c r="H317" s="122"/>
      <c r="I317" s="56" t="s">
        <v>648</v>
      </c>
      <c r="J317" s="56">
        <v>0</v>
      </c>
      <c r="K317" s="56">
        <v>0</v>
      </c>
      <c r="L317" s="56">
        <v>0</v>
      </c>
      <c r="M317" s="84">
        <v>14</v>
      </c>
      <c r="N317" s="56">
        <v>0</v>
      </c>
      <c r="O317" s="56">
        <v>1</v>
      </c>
      <c r="P317">
        <v>4</v>
      </c>
      <c r="Q317">
        <v>1</v>
      </c>
      <c r="R317" s="56">
        <f t="shared" si="1"/>
        <v>20</v>
      </c>
      <c r="T317" s="56">
        <f>M317</f>
        <v>14</v>
      </c>
      <c r="U317" s="56">
        <f>SUM(J314:L316) + SUM(N318:Q321) + SUM(N314:Q316) + SUM(J318:L321)</f>
        <v>125</v>
      </c>
      <c r="V317" s="56">
        <f xml:space="preserve"> SUM(M314:M316) + SUM(M318:M321)</f>
        <v>5</v>
      </c>
      <c r="W317" s="56">
        <f>SUM(J317:L317) + SUM(N317:Q317)</f>
        <v>6</v>
      </c>
      <c r="X317" s="56">
        <f t="shared" si="2"/>
        <v>20</v>
      </c>
      <c r="Y317" s="56"/>
      <c r="Z317" s="56">
        <f t="shared" si="0"/>
        <v>0.92666666666666664</v>
      </c>
      <c r="AA317" s="56">
        <f>2*T317/(2*T317 + SUM(V317:W317))</f>
        <v>0.71794871794871795</v>
      </c>
      <c r="AB317" s="56">
        <f>T317/(T317+W317)</f>
        <v>0.7</v>
      </c>
      <c r="AC317" s="56">
        <f>T317/(T317+V317)</f>
        <v>0.73684210526315785</v>
      </c>
      <c r="AD317">
        <f>U317/SUM(U317:V317)</f>
        <v>0.96153846153846156</v>
      </c>
    </row>
    <row r="318" spans="8:30" x14ac:dyDescent="0.35">
      <c r="H318" s="122"/>
      <c r="I318" s="56" t="s">
        <v>651</v>
      </c>
      <c r="J318" s="56">
        <v>0</v>
      </c>
      <c r="K318" s="56">
        <v>1</v>
      </c>
      <c r="L318" s="56">
        <v>1</v>
      </c>
      <c r="M318" s="56">
        <v>0</v>
      </c>
      <c r="N318" s="84">
        <v>17</v>
      </c>
      <c r="O318" s="56">
        <v>0</v>
      </c>
      <c r="P318" s="56">
        <v>1</v>
      </c>
      <c r="Q318" s="56">
        <v>0</v>
      </c>
      <c r="R318" s="56">
        <f t="shared" si="1"/>
        <v>20</v>
      </c>
      <c r="S318" s="56"/>
      <c r="T318">
        <f>N318</f>
        <v>17</v>
      </c>
      <c r="U318" s="56">
        <f>SUM(O319:Q321) + SUM(J319:M321) + SUM(J314:M317) + SUM(O314:Q317)</f>
        <v>124</v>
      </c>
      <c r="V318" s="56">
        <f xml:space="preserve"> SUM(N314:N317) +SUM(N319:N321)</f>
        <v>6</v>
      </c>
      <c r="W318" s="56">
        <f>SUM(J318:M318) +SUM(O318:Q318)</f>
        <v>3</v>
      </c>
      <c r="X318" s="56">
        <f t="shared" si="2"/>
        <v>20</v>
      </c>
      <c r="Z318" s="56">
        <f t="shared" si="0"/>
        <v>0.94</v>
      </c>
      <c r="AA318" s="56">
        <f t="shared" ref="AA318:AA321" si="3">2*T318/(2*T318 + SUM(V318:W318))</f>
        <v>0.79069767441860461</v>
      </c>
      <c r="AB318" s="56">
        <f t="shared" ref="AB318:AB321" si="4">T318/(T318+W318)</f>
        <v>0.85</v>
      </c>
      <c r="AC318" s="56">
        <f t="shared" ref="AC318:AC321" si="5">T318/(T318+V318)</f>
        <v>0.73913043478260865</v>
      </c>
      <c r="AD318">
        <f t="shared" ref="AD318:AD321" si="6">U318/SUM(U318:V318)</f>
        <v>0.9538461538461539</v>
      </c>
    </row>
    <row r="319" spans="8:30" x14ac:dyDescent="0.35">
      <c r="H319" s="122"/>
      <c r="I319" s="56" t="s">
        <v>653</v>
      </c>
      <c r="J319" s="56">
        <v>2</v>
      </c>
      <c r="K319" s="56">
        <v>0</v>
      </c>
      <c r="L319" s="56">
        <v>0</v>
      </c>
      <c r="M319" s="56">
        <v>0</v>
      </c>
      <c r="N319" s="56">
        <v>0</v>
      </c>
      <c r="O319" s="84">
        <v>16</v>
      </c>
      <c r="P319" s="56">
        <v>1</v>
      </c>
      <c r="Q319" s="56">
        <v>1</v>
      </c>
      <c r="R319" s="56">
        <f t="shared" si="1"/>
        <v>20</v>
      </c>
      <c r="S319" s="56"/>
      <c r="T319" s="56">
        <f>O319</f>
        <v>16</v>
      </c>
      <c r="U319" s="56">
        <f>SUM(J314:N318) + SUM(J320:N321) + SUM(P314:Q318) + SUM(P320:Q321)</f>
        <v>126</v>
      </c>
      <c r="V319" s="56">
        <f>SUM(O314:O318)+SUM(O320:O321)</f>
        <v>4</v>
      </c>
      <c r="W319" s="56">
        <f>SUM(J319:N319)+SUM(P319:Q319)</f>
        <v>4</v>
      </c>
      <c r="X319" s="56">
        <f t="shared" si="2"/>
        <v>20</v>
      </c>
      <c r="Z319" s="56">
        <f t="shared" si="0"/>
        <v>0.94666666666666666</v>
      </c>
      <c r="AA319" s="56">
        <f t="shared" si="3"/>
        <v>0.8</v>
      </c>
      <c r="AB319" s="56">
        <f t="shared" si="4"/>
        <v>0.8</v>
      </c>
      <c r="AC319" s="56">
        <f t="shared" si="5"/>
        <v>0.8</v>
      </c>
      <c r="AD319">
        <f t="shared" si="6"/>
        <v>0.96923076923076923</v>
      </c>
    </row>
    <row r="320" spans="8:30" x14ac:dyDescent="0.35">
      <c r="H320" s="122"/>
      <c r="I320" s="56" t="s">
        <v>669</v>
      </c>
      <c r="J320" s="56">
        <v>3</v>
      </c>
      <c r="K320" s="56">
        <v>0</v>
      </c>
      <c r="L320" s="56">
        <v>0</v>
      </c>
      <c r="M320" s="56">
        <v>1</v>
      </c>
      <c r="N320" s="56">
        <v>1</v>
      </c>
      <c r="O320" s="56">
        <v>0</v>
      </c>
      <c r="P320" s="84">
        <v>15</v>
      </c>
      <c r="Q320" s="56">
        <v>0</v>
      </c>
      <c r="R320" s="56">
        <f t="shared" si="1"/>
        <v>20</v>
      </c>
      <c r="S320" s="56"/>
      <c r="T320" s="56">
        <f>P320</f>
        <v>15</v>
      </c>
      <c r="U320" s="56">
        <f>SUM(J314:O319) +SUM(Q314:Q319) + SUM(Q321) + SUM(J321:O321)</f>
        <v>122</v>
      </c>
      <c r="V320" s="56">
        <f>SUM(P314:P319)+SUM(P321)</f>
        <v>8</v>
      </c>
      <c r="W320" s="56">
        <f>SUM(J320:O320)+SUM(Q320)</f>
        <v>5</v>
      </c>
      <c r="X320" s="56">
        <f t="shared" si="2"/>
        <v>20</v>
      </c>
      <c r="Z320" s="56">
        <f t="shared" si="0"/>
        <v>0.91333333333333333</v>
      </c>
      <c r="AA320" s="56">
        <f t="shared" si="3"/>
        <v>0.69767441860465118</v>
      </c>
      <c r="AB320" s="56">
        <f t="shared" si="4"/>
        <v>0.75</v>
      </c>
      <c r="AC320" s="56">
        <f t="shared" si="5"/>
        <v>0.65217391304347827</v>
      </c>
      <c r="AD320">
        <f t="shared" si="6"/>
        <v>0.93846153846153846</v>
      </c>
    </row>
    <row r="321" spans="8:30" x14ac:dyDescent="0.35">
      <c r="H321" s="122"/>
      <c r="I321" s="56" t="s">
        <v>670</v>
      </c>
      <c r="J321" s="56">
        <v>0</v>
      </c>
      <c r="K321" s="56">
        <v>0</v>
      </c>
      <c r="L321" s="56">
        <v>0</v>
      </c>
      <c r="M321" s="56">
        <v>1</v>
      </c>
      <c r="N321" s="56">
        <v>0</v>
      </c>
      <c r="O321" s="56">
        <v>2</v>
      </c>
      <c r="P321" s="56">
        <v>0</v>
      </c>
      <c r="Q321" s="84">
        <v>17</v>
      </c>
      <c r="R321" s="56">
        <f t="shared" si="1"/>
        <v>20</v>
      </c>
      <c r="S321" s="56"/>
      <c r="T321" s="56">
        <f>Q321</f>
        <v>17</v>
      </c>
      <c r="U321" s="56">
        <f xml:space="preserve"> SUM(J314:P320)</f>
        <v>128</v>
      </c>
      <c r="V321" s="56">
        <f>SUM(Q314:Q320)</f>
        <v>2</v>
      </c>
      <c r="W321" s="56">
        <f>SUM(J321:P321)</f>
        <v>3</v>
      </c>
      <c r="X321" s="56">
        <f t="shared" si="2"/>
        <v>20</v>
      </c>
      <c r="Z321" s="56">
        <f t="shared" si="0"/>
        <v>0.96666666666666667</v>
      </c>
      <c r="AA321" s="56">
        <f t="shared" si="3"/>
        <v>0.87179487179487181</v>
      </c>
      <c r="AB321" s="56">
        <f t="shared" si="4"/>
        <v>0.85</v>
      </c>
      <c r="AC321" s="56">
        <f t="shared" si="5"/>
        <v>0.89473684210526316</v>
      </c>
      <c r="AD321">
        <f t="shared" si="6"/>
        <v>0.98461538461538467</v>
      </c>
    </row>
    <row r="322" spans="8:30" x14ac:dyDescent="0.35">
      <c r="H322" s="83"/>
      <c r="I322" s="56"/>
      <c r="J322" s="56"/>
      <c r="K322" s="56"/>
      <c r="L322" s="56"/>
      <c r="M322" s="56"/>
      <c r="N322" s="56"/>
      <c r="O322" s="56"/>
      <c r="P322" s="56"/>
      <c r="Q322" s="78"/>
      <c r="R322" s="56">
        <f>SUM(R314:R321)</f>
        <v>150</v>
      </c>
      <c r="S322" s="56"/>
      <c r="T322" s="56"/>
      <c r="U322" s="56"/>
      <c r="V322" s="56"/>
      <c r="W322" s="56"/>
      <c r="X322" s="56"/>
    </row>
    <row r="323" spans="8:30" x14ac:dyDescent="0.35">
      <c r="H323" s="56"/>
      <c r="I323" s="56"/>
      <c r="J323" s="117" t="s">
        <v>638</v>
      </c>
      <c r="K323" s="117"/>
      <c r="L323" s="117"/>
      <c r="M323" s="117"/>
      <c r="N323" s="117"/>
      <c r="O323" s="117" t="s">
        <v>827</v>
      </c>
      <c r="P323" s="117"/>
      <c r="Q323" s="117"/>
      <c r="R323" s="117"/>
      <c r="S323" s="117"/>
      <c r="T323" s="56"/>
      <c r="U323" s="56"/>
      <c r="V323" s="56"/>
      <c r="W323" s="56"/>
      <c r="X323" s="56"/>
    </row>
    <row r="324" spans="8:30" x14ac:dyDescent="0.35">
      <c r="H324" s="56"/>
      <c r="I324" s="56"/>
      <c r="J324" s="117" t="s">
        <v>828</v>
      </c>
      <c r="K324" s="117"/>
      <c r="L324" s="117"/>
      <c r="M324" s="117"/>
      <c r="N324" s="117"/>
      <c r="O324" s="117" t="s">
        <v>643</v>
      </c>
      <c r="P324" s="117"/>
      <c r="Q324" s="117"/>
      <c r="R324" s="117"/>
      <c r="S324" s="117"/>
      <c r="T324" s="56"/>
      <c r="U324" s="56"/>
      <c r="V324" s="56"/>
      <c r="W324" s="56"/>
      <c r="X324" s="56"/>
    </row>
    <row r="325" spans="8:30" x14ac:dyDescent="0.35">
      <c r="H325" s="56"/>
      <c r="I325" s="56"/>
      <c r="J325" s="56" t="s">
        <v>1149</v>
      </c>
      <c r="K325" s="56" t="s">
        <v>649</v>
      </c>
      <c r="L325" s="56" t="s">
        <v>1151</v>
      </c>
      <c r="M325" s="56" t="s">
        <v>648</v>
      </c>
      <c r="O325" s="56" t="s">
        <v>832</v>
      </c>
      <c r="P325" s="56" t="s">
        <v>653</v>
      </c>
      <c r="Q325" s="56" t="s">
        <v>669</v>
      </c>
      <c r="R325" t="s">
        <v>670</v>
      </c>
      <c r="T325" s="56"/>
      <c r="U325" s="56"/>
      <c r="V325" s="56"/>
      <c r="W325" s="56"/>
      <c r="X325" s="56"/>
    </row>
    <row r="326" spans="8:30" x14ac:dyDescent="0.35">
      <c r="H326" s="121" t="s">
        <v>417</v>
      </c>
      <c r="I326" s="121"/>
      <c r="J326" s="56">
        <f>Z314</f>
        <v>0.92</v>
      </c>
      <c r="K326" s="56">
        <f>Z315</f>
        <v>0.93333333333333335</v>
      </c>
      <c r="L326" s="56">
        <f>Z316</f>
        <v>0.96</v>
      </c>
      <c r="M326" s="56">
        <f>Z317</f>
        <v>0.92666666666666664</v>
      </c>
      <c r="O326" s="56">
        <f>Z318</f>
        <v>0.94</v>
      </c>
      <c r="P326" s="56">
        <f>Z319</f>
        <v>0.94666666666666666</v>
      </c>
      <c r="Q326" s="56">
        <f>Z320</f>
        <v>0.91333333333333333</v>
      </c>
      <c r="R326">
        <f>Z321</f>
        <v>0.96666666666666667</v>
      </c>
      <c r="T326" s="56"/>
      <c r="U326" s="56"/>
      <c r="V326" s="56"/>
      <c r="W326" s="56"/>
      <c r="X326" s="56"/>
    </row>
    <row r="327" spans="8:30" x14ac:dyDescent="0.35">
      <c r="H327" s="117" t="s">
        <v>1122</v>
      </c>
      <c r="I327" s="117"/>
      <c r="J327" s="56">
        <f>AA314</f>
        <v>0.7</v>
      </c>
      <c r="K327" s="56">
        <f>AA315</f>
        <v>0.44444444444444442</v>
      </c>
      <c r="L327" s="56">
        <f>AA316</f>
        <v>0.84210526315789469</v>
      </c>
      <c r="M327" s="56">
        <f>AA317</f>
        <v>0.71794871794871795</v>
      </c>
      <c r="O327" s="56">
        <f>AA318</f>
        <v>0.79069767441860461</v>
      </c>
      <c r="P327" s="56">
        <f>AA319</f>
        <v>0.8</v>
      </c>
      <c r="Q327" s="56">
        <f>AA320</f>
        <v>0.69767441860465118</v>
      </c>
      <c r="R327">
        <f>AA321</f>
        <v>0.87179487179487181</v>
      </c>
      <c r="T327" s="56"/>
      <c r="U327" s="56"/>
      <c r="V327" s="56"/>
      <c r="W327" s="56"/>
      <c r="X327" s="56"/>
    </row>
    <row r="328" spans="8:30" x14ac:dyDescent="0.35">
      <c r="H328" s="117" t="s">
        <v>1123</v>
      </c>
      <c r="I328" s="117"/>
      <c r="J328" s="56">
        <f>AB314</f>
        <v>0.7</v>
      </c>
      <c r="K328" s="56">
        <f>AB315</f>
        <v>0.4</v>
      </c>
      <c r="L328" s="56">
        <f>AB316</f>
        <v>0.8</v>
      </c>
      <c r="M328" s="56">
        <f>AB317</f>
        <v>0.7</v>
      </c>
      <c r="O328" s="56">
        <f>AB318</f>
        <v>0.85</v>
      </c>
      <c r="P328" s="56">
        <f>AB319</f>
        <v>0.8</v>
      </c>
      <c r="Q328" s="56">
        <f>AB320</f>
        <v>0.75</v>
      </c>
      <c r="R328">
        <f>AB321</f>
        <v>0.85</v>
      </c>
      <c r="T328" s="56"/>
      <c r="U328" s="56"/>
      <c r="V328" s="56"/>
      <c r="W328" s="56"/>
      <c r="X328" s="56"/>
    </row>
    <row r="329" spans="8:30" x14ac:dyDescent="0.35">
      <c r="H329" s="117" t="s">
        <v>423</v>
      </c>
      <c r="I329" s="117"/>
      <c r="J329" s="56">
        <f>AC314</f>
        <v>0.7</v>
      </c>
      <c r="K329" s="56">
        <f>AC315</f>
        <v>0.5</v>
      </c>
      <c r="L329" s="56">
        <f>AC316</f>
        <v>0.88888888888888884</v>
      </c>
      <c r="M329" s="56">
        <f>AC317</f>
        <v>0.73684210526315785</v>
      </c>
      <c r="O329" s="56">
        <f>AC318</f>
        <v>0.73913043478260865</v>
      </c>
      <c r="P329" s="56">
        <f>AC319</f>
        <v>0.8</v>
      </c>
      <c r="Q329" s="56">
        <f>AC320</f>
        <v>0.65217391304347827</v>
      </c>
      <c r="R329">
        <f>AC321</f>
        <v>0.89473684210526316</v>
      </c>
      <c r="T329" s="56"/>
      <c r="U329" s="56"/>
      <c r="V329" s="56"/>
      <c r="W329" s="56"/>
      <c r="X329" s="56"/>
    </row>
    <row r="330" spans="8:30" x14ac:dyDescent="0.35">
      <c r="H330" s="117" t="s">
        <v>418</v>
      </c>
      <c r="I330" s="117"/>
      <c r="J330" s="56">
        <f>AD314</f>
        <v>0.9538461538461539</v>
      </c>
      <c r="K330" s="56">
        <f>AD315</f>
        <v>0.97142857142857142</v>
      </c>
      <c r="L330" s="56">
        <f>AD316</f>
        <v>0.98461538461538467</v>
      </c>
      <c r="M330" s="56">
        <f>AD317</f>
        <v>0.96153846153846156</v>
      </c>
      <c r="O330" s="56">
        <f>AD318</f>
        <v>0.9538461538461539</v>
      </c>
      <c r="P330" s="56">
        <f>AD319</f>
        <v>0.96923076923076923</v>
      </c>
      <c r="Q330" s="56">
        <f>AD320</f>
        <v>0.93846153846153846</v>
      </c>
      <c r="R330">
        <f>AD321</f>
        <v>0.98461538461538467</v>
      </c>
      <c r="T330" s="56"/>
      <c r="U330" s="56"/>
      <c r="V330" s="56"/>
      <c r="W330" s="56"/>
      <c r="X330" s="56"/>
    </row>
    <row r="331" spans="8:30" x14ac:dyDescent="0.35">
      <c r="H331" s="56"/>
      <c r="I331" s="56"/>
      <c r="J331" s="56"/>
      <c r="K331" s="56"/>
      <c r="L331" s="56"/>
      <c r="M331" s="56"/>
      <c r="N331" s="56"/>
      <c r="O331" s="56"/>
      <c r="P331" s="56"/>
      <c r="Q331" s="56"/>
      <c r="R331" s="56"/>
      <c r="S331" s="56"/>
      <c r="T331" s="56"/>
      <c r="U331" s="56"/>
      <c r="V331" s="56"/>
      <c r="W331" s="56"/>
      <c r="X331" s="56"/>
    </row>
    <row r="332" spans="8:30" x14ac:dyDescent="0.35">
      <c r="J332" s="56"/>
      <c r="K332" s="56"/>
      <c r="L332" s="56"/>
      <c r="M332" s="56"/>
      <c r="N332" s="56"/>
      <c r="O332" s="56"/>
      <c r="P332" s="56"/>
      <c r="Q332" s="56"/>
      <c r="R332" s="56"/>
      <c r="S332" s="56"/>
      <c r="T332" s="56"/>
      <c r="U332" s="56"/>
      <c r="V332" s="56"/>
      <c r="W332" s="56"/>
      <c r="X332" s="56"/>
    </row>
    <row r="333" spans="8:30" x14ac:dyDescent="0.35">
      <c r="H333" s="120" t="s">
        <v>1124</v>
      </c>
      <c r="I333" s="120"/>
      <c r="J333" s="119">
        <f>SUM(J327:M327)/4</f>
        <v>0.67612460638776428</v>
      </c>
      <c r="K333" s="119"/>
      <c r="L333" s="119"/>
      <c r="M333" s="76"/>
      <c r="N333" s="119">
        <f>SUM(O327:R327)/4</f>
        <v>0.79004174120453186</v>
      </c>
      <c r="O333" s="119"/>
      <c r="P333" s="119"/>
      <c r="Q333" s="56"/>
      <c r="R333" s="56"/>
      <c r="S333" s="56"/>
      <c r="T333" s="56"/>
      <c r="U333" s="56"/>
      <c r="V333" s="56"/>
      <c r="W333" s="56"/>
      <c r="X333" s="56"/>
    </row>
    <row r="334" spans="8:30" x14ac:dyDescent="0.35">
      <c r="H334" s="129" t="s">
        <v>1125</v>
      </c>
      <c r="I334" s="129"/>
      <c r="J334" s="129"/>
      <c r="K334" s="129"/>
      <c r="L334" s="129"/>
      <c r="M334" s="78"/>
      <c r="N334" s="129"/>
      <c r="O334" s="129"/>
      <c r="P334" s="129"/>
      <c r="Q334" s="56"/>
      <c r="R334" s="56"/>
      <c r="S334" s="56"/>
      <c r="T334" s="56"/>
      <c r="U334" s="56"/>
      <c r="V334" s="56"/>
      <c r="W334" s="56"/>
      <c r="X334" s="56"/>
    </row>
    <row r="335" spans="8:30" x14ac:dyDescent="0.35">
      <c r="H335" s="118" t="s">
        <v>1126</v>
      </c>
      <c r="I335" s="118"/>
      <c r="J335" s="119">
        <f>SUM(J326:M326)/4</f>
        <v>0.93500000000000005</v>
      </c>
      <c r="K335" s="119"/>
      <c r="L335" s="119"/>
      <c r="M335" s="77"/>
      <c r="N335" s="119">
        <f>SUM(O326:R326)/4</f>
        <v>0.94166666666666665</v>
      </c>
      <c r="O335" s="119"/>
      <c r="P335" s="119"/>
    </row>
    <row r="336" spans="8:30" x14ac:dyDescent="0.35">
      <c r="H336" s="118" t="s">
        <v>1127</v>
      </c>
      <c r="I336" s="118"/>
      <c r="J336" s="119">
        <f>SUM(J328:M328)/4</f>
        <v>0.65</v>
      </c>
      <c r="K336" s="119"/>
      <c r="L336" s="119"/>
      <c r="M336" s="77"/>
      <c r="N336" s="119">
        <f>SUM(O328:R328)/4</f>
        <v>0.8125</v>
      </c>
      <c r="O336" s="119"/>
      <c r="P336" s="119"/>
    </row>
    <row r="337" spans="1:24" x14ac:dyDescent="0.35">
      <c r="H337" s="118" t="s">
        <v>1128</v>
      </c>
      <c r="I337" s="118"/>
      <c r="J337" s="119">
        <f>SUM(J329:M329)/4</f>
        <v>0.70643274853801163</v>
      </c>
      <c r="K337" s="119"/>
      <c r="L337" s="119"/>
      <c r="M337" s="77"/>
      <c r="N337" s="119">
        <f>SUM(O329:R329)/4</f>
        <v>0.7715102974828375</v>
      </c>
      <c r="O337" s="119"/>
      <c r="P337" s="119"/>
    </row>
    <row r="338" spans="1:24" x14ac:dyDescent="0.35">
      <c r="H338" s="118" t="s">
        <v>1129</v>
      </c>
      <c r="I338" s="118"/>
      <c r="J338" s="119">
        <f>SUM(J330:M330)/4</f>
        <v>0.96785714285714297</v>
      </c>
      <c r="K338" s="119"/>
      <c r="L338" s="119"/>
      <c r="M338" s="77"/>
      <c r="N338" s="119">
        <f>SUM(O330:R330)/4</f>
        <v>0.96153846153846156</v>
      </c>
      <c r="O338" s="119"/>
      <c r="P338" s="119"/>
    </row>
    <row r="340" spans="1:24" s="77" customFormat="1" x14ac:dyDescent="0.35">
      <c r="A340" s="77">
        <v>76</v>
      </c>
      <c r="B340" s="76" t="s">
        <v>1153</v>
      </c>
      <c r="C340" s="77">
        <v>2017</v>
      </c>
      <c r="D340" s="77" t="s">
        <v>1154</v>
      </c>
      <c r="E340" s="77" t="s">
        <v>891</v>
      </c>
      <c r="F340" s="77" t="s">
        <v>470</v>
      </c>
      <c r="G340" s="77" t="s">
        <v>1155</v>
      </c>
      <c r="H340" s="77" t="s">
        <v>69</v>
      </c>
      <c r="I340" s="77" t="s">
        <v>70</v>
      </c>
      <c r="J340" s="77" t="s">
        <v>362</v>
      </c>
      <c r="K340" s="77" t="s">
        <v>808</v>
      </c>
      <c r="L340" s="77" t="s">
        <v>808</v>
      </c>
      <c r="M340" s="77" t="s">
        <v>808</v>
      </c>
      <c r="N340" s="77" t="s">
        <v>808</v>
      </c>
      <c r="O340" s="77" t="s">
        <v>808</v>
      </c>
      <c r="P340" s="77" t="s">
        <v>808</v>
      </c>
      <c r="Q340" s="77" t="s">
        <v>808</v>
      </c>
      <c r="R340" s="77" t="s">
        <v>1156</v>
      </c>
      <c r="S340" s="77" t="s">
        <v>1157</v>
      </c>
      <c r="T340" s="77" t="s">
        <v>72</v>
      </c>
    </row>
    <row r="342" spans="1:24" x14ac:dyDescent="0.35">
      <c r="B342" s="56"/>
      <c r="C342" s="56" t="s">
        <v>1148</v>
      </c>
      <c r="D342" s="121"/>
      <c r="E342" s="121"/>
      <c r="F342" s="121"/>
      <c r="G342" s="121"/>
      <c r="H342" s="121"/>
      <c r="I342" s="56"/>
      <c r="J342" s="56"/>
      <c r="K342" s="56"/>
      <c r="L342" s="56"/>
      <c r="M342" s="56"/>
      <c r="N342" s="56"/>
      <c r="O342" s="56"/>
      <c r="P342" s="56"/>
      <c r="Q342" s="56"/>
      <c r="R342" s="56"/>
    </row>
    <row r="343" spans="1:24" x14ac:dyDescent="0.35">
      <c r="B343" s="56" t="s">
        <v>648</v>
      </c>
      <c r="C343" s="56">
        <v>28</v>
      </c>
      <c r="D343" s="56"/>
      <c r="E343" s="117" t="s">
        <v>1150</v>
      </c>
      <c r="F343" s="117"/>
      <c r="G343" s="117"/>
      <c r="H343" s="56"/>
      <c r="I343" s="56"/>
      <c r="Q343" s="117" t="s">
        <v>1114</v>
      </c>
      <c r="R343" s="117"/>
      <c r="S343" s="117"/>
      <c r="T343" s="117"/>
      <c r="U343" s="117"/>
      <c r="V343" s="117"/>
      <c r="W343" s="2"/>
    </row>
    <row r="344" spans="1:24" ht="15" customHeight="1" x14ac:dyDescent="0.35">
      <c r="B344" s="56" t="s">
        <v>653</v>
      </c>
      <c r="C344" s="56">
        <v>30</v>
      </c>
      <c r="D344" s="56"/>
      <c r="E344" s="117">
        <f>SUM(C343:C343)</f>
        <v>28</v>
      </c>
      <c r="F344" s="117"/>
      <c r="G344" s="117"/>
      <c r="H344" s="56"/>
      <c r="I344" s="56"/>
      <c r="Q344" s="122" t="s">
        <v>1121</v>
      </c>
      <c r="R344" s="56"/>
      <c r="S344" s="56" t="s">
        <v>648</v>
      </c>
      <c r="T344" s="56" t="s">
        <v>653</v>
      </c>
      <c r="U344" s="56" t="s">
        <v>832</v>
      </c>
      <c r="V344" s="56"/>
    </row>
    <row r="345" spans="1:24" ht="15" customHeight="1" x14ac:dyDescent="0.35">
      <c r="B345" s="56" t="s">
        <v>651</v>
      </c>
      <c r="C345" s="56">
        <v>32</v>
      </c>
      <c r="D345" s="56"/>
      <c r="E345" s="117" t="s">
        <v>1152</v>
      </c>
      <c r="F345" s="117"/>
      <c r="G345" s="117"/>
      <c r="H345" s="56"/>
      <c r="I345" s="56"/>
      <c r="Q345" s="122"/>
      <c r="R345" s="56" t="s">
        <v>648</v>
      </c>
      <c r="S345" s="84">
        <v>19</v>
      </c>
      <c r="T345" s="56">
        <v>6</v>
      </c>
      <c r="U345" s="56">
        <v>3</v>
      </c>
      <c r="V345" s="56">
        <f>SUM(S345:U345)</f>
        <v>28</v>
      </c>
    </row>
    <row r="346" spans="1:24" x14ac:dyDescent="0.35">
      <c r="B346" s="56"/>
      <c r="C346" s="56">
        <f>SUM(C343:C345)</f>
        <v>90</v>
      </c>
      <c r="D346" s="56"/>
      <c r="E346" s="117">
        <f>SUM(C344:C345)</f>
        <v>62</v>
      </c>
      <c r="F346" s="117"/>
      <c r="G346" s="117"/>
      <c r="H346" s="56"/>
      <c r="I346" s="56"/>
      <c r="Q346" s="122"/>
      <c r="R346" s="56" t="s">
        <v>653</v>
      </c>
      <c r="S346" s="56">
        <v>4</v>
      </c>
      <c r="T346" s="84">
        <v>18</v>
      </c>
      <c r="U346" s="56">
        <v>8</v>
      </c>
      <c r="V346" s="56">
        <f>SUM(S346:U346)</f>
        <v>30</v>
      </c>
    </row>
    <row r="347" spans="1:24" x14ac:dyDescent="0.35">
      <c r="B347" s="56"/>
      <c r="D347" s="56"/>
      <c r="E347" s="56"/>
      <c r="F347" s="56"/>
      <c r="G347" s="56"/>
      <c r="H347" s="56"/>
      <c r="I347" s="56"/>
      <c r="Q347" s="122"/>
      <c r="R347" s="56" t="s">
        <v>651</v>
      </c>
      <c r="S347" s="56">
        <v>4</v>
      </c>
      <c r="T347" s="56">
        <v>1</v>
      </c>
      <c r="U347" s="84">
        <v>27</v>
      </c>
      <c r="V347" s="56">
        <f>SUM(S347:U347)</f>
        <v>32</v>
      </c>
    </row>
    <row r="348" spans="1:24" x14ac:dyDescent="0.35">
      <c r="B348" t="s">
        <v>1115</v>
      </c>
      <c r="C348" t="s">
        <v>1118</v>
      </c>
      <c r="D348" t="s">
        <v>1117</v>
      </c>
      <c r="E348" t="s">
        <v>1116</v>
      </c>
      <c r="F348" t="s">
        <v>1119</v>
      </c>
      <c r="G348" t="s">
        <v>930</v>
      </c>
      <c r="H348" s="56" t="s">
        <v>657</v>
      </c>
      <c r="I348" s="56" t="s">
        <v>1120</v>
      </c>
      <c r="J348" t="s">
        <v>423</v>
      </c>
      <c r="K348" s="56" t="s">
        <v>1042</v>
      </c>
      <c r="Q348" s="122"/>
      <c r="R348" s="56"/>
      <c r="S348" s="56"/>
      <c r="T348" s="56"/>
      <c r="U348" s="56"/>
      <c r="V348" s="56"/>
    </row>
    <row r="349" spans="1:24" x14ac:dyDescent="0.35">
      <c r="A349" t="s">
        <v>648</v>
      </c>
      <c r="B349" s="56">
        <v>19</v>
      </c>
      <c r="C349" s="56">
        <v>9</v>
      </c>
      <c r="D349">
        <v>8</v>
      </c>
      <c r="E349">
        <f>SUM(T346:U347)</f>
        <v>54</v>
      </c>
      <c r="F349" s="56">
        <f>B349+C349</f>
        <v>28</v>
      </c>
      <c r="G349" s="56">
        <f>SUM(B349,E349)/SUM(B349:E349)</f>
        <v>0.81111111111111112</v>
      </c>
      <c r="H349" s="56">
        <f>2*B349/(2*B349 + SUM(F349:F349))</f>
        <v>0.5757575757575758</v>
      </c>
      <c r="I349" s="56">
        <f>B349/(B349+C349)</f>
        <v>0.6785714285714286</v>
      </c>
      <c r="J349" s="56">
        <f>B349/(B349+D349)</f>
        <v>0.70370370370370372</v>
      </c>
      <c r="K349">
        <f>E349/SUM(D349:E349)</f>
        <v>0.87096774193548387</v>
      </c>
      <c r="L349" s="56"/>
      <c r="M349" s="56"/>
      <c r="N349" s="56"/>
      <c r="O349" s="56"/>
      <c r="P349" s="56"/>
      <c r="Q349" s="56"/>
      <c r="R349" s="56"/>
      <c r="S349" s="56"/>
      <c r="T349" s="56"/>
      <c r="U349" s="56"/>
      <c r="V349" s="56"/>
      <c r="X349" s="56"/>
    </row>
    <row r="350" spans="1:24" x14ac:dyDescent="0.35">
      <c r="A350" t="s">
        <v>653</v>
      </c>
      <c r="B350" s="56">
        <v>18</v>
      </c>
      <c r="C350" s="56">
        <v>12</v>
      </c>
      <c r="D350">
        <v>7</v>
      </c>
      <c r="E350">
        <f>SUM(S345,S347,U347,U345)</f>
        <v>53</v>
      </c>
      <c r="F350" s="56">
        <f>B350 + C350</f>
        <v>30</v>
      </c>
      <c r="G350" s="56">
        <f>SUM(B350,E350)/SUM(B350:E350)</f>
        <v>0.78888888888888886</v>
      </c>
      <c r="H350" s="56">
        <f>2*B350/(2*B350 + SUM(F350:F350))</f>
        <v>0.54545454545454541</v>
      </c>
      <c r="I350" s="56">
        <f>B350/(B350+C350)</f>
        <v>0.6</v>
      </c>
      <c r="J350" s="56">
        <f>B350/(B350+D350)</f>
        <v>0.72</v>
      </c>
      <c r="K350">
        <f>E350/SUM(D350:E350)</f>
        <v>0.8833333333333333</v>
      </c>
      <c r="L350" s="56"/>
      <c r="M350" s="56"/>
      <c r="N350" s="56"/>
      <c r="O350" s="56"/>
      <c r="P350" s="56"/>
      <c r="Q350" s="56"/>
      <c r="R350" s="56"/>
      <c r="S350" s="56"/>
      <c r="T350" s="56"/>
      <c r="U350" s="56"/>
      <c r="V350" s="56"/>
      <c r="W350" s="56"/>
    </row>
    <row r="351" spans="1:24" x14ac:dyDescent="0.35">
      <c r="A351" t="s">
        <v>651</v>
      </c>
      <c r="B351">
        <v>27</v>
      </c>
      <c r="C351">
        <v>5</v>
      </c>
      <c r="D351">
        <v>11</v>
      </c>
      <c r="E351">
        <f>SUM(S345:T346)</f>
        <v>47</v>
      </c>
      <c r="F351" s="56">
        <f>B351+C351</f>
        <v>32</v>
      </c>
      <c r="G351" s="56">
        <f>SUM(B351,E351)/SUM(B351:E351)</f>
        <v>0.82222222222222219</v>
      </c>
      <c r="H351" s="56">
        <f>2*B351/(2*B351 + SUM(F351:F351))</f>
        <v>0.62790697674418605</v>
      </c>
      <c r="I351" s="56">
        <f>B351/(B351+C351)</f>
        <v>0.84375</v>
      </c>
      <c r="J351" s="56">
        <f>B351/(B351+D351)</f>
        <v>0.71052631578947367</v>
      </c>
      <c r="K351">
        <f>E351/SUM(D351:E351)</f>
        <v>0.81034482758620685</v>
      </c>
      <c r="L351" s="56"/>
      <c r="M351" s="56"/>
      <c r="N351" s="56"/>
      <c r="O351" s="56"/>
      <c r="P351" s="56"/>
      <c r="Q351" s="56"/>
      <c r="R351" s="56"/>
      <c r="S351" s="56"/>
      <c r="T351" s="56"/>
      <c r="U351" s="56"/>
      <c r="V351" s="56"/>
      <c r="W351" s="56"/>
    </row>
    <row r="352" spans="1:24" x14ac:dyDescent="0.35">
      <c r="B352" s="56"/>
      <c r="C352" s="56"/>
      <c r="D352" s="56"/>
      <c r="E352" s="56"/>
      <c r="F352" s="56"/>
      <c r="G352" s="56"/>
      <c r="H352" s="56"/>
      <c r="I352" s="56"/>
      <c r="J352" s="85"/>
      <c r="K352" s="56"/>
      <c r="L352" s="56"/>
      <c r="M352" s="56"/>
      <c r="N352" s="56"/>
      <c r="O352" s="56"/>
      <c r="P352" s="56"/>
      <c r="Q352" s="56"/>
      <c r="R352" s="56"/>
      <c r="S352" s="56"/>
      <c r="T352" s="56"/>
      <c r="U352" s="56"/>
      <c r="V352" s="56"/>
      <c r="W352" s="56"/>
    </row>
    <row r="353" spans="2:19" x14ac:dyDescent="0.35">
      <c r="B353" s="56"/>
      <c r="C353" s="56"/>
      <c r="D353" s="56"/>
      <c r="E353" s="56"/>
      <c r="F353" s="56"/>
      <c r="G353" s="56"/>
      <c r="H353" s="56"/>
      <c r="I353" s="56"/>
      <c r="J353" s="83"/>
      <c r="K353" s="56"/>
      <c r="L353" s="56"/>
      <c r="M353" s="56"/>
      <c r="N353" s="56"/>
      <c r="O353" s="56"/>
      <c r="P353" s="56"/>
      <c r="Q353" s="56"/>
      <c r="R353" s="56"/>
      <c r="S353" s="56"/>
    </row>
    <row r="354" spans="2:19" x14ac:dyDescent="0.35">
      <c r="B354" s="56"/>
      <c r="C354" s="56"/>
      <c r="D354" s="117" t="s">
        <v>638</v>
      </c>
      <c r="E354" s="117"/>
      <c r="F354" s="117" t="s">
        <v>827</v>
      </c>
      <c r="G354" s="117"/>
      <c r="H354" s="56"/>
      <c r="K354" s="56"/>
      <c r="L354" s="56"/>
      <c r="M354" s="56"/>
      <c r="N354" s="56"/>
      <c r="O354" s="56"/>
      <c r="P354" s="56"/>
      <c r="Q354" s="56"/>
      <c r="R354" s="56"/>
    </row>
    <row r="355" spans="2:19" x14ac:dyDescent="0.35">
      <c r="B355" s="56"/>
      <c r="C355" s="56"/>
      <c r="D355" s="117" t="s">
        <v>828</v>
      </c>
      <c r="E355" s="117"/>
      <c r="F355" s="117" t="s">
        <v>643</v>
      </c>
      <c r="G355" s="117"/>
      <c r="H355" s="56"/>
      <c r="K355" s="56"/>
      <c r="L355" s="56"/>
      <c r="M355" s="56"/>
      <c r="N355" s="56"/>
      <c r="O355" s="56"/>
      <c r="P355" s="56"/>
      <c r="Q355" s="56"/>
      <c r="R355" s="56"/>
    </row>
    <row r="356" spans="2:19" x14ac:dyDescent="0.35">
      <c r="B356" s="56"/>
      <c r="C356" s="56"/>
      <c r="D356" s="117" t="s">
        <v>648</v>
      </c>
      <c r="E356" s="117"/>
      <c r="F356" s="56" t="s">
        <v>653</v>
      </c>
      <c r="G356" s="56" t="s">
        <v>651</v>
      </c>
      <c r="K356" s="56"/>
      <c r="N356" s="56"/>
      <c r="O356" s="56"/>
      <c r="P356" s="56"/>
      <c r="Q356" s="56"/>
      <c r="R356" s="56"/>
    </row>
    <row r="357" spans="2:19" x14ac:dyDescent="0.35">
      <c r="B357" s="117" t="s">
        <v>417</v>
      </c>
      <c r="C357" s="117"/>
      <c r="D357" s="117">
        <v>0.81111111111111112</v>
      </c>
      <c r="E357" s="117"/>
      <c r="F357" s="56">
        <f>SUM(B350,E350)/SUM(B350:E350)</f>
        <v>0.78888888888888886</v>
      </c>
      <c r="G357" s="56">
        <f>SUM(B351,E351)/SUM(B351:E351)</f>
        <v>0.82222222222222219</v>
      </c>
      <c r="K357" s="56"/>
      <c r="N357" s="56"/>
      <c r="O357" s="56"/>
      <c r="P357" s="56"/>
      <c r="Q357" s="56"/>
      <c r="R357" s="56"/>
    </row>
    <row r="358" spans="2:19" x14ac:dyDescent="0.35">
      <c r="B358" s="117" t="s">
        <v>1122</v>
      </c>
      <c r="C358" s="117"/>
      <c r="D358" s="117">
        <v>0.5757575757575758</v>
      </c>
      <c r="E358" s="117"/>
      <c r="F358" s="56">
        <f>2*B350/(2*B350 + SUM(F350:F350))</f>
        <v>0.54545454545454541</v>
      </c>
      <c r="G358" s="56">
        <f>2*B351/(2*B351 + SUM(F351:F351))</f>
        <v>0.62790697674418605</v>
      </c>
      <c r="K358" s="56"/>
      <c r="N358" s="56"/>
      <c r="O358" s="56"/>
      <c r="P358" s="56"/>
      <c r="Q358" s="56"/>
      <c r="R358" s="56"/>
    </row>
    <row r="359" spans="2:19" x14ac:dyDescent="0.35">
      <c r="B359" s="117" t="s">
        <v>1123</v>
      </c>
      <c r="C359" s="117"/>
      <c r="D359" s="117">
        <v>0.6785714285714286</v>
      </c>
      <c r="E359" s="117"/>
      <c r="F359" s="56">
        <f>B350/(B350+C350)</f>
        <v>0.6</v>
      </c>
      <c r="G359" s="56">
        <f>B351/(B351+C351)</f>
        <v>0.84375</v>
      </c>
      <c r="K359" s="56"/>
      <c r="N359" s="56"/>
      <c r="O359" s="56"/>
      <c r="P359" s="56"/>
      <c r="Q359" s="56"/>
      <c r="R359" s="56"/>
    </row>
    <row r="360" spans="2:19" x14ac:dyDescent="0.35">
      <c r="B360" s="117" t="s">
        <v>423</v>
      </c>
      <c r="C360" s="117"/>
      <c r="D360" s="117">
        <v>0.70370370370370372</v>
      </c>
      <c r="E360" s="117"/>
      <c r="F360" s="56">
        <f>B350/(B350+D350)</f>
        <v>0.72</v>
      </c>
      <c r="G360" s="56">
        <f>B351/(B351+D351)</f>
        <v>0.71052631578947367</v>
      </c>
      <c r="K360" s="56"/>
      <c r="N360" s="56"/>
      <c r="O360" s="56"/>
      <c r="P360" s="56"/>
      <c r="Q360" s="56"/>
      <c r="R360" s="56"/>
    </row>
    <row r="361" spans="2:19" x14ac:dyDescent="0.35">
      <c r="B361" s="117" t="s">
        <v>418</v>
      </c>
      <c r="C361" s="117"/>
      <c r="D361" s="117">
        <v>0.87096774193548387</v>
      </c>
      <c r="E361" s="117"/>
      <c r="F361" s="56">
        <f>E350/SUM(D350:E350)</f>
        <v>0.8833333333333333</v>
      </c>
      <c r="G361" s="56">
        <f>E351/SUM(D351:E351)</f>
        <v>0.81034482758620685</v>
      </c>
      <c r="K361" s="56"/>
      <c r="N361" s="56"/>
      <c r="O361" s="56"/>
      <c r="P361" s="56"/>
      <c r="Q361" s="56"/>
      <c r="R361" s="56"/>
    </row>
    <row r="362" spans="2:19" x14ac:dyDescent="0.35">
      <c r="B362" s="56"/>
      <c r="C362" s="56"/>
      <c r="D362" s="56"/>
      <c r="E362" s="56"/>
      <c r="F362" s="56"/>
      <c r="G362" s="56"/>
      <c r="H362" s="56"/>
      <c r="I362" s="56"/>
      <c r="J362" s="56"/>
      <c r="K362" s="56"/>
      <c r="L362" s="56"/>
      <c r="M362" s="56"/>
      <c r="N362" s="56"/>
      <c r="O362" s="56"/>
      <c r="P362" s="56"/>
      <c r="Q362" s="56"/>
      <c r="R362" s="56"/>
    </row>
    <row r="363" spans="2:19" x14ac:dyDescent="0.35">
      <c r="D363" s="56"/>
      <c r="E363" s="56"/>
      <c r="F363" s="56"/>
      <c r="G363" s="56"/>
      <c r="H363" s="56"/>
      <c r="I363" s="56"/>
      <c r="J363" s="56"/>
      <c r="K363" s="56"/>
      <c r="L363" s="56"/>
      <c r="M363" s="56"/>
      <c r="N363" s="56"/>
      <c r="O363" s="56"/>
      <c r="P363" s="56"/>
      <c r="Q363" s="56"/>
      <c r="R363" s="56"/>
    </row>
    <row r="364" spans="2:19" x14ac:dyDescent="0.35">
      <c r="B364" s="118" t="s">
        <v>1126</v>
      </c>
      <c r="C364" s="118"/>
      <c r="D364" s="119">
        <f>SUM(D357:D357)/1</f>
        <v>0.81111111111111112</v>
      </c>
      <c r="E364" s="119"/>
      <c r="F364" s="119"/>
      <c r="G364" s="77"/>
      <c r="H364" s="119">
        <f>SUM(F357:G357)/2</f>
        <v>0.80555555555555558</v>
      </c>
      <c r="I364" s="119"/>
      <c r="J364" s="119"/>
    </row>
    <row r="365" spans="2:19" x14ac:dyDescent="0.35">
      <c r="B365" s="120" t="s">
        <v>1124</v>
      </c>
      <c r="C365" s="120"/>
      <c r="D365" s="119">
        <f>SUM(D358:D358)/1</f>
        <v>0.5757575757575758</v>
      </c>
      <c r="E365" s="119"/>
      <c r="F365" s="119"/>
      <c r="G365" s="76"/>
      <c r="H365" s="119">
        <f>SUM(F358:G358)/2</f>
        <v>0.58668076109936573</v>
      </c>
      <c r="I365" s="119"/>
      <c r="J365" s="119"/>
      <c r="K365" s="56"/>
      <c r="L365" s="56"/>
      <c r="M365" s="56"/>
      <c r="N365" s="56"/>
      <c r="O365" s="56"/>
      <c r="P365" s="56"/>
      <c r="Q365" s="56"/>
      <c r="R365" s="56"/>
    </row>
    <row r="366" spans="2:19" x14ac:dyDescent="0.35">
      <c r="B366" s="118" t="s">
        <v>1127</v>
      </c>
      <c r="C366" s="118"/>
      <c r="D366" s="119">
        <f>SUM(D359:D359)/1</f>
        <v>0.6785714285714286</v>
      </c>
      <c r="E366" s="119"/>
      <c r="F366" s="119"/>
      <c r="G366" s="77"/>
      <c r="H366" s="119">
        <f>SUM(F359:G359)/2</f>
        <v>0.72187500000000004</v>
      </c>
      <c r="I366" s="119"/>
      <c r="J366" s="119"/>
    </row>
    <row r="367" spans="2:19" x14ac:dyDescent="0.35">
      <c r="B367" s="118" t="s">
        <v>1128</v>
      </c>
      <c r="C367" s="118"/>
      <c r="D367" s="119">
        <f>SUM(D360:D360)/1</f>
        <v>0.70370370370370372</v>
      </c>
      <c r="E367" s="119"/>
      <c r="F367" s="119"/>
      <c r="G367" s="77"/>
      <c r="H367" s="119">
        <f>SUM(F360:G360)/2</f>
        <v>0.71526315789473682</v>
      </c>
      <c r="I367" s="119"/>
      <c r="J367" s="119"/>
    </row>
    <row r="368" spans="2:19" x14ac:dyDescent="0.35">
      <c r="B368" s="118" t="s">
        <v>1129</v>
      </c>
      <c r="C368" s="118"/>
      <c r="D368" s="119">
        <f>SUM(D361:D361)/1</f>
        <v>0.87096774193548387</v>
      </c>
      <c r="E368" s="119"/>
      <c r="F368" s="119"/>
      <c r="G368" s="77"/>
      <c r="H368" s="119">
        <f>SUM(F361:G361)/2</f>
        <v>0.84683908045977008</v>
      </c>
      <c r="I368" s="119"/>
      <c r="J368" s="119"/>
    </row>
    <row r="370" spans="1:20" s="77" customFormat="1" ht="14.25" customHeight="1" x14ac:dyDescent="0.35">
      <c r="A370" s="77">
        <v>77</v>
      </c>
      <c r="B370" s="77" t="s">
        <v>1158</v>
      </c>
      <c r="C370" s="77">
        <v>2017</v>
      </c>
      <c r="D370" s="86" t="s">
        <v>1159</v>
      </c>
      <c r="E370" s="77" t="s">
        <v>891</v>
      </c>
      <c r="F370" s="77" t="s">
        <v>1160</v>
      </c>
      <c r="G370" s="77" t="s">
        <v>1155</v>
      </c>
      <c r="H370" s="77" t="s">
        <v>37</v>
      </c>
      <c r="I370" s="77" t="s">
        <v>1161</v>
      </c>
      <c r="J370" s="77" t="s">
        <v>132</v>
      </c>
      <c r="K370" s="77" t="s">
        <v>808</v>
      </c>
      <c r="L370" s="77" t="s">
        <v>808</v>
      </c>
      <c r="M370" s="77" t="s">
        <v>808</v>
      </c>
      <c r="N370" s="77" t="s">
        <v>808</v>
      </c>
      <c r="O370" s="77" t="s">
        <v>808</v>
      </c>
      <c r="P370" s="77" t="s">
        <v>808</v>
      </c>
      <c r="Q370" s="77" t="s">
        <v>808</v>
      </c>
      <c r="R370" s="77" t="s">
        <v>1156</v>
      </c>
      <c r="S370" s="77" t="s">
        <v>926</v>
      </c>
      <c r="T370" s="77" t="s">
        <v>1162</v>
      </c>
    </row>
    <row r="372" spans="1:20" x14ac:dyDescent="0.35">
      <c r="D372" t="s">
        <v>138</v>
      </c>
    </row>
    <row r="373" spans="1:20" x14ac:dyDescent="0.35">
      <c r="B373" s="56"/>
      <c r="C373" s="56" t="s">
        <v>657</v>
      </c>
      <c r="D373" s="121" t="s">
        <v>638</v>
      </c>
      <c r="E373" s="121"/>
      <c r="F373" s="121"/>
      <c r="G373" s="56"/>
      <c r="H373" s="121" t="s">
        <v>827</v>
      </c>
      <c r="I373" s="121"/>
      <c r="J373" s="121"/>
      <c r="K373" s="121"/>
    </row>
    <row r="374" spans="1:20" x14ac:dyDescent="0.35">
      <c r="B374" s="56"/>
      <c r="C374" s="56"/>
      <c r="D374" s="121" t="s">
        <v>828</v>
      </c>
      <c r="E374" s="121"/>
      <c r="F374" s="121"/>
      <c r="G374" s="56"/>
      <c r="H374" s="121" t="s">
        <v>643</v>
      </c>
      <c r="I374" s="121"/>
      <c r="J374" s="121"/>
      <c r="K374" s="121"/>
    </row>
    <row r="375" spans="1:20" x14ac:dyDescent="0.35">
      <c r="B375" s="56"/>
      <c r="C375" s="56"/>
      <c r="D375" s="56" t="s">
        <v>649</v>
      </c>
      <c r="E375" s="56" t="s">
        <v>668</v>
      </c>
      <c r="F375" s="56" t="s">
        <v>1027</v>
      </c>
      <c r="G375" s="56"/>
      <c r="H375" s="56" t="s">
        <v>832</v>
      </c>
      <c r="I375" s="56" t="s">
        <v>846</v>
      </c>
      <c r="J375" s="56" t="s">
        <v>833</v>
      </c>
      <c r="K375" s="56" t="s">
        <v>847</v>
      </c>
    </row>
    <row r="376" spans="1:20" x14ac:dyDescent="0.35">
      <c r="B376" s="121" t="s">
        <v>470</v>
      </c>
      <c r="C376" s="121"/>
      <c r="D376" s="56">
        <v>72.62</v>
      </c>
      <c r="E376" s="56">
        <v>37.68</v>
      </c>
      <c r="F376" s="56">
        <v>27.49</v>
      </c>
      <c r="G376" s="56"/>
      <c r="H376" s="56">
        <v>0</v>
      </c>
      <c r="I376" s="56">
        <v>0</v>
      </c>
      <c r="J376" s="56">
        <v>20.71</v>
      </c>
      <c r="K376" s="56">
        <v>0</v>
      </c>
    </row>
    <row r="377" spans="1:20" x14ac:dyDescent="0.35">
      <c r="B377" s="121" t="s">
        <v>1163</v>
      </c>
      <c r="C377" s="121"/>
      <c r="D377" s="56">
        <v>72.63</v>
      </c>
      <c r="E377" s="56">
        <v>38.26</v>
      </c>
      <c r="F377" s="56">
        <v>31.64</v>
      </c>
      <c r="G377" s="56"/>
      <c r="H377" s="56">
        <v>0.95</v>
      </c>
      <c r="I377" s="56">
        <v>0</v>
      </c>
      <c r="J377" s="56">
        <v>34</v>
      </c>
      <c r="K377" s="56">
        <v>0</v>
      </c>
    </row>
    <row r="378" spans="1:20" x14ac:dyDescent="0.35">
      <c r="B378" s="56"/>
      <c r="C378" s="56"/>
      <c r="D378" s="56"/>
      <c r="E378" s="56"/>
      <c r="F378" s="56"/>
      <c r="G378" s="56"/>
      <c r="H378" s="56"/>
      <c r="I378" s="56"/>
      <c r="J378" s="56"/>
      <c r="K378" s="56"/>
    </row>
    <row r="379" spans="1:20" ht="15" customHeight="1" x14ac:dyDescent="0.35">
      <c r="B379" s="121" t="s">
        <v>1029</v>
      </c>
      <c r="C379" s="121"/>
      <c r="D379" s="56"/>
      <c r="E379" s="56"/>
      <c r="F379" s="56"/>
      <c r="G379" s="56"/>
      <c r="H379" s="56"/>
      <c r="I379" s="56"/>
      <c r="J379" s="56"/>
      <c r="K379" s="56"/>
    </row>
    <row r="380" spans="1:20" ht="15" customHeight="1" x14ac:dyDescent="0.35">
      <c r="B380" s="121" t="s">
        <v>470</v>
      </c>
      <c r="C380" s="121"/>
      <c r="D380" s="121">
        <f>SUM(D376:F376)/3</f>
        <v>45.930000000000007</v>
      </c>
      <c r="E380" s="121"/>
      <c r="F380" s="121"/>
      <c r="G380" s="56"/>
      <c r="H380" s="121">
        <f>SUM(H376:K376)/4</f>
        <v>5.1775000000000002</v>
      </c>
      <c r="I380" s="121"/>
      <c r="J380" s="121"/>
      <c r="K380" s="121"/>
    </row>
    <row r="381" spans="1:20" ht="15" customHeight="1" x14ac:dyDescent="0.35">
      <c r="B381" s="121" t="s">
        <v>1163</v>
      </c>
      <c r="C381" s="121"/>
      <c r="D381" s="121">
        <f>SUM(D377:F377)/3</f>
        <v>47.509999999999991</v>
      </c>
      <c r="E381" s="121"/>
      <c r="F381" s="121"/>
      <c r="G381" s="56"/>
      <c r="H381" s="121">
        <f>SUM(H377:K377)/4</f>
        <v>8.7375000000000007</v>
      </c>
      <c r="I381" s="121"/>
      <c r="J381" s="121"/>
      <c r="K381" s="121"/>
    </row>
    <row r="383" spans="1:20" s="77" customFormat="1" ht="15" customHeight="1" x14ac:dyDescent="0.35">
      <c r="A383" s="77">
        <v>78</v>
      </c>
      <c r="B383" s="77" t="s">
        <v>1164</v>
      </c>
      <c r="C383" s="77">
        <v>2022</v>
      </c>
      <c r="D383" s="77" t="s">
        <v>1165</v>
      </c>
      <c r="E383" s="77" t="s">
        <v>891</v>
      </c>
      <c r="F383" s="77" t="s">
        <v>305</v>
      </c>
      <c r="G383" s="76" t="s">
        <v>1166</v>
      </c>
      <c r="H383" s="77" t="s">
        <v>301</v>
      </c>
      <c r="I383" s="77" t="s">
        <v>1167</v>
      </c>
      <c r="J383" s="77" t="s">
        <v>303</v>
      </c>
      <c r="K383" s="77" t="s">
        <v>808</v>
      </c>
      <c r="L383" s="77" t="s">
        <v>808</v>
      </c>
      <c r="M383" s="77" t="s">
        <v>808</v>
      </c>
      <c r="N383" s="77" t="s">
        <v>808</v>
      </c>
      <c r="O383" s="77" t="s">
        <v>808</v>
      </c>
      <c r="P383" s="77" t="s">
        <v>808</v>
      </c>
      <c r="Q383" s="77" t="s">
        <v>808</v>
      </c>
      <c r="R383" s="77" t="s">
        <v>1156</v>
      </c>
      <c r="S383" s="77" t="s">
        <v>926</v>
      </c>
      <c r="T383" s="77" t="s">
        <v>1168</v>
      </c>
    </row>
    <row r="385" spans="2:5" x14ac:dyDescent="0.35">
      <c r="C385" t="s">
        <v>656</v>
      </c>
      <c r="D385" t="s">
        <v>1169</v>
      </c>
    </row>
    <row r="386" spans="2:5" x14ac:dyDescent="0.35">
      <c r="B386" t="s">
        <v>331</v>
      </c>
      <c r="C386">
        <v>6654</v>
      </c>
      <c r="D386">
        <v>17112</v>
      </c>
      <c r="E386">
        <f>SUM(C386:D386)</f>
        <v>23766</v>
      </c>
    </row>
    <row r="387" spans="2:5" x14ac:dyDescent="0.35">
      <c r="B387" t="s">
        <v>37</v>
      </c>
      <c r="C387">
        <v>1305</v>
      </c>
      <c r="D387">
        <v>8734</v>
      </c>
      <c r="E387">
        <f>SUM(C387:D387)</f>
        <v>10039</v>
      </c>
    </row>
  </sheetData>
  <mergeCells count="361">
    <mergeCell ref="B380:C380"/>
    <mergeCell ref="D380:F380"/>
    <mergeCell ref="H380:K380"/>
    <mergeCell ref="B381:C381"/>
    <mergeCell ref="D381:F381"/>
    <mergeCell ref="H381:K381"/>
    <mergeCell ref="D373:F373"/>
    <mergeCell ref="H373:K373"/>
    <mergeCell ref="D374:F374"/>
    <mergeCell ref="H374:K374"/>
    <mergeCell ref="B376:C376"/>
    <mergeCell ref="B377:C377"/>
    <mergeCell ref="B379:C379"/>
    <mergeCell ref="N336:P336"/>
    <mergeCell ref="H337:I337"/>
    <mergeCell ref="J337:L337"/>
    <mergeCell ref="N337:P337"/>
    <mergeCell ref="H338:I338"/>
    <mergeCell ref="J338:L338"/>
    <mergeCell ref="N338:P338"/>
    <mergeCell ref="H314:H321"/>
    <mergeCell ref="H326:I326"/>
    <mergeCell ref="H327:I327"/>
    <mergeCell ref="H328:I328"/>
    <mergeCell ref="H334:I334"/>
    <mergeCell ref="J334:L334"/>
    <mergeCell ref="N334:P334"/>
    <mergeCell ref="H335:I335"/>
    <mergeCell ref="J335:L335"/>
    <mergeCell ref="N335:P335"/>
    <mergeCell ref="H336:I336"/>
    <mergeCell ref="J336:L336"/>
    <mergeCell ref="J302:N302"/>
    <mergeCell ref="J312:M312"/>
    <mergeCell ref="H329:I329"/>
    <mergeCell ref="H330:I330"/>
    <mergeCell ref="H333:I333"/>
    <mergeCell ref="J333:L333"/>
    <mergeCell ref="N333:P333"/>
    <mergeCell ref="J324:N324"/>
    <mergeCell ref="J323:N323"/>
    <mergeCell ref="O323:S323"/>
    <mergeCell ref="O324:S324"/>
    <mergeCell ref="K305:M305"/>
    <mergeCell ref="K303:M303"/>
    <mergeCell ref="K304:M304"/>
    <mergeCell ref="K306:M306"/>
    <mergeCell ref="A254:G285"/>
    <mergeCell ref="N282:P282"/>
    <mergeCell ref="N283:P283"/>
    <mergeCell ref="N284:P284"/>
    <mergeCell ref="N285:P285"/>
    <mergeCell ref="H282:I282"/>
    <mergeCell ref="H283:I283"/>
    <mergeCell ref="H284:I284"/>
    <mergeCell ref="H285:I285"/>
    <mergeCell ref="J282:L282"/>
    <mergeCell ref="J283:L283"/>
    <mergeCell ref="J284:L284"/>
    <mergeCell ref="J285:L285"/>
    <mergeCell ref="J261:M261"/>
    <mergeCell ref="H263:H266"/>
    <mergeCell ref="H274:I274"/>
    <mergeCell ref="H277:I277"/>
    <mergeCell ref="H281:I281"/>
    <mergeCell ref="J281:L281"/>
    <mergeCell ref="N281:P281"/>
    <mergeCell ref="N280:P280"/>
    <mergeCell ref="J255:N255"/>
    <mergeCell ref="J270:L270"/>
    <mergeCell ref="N270:Q270"/>
    <mergeCell ref="R270:S270"/>
    <mergeCell ref="J271:L271"/>
    <mergeCell ref="N271:Q271"/>
    <mergeCell ref="R271:S271"/>
    <mergeCell ref="R272:S272"/>
    <mergeCell ref="H273:I273"/>
    <mergeCell ref="R273:S273"/>
    <mergeCell ref="H275:I275"/>
    <mergeCell ref="H280:I280"/>
    <mergeCell ref="H276:I276"/>
    <mergeCell ref="J280:L280"/>
    <mergeCell ref="H251:I251"/>
    <mergeCell ref="J251:L251"/>
    <mergeCell ref="N251:Q251"/>
    <mergeCell ref="F1:I1"/>
    <mergeCell ref="R245:S245"/>
    <mergeCell ref="H246:I246"/>
    <mergeCell ref="R246:S246"/>
    <mergeCell ref="H248:I248"/>
    <mergeCell ref="H249:I249"/>
    <mergeCell ref="J249:L249"/>
    <mergeCell ref="N249:Q249"/>
    <mergeCell ref="R241:S241"/>
    <mergeCell ref="J242:L242"/>
    <mergeCell ref="N242:Q242"/>
    <mergeCell ref="R242:S242"/>
    <mergeCell ref="R243:S243"/>
    <mergeCell ref="H244:I244"/>
    <mergeCell ref="R244:S244"/>
    <mergeCell ref="K232:Q232"/>
    <mergeCell ref="K234:L234"/>
    <mergeCell ref="A238:G252"/>
    <mergeCell ref="J239:N239"/>
    <mergeCell ref="J241:L241"/>
    <mergeCell ref="N241:Q241"/>
    <mergeCell ref="H245:I245"/>
    <mergeCell ref="H250:I250"/>
    <mergeCell ref="J250:L250"/>
    <mergeCell ref="N250:Q250"/>
    <mergeCell ref="N223:Q223"/>
    <mergeCell ref="J224:L224"/>
    <mergeCell ref="N224:Q224"/>
    <mergeCell ref="J229:L229"/>
    <mergeCell ref="N229:P229"/>
    <mergeCell ref="J230:L230"/>
    <mergeCell ref="N230:P230"/>
    <mergeCell ref="K209:N209"/>
    <mergeCell ref="L210:N210"/>
    <mergeCell ref="L211:N211"/>
    <mergeCell ref="A215:H235"/>
    <mergeCell ref="K216:Q216"/>
    <mergeCell ref="K218:L218"/>
    <mergeCell ref="K220:Q220"/>
    <mergeCell ref="I221:J221"/>
    <mergeCell ref="I222:J222"/>
    <mergeCell ref="J223:L223"/>
    <mergeCell ref="M174:O174"/>
    <mergeCell ref="K175:Q175"/>
    <mergeCell ref="M176:O176"/>
    <mergeCell ref="M177:O177"/>
    <mergeCell ref="K196:Q196"/>
    <mergeCell ref="K197:L197"/>
    <mergeCell ref="M197:O197"/>
    <mergeCell ref="A200:J212"/>
    <mergeCell ref="K201:N201"/>
    <mergeCell ref="L202:N202"/>
    <mergeCell ref="L203:N203"/>
    <mergeCell ref="K205:N205"/>
    <mergeCell ref="L206:N206"/>
    <mergeCell ref="L207:N207"/>
    <mergeCell ref="A188:J198"/>
    <mergeCell ref="K189:Q189"/>
    <mergeCell ref="K190:L190"/>
    <mergeCell ref="M190:O190"/>
    <mergeCell ref="K192:L192"/>
    <mergeCell ref="K193:L193"/>
    <mergeCell ref="K194:L194"/>
    <mergeCell ref="M194:N194"/>
    <mergeCell ref="O194:P194"/>
    <mergeCell ref="K195:L195"/>
    <mergeCell ref="K166:Q166"/>
    <mergeCell ref="M167:O167"/>
    <mergeCell ref="M168:O168"/>
    <mergeCell ref="K169:Q169"/>
    <mergeCell ref="M170:O170"/>
    <mergeCell ref="M171:O171"/>
    <mergeCell ref="A154:J185"/>
    <mergeCell ref="K155:Q155"/>
    <mergeCell ref="M156:O156"/>
    <mergeCell ref="M157:O157"/>
    <mergeCell ref="K159:Q159"/>
    <mergeCell ref="M160:O160"/>
    <mergeCell ref="M161:O161"/>
    <mergeCell ref="K163:Q163"/>
    <mergeCell ref="M164:O164"/>
    <mergeCell ref="M165:O165"/>
    <mergeCell ref="K178:Q178"/>
    <mergeCell ref="M179:O179"/>
    <mergeCell ref="M180:O180"/>
    <mergeCell ref="K182:Q182"/>
    <mergeCell ref="M183:O183"/>
    <mergeCell ref="M184:O184"/>
    <mergeCell ref="K172:Q172"/>
    <mergeCell ref="M173:O173"/>
    <mergeCell ref="P144:S144"/>
    <mergeCell ref="A147:K151"/>
    <mergeCell ref="L148:M148"/>
    <mergeCell ref="N148:Q148"/>
    <mergeCell ref="R148:U148"/>
    <mergeCell ref="L150:M150"/>
    <mergeCell ref="J142:K142"/>
    <mergeCell ref="L142:N142"/>
    <mergeCell ref="P142:S142"/>
    <mergeCell ref="J143:K143"/>
    <mergeCell ref="L143:N143"/>
    <mergeCell ref="P143:S143"/>
    <mergeCell ref="K128:O128"/>
    <mergeCell ref="A130:I144"/>
    <mergeCell ref="L130:P130"/>
    <mergeCell ref="L132:N132"/>
    <mergeCell ref="P132:S132"/>
    <mergeCell ref="T132:U132"/>
    <mergeCell ref="L133:N133"/>
    <mergeCell ref="P133:S133"/>
    <mergeCell ref="T133:U133"/>
    <mergeCell ref="T134:U134"/>
    <mergeCell ref="J138:K138"/>
    <mergeCell ref="T138:U138"/>
    <mergeCell ref="J140:K140"/>
    <mergeCell ref="J141:K141"/>
    <mergeCell ref="L141:N141"/>
    <mergeCell ref="P141:S141"/>
    <mergeCell ref="J135:K135"/>
    <mergeCell ref="T135:U135"/>
    <mergeCell ref="J136:K136"/>
    <mergeCell ref="T136:U136"/>
    <mergeCell ref="J137:K137"/>
    <mergeCell ref="T137:U137"/>
    <mergeCell ref="J144:K144"/>
    <mergeCell ref="L144:N144"/>
    <mergeCell ref="A121:G127"/>
    <mergeCell ref="H122:K122"/>
    <mergeCell ref="L122:P122"/>
    <mergeCell ref="R122:U122"/>
    <mergeCell ref="J123:K123"/>
    <mergeCell ref="J124:K124"/>
    <mergeCell ref="J125:K125"/>
    <mergeCell ref="J126:K126"/>
    <mergeCell ref="A112:I118"/>
    <mergeCell ref="J113:K113"/>
    <mergeCell ref="L113:N113"/>
    <mergeCell ref="O113:Q113"/>
    <mergeCell ref="J114:K114"/>
    <mergeCell ref="J115:K115"/>
    <mergeCell ref="J116:K116"/>
    <mergeCell ref="J117:K117"/>
    <mergeCell ref="J118:K118"/>
    <mergeCell ref="O107:Q107"/>
    <mergeCell ref="I108:J109"/>
    <mergeCell ref="L108:N108"/>
    <mergeCell ref="O108:Q108"/>
    <mergeCell ref="L109:N109"/>
    <mergeCell ref="O109:Q109"/>
    <mergeCell ref="I100:K100"/>
    <mergeCell ref="I101:K101"/>
    <mergeCell ref="A105:F109"/>
    <mergeCell ref="G105:J105"/>
    <mergeCell ref="K105:N105"/>
    <mergeCell ref="O105:Q105"/>
    <mergeCell ref="I106:J107"/>
    <mergeCell ref="L106:N106"/>
    <mergeCell ref="O106:Q106"/>
    <mergeCell ref="L107:N107"/>
    <mergeCell ref="A92:H102"/>
    <mergeCell ref="J92:K92"/>
    <mergeCell ref="L92:M92"/>
    <mergeCell ref="N92:P92"/>
    <mergeCell ref="J94:K94"/>
    <mergeCell ref="J95:K95"/>
    <mergeCell ref="J96:K96"/>
    <mergeCell ref="J97:K97"/>
    <mergeCell ref="I99:K99"/>
    <mergeCell ref="A76:L85"/>
    <mergeCell ref="N76:Q76"/>
    <mergeCell ref="N77:Q77"/>
    <mergeCell ref="N78:Q78"/>
    <mergeCell ref="N79:Q79"/>
    <mergeCell ref="N80:Q80"/>
    <mergeCell ref="N81:Q81"/>
    <mergeCell ref="N82:Q82"/>
    <mergeCell ref="N83:Q83"/>
    <mergeCell ref="N84:Q84"/>
    <mergeCell ref="U66:W66"/>
    <mergeCell ref="U67:W67"/>
    <mergeCell ref="U68:W68"/>
    <mergeCell ref="U69:W69"/>
    <mergeCell ref="M71:P71"/>
    <mergeCell ref="Q71:S71"/>
    <mergeCell ref="N56:Q56"/>
    <mergeCell ref="N57:Q57"/>
    <mergeCell ref="I98:K98"/>
    <mergeCell ref="A7:K48"/>
    <mergeCell ref="L7:S7"/>
    <mergeCell ref="L40:N40"/>
    <mergeCell ref="P40:T40"/>
    <mergeCell ref="L41:N41"/>
    <mergeCell ref="P41:T41"/>
    <mergeCell ref="M45:O45"/>
    <mergeCell ref="Q45:T45"/>
    <mergeCell ref="U65:W65"/>
    <mergeCell ref="V10:X10"/>
    <mergeCell ref="L11:O11"/>
    <mergeCell ref="P11:S11"/>
    <mergeCell ref="L12:N12"/>
    <mergeCell ref="M16:O16"/>
    <mergeCell ref="P16:R16"/>
    <mergeCell ref="M17:O17"/>
    <mergeCell ref="P17:R17"/>
    <mergeCell ref="A63:L71"/>
    <mergeCell ref="M63:T63"/>
    <mergeCell ref="M64:P64"/>
    <mergeCell ref="Q64:T64"/>
    <mergeCell ref="M65:P65"/>
    <mergeCell ref="Q65:T65"/>
    <mergeCell ref="M46:O46"/>
    <mergeCell ref="L19:S19"/>
    <mergeCell ref="V23:X23"/>
    <mergeCell ref="L24:O24"/>
    <mergeCell ref="P24:S24"/>
    <mergeCell ref="L25:O25"/>
    <mergeCell ref="P25:S25"/>
    <mergeCell ref="M33:O33"/>
    <mergeCell ref="Q33:S33"/>
    <mergeCell ref="M34:O34"/>
    <mergeCell ref="Q34:S34"/>
    <mergeCell ref="D342:H342"/>
    <mergeCell ref="E343:G343"/>
    <mergeCell ref="E344:G344"/>
    <mergeCell ref="E345:G345"/>
    <mergeCell ref="E346:G346"/>
    <mergeCell ref="Q344:Q348"/>
    <mergeCell ref="H286:I286"/>
    <mergeCell ref="V39:X39"/>
    <mergeCell ref="M29:O29"/>
    <mergeCell ref="Q29:S29"/>
    <mergeCell ref="M30:O30"/>
    <mergeCell ref="Q30:S30"/>
    <mergeCell ref="M32:O32"/>
    <mergeCell ref="Q32:S32"/>
    <mergeCell ref="L36:T36"/>
    <mergeCell ref="Q46:T46"/>
    <mergeCell ref="M47:O47"/>
    <mergeCell ref="Q47:T47"/>
    <mergeCell ref="A50:L58"/>
    <mergeCell ref="N51:R51"/>
    <mergeCell ref="N52:Q52"/>
    <mergeCell ref="N53:Q53"/>
    <mergeCell ref="N54:Q54"/>
    <mergeCell ref="N55:R55"/>
    <mergeCell ref="B357:C357"/>
    <mergeCell ref="B358:C358"/>
    <mergeCell ref="B359:C359"/>
    <mergeCell ref="B360:C360"/>
    <mergeCell ref="B361:C361"/>
    <mergeCell ref="B365:C365"/>
    <mergeCell ref="D365:F365"/>
    <mergeCell ref="D360:E360"/>
    <mergeCell ref="D361:E361"/>
    <mergeCell ref="B367:C367"/>
    <mergeCell ref="D367:F367"/>
    <mergeCell ref="H367:J367"/>
    <mergeCell ref="B368:C368"/>
    <mergeCell ref="D368:F368"/>
    <mergeCell ref="H368:J368"/>
    <mergeCell ref="D364:F364"/>
    <mergeCell ref="H365:J365"/>
    <mergeCell ref="B364:C364"/>
    <mergeCell ref="H364:J364"/>
    <mergeCell ref="B366:C366"/>
    <mergeCell ref="D366:F366"/>
    <mergeCell ref="H366:J366"/>
    <mergeCell ref="Q343:V343"/>
    <mergeCell ref="D354:E354"/>
    <mergeCell ref="D355:E355"/>
    <mergeCell ref="D356:E356"/>
    <mergeCell ref="D357:E357"/>
    <mergeCell ref="D358:E358"/>
    <mergeCell ref="D359:E359"/>
    <mergeCell ref="F354:G354"/>
    <mergeCell ref="F355:G35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8EBD-7AFB-4F06-A584-6FCBD353B8C0}">
  <dimension ref="A1:M10"/>
  <sheetViews>
    <sheetView workbookViewId="0">
      <selection activeCell="A9" sqref="A9:XFD9"/>
    </sheetView>
  </sheetViews>
  <sheetFormatPr defaultRowHeight="14.5" x14ac:dyDescent="0.35"/>
  <cols>
    <col min="1" max="1" width="16.54296875" customWidth="1"/>
    <col min="2" max="2" width="20.26953125" customWidth="1"/>
    <col min="3" max="3" width="15" customWidth="1"/>
    <col min="4" max="4" width="21.54296875" customWidth="1"/>
    <col min="5" max="5" width="18.26953125" customWidth="1"/>
    <col min="6" max="6" width="19" customWidth="1"/>
    <col min="7" max="7" width="18.26953125" customWidth="1"/>
    <col min="8" max="8" width="18.54296875" customWidth="1"/>
    <col min="9" max="11" width="9.1796875" bestFit="1" customWidth="1"/>
    <col min="12" max="12" width="28.7265625" customWidth="1"/>
    <col min="13" max="13" width="28.453125" customWidth="1"/>
    <col min="30" max="30" width="32.453125" customWidth="1"/>
  </cols>
  <sheetData>
    <row r="1" spans="1:13" ht="54.5" thickBot="1" x14ac:dyDescent="0.4">
      <c r="A1" s="1" t="s">
        <v>712</v>
      </c>
      <c r="B1" s="49" t="s">
        <v>713</v>
      </c>
      <c r="C1" s="49" t="s">
        <v>714</v>
      </c>
      <c r="D1" s="49" t="s">
        <v>715</v>
      </c>
      <c r="E1" s="49" t="s">
        <v>716</v>
      </c>
      <c r="F1" s="49" t="s">
        <v>717</v>
      </c>
      <c r="G1" s="49" t="s">
        <v>718</v>
      </c>
      <c r="H1" s="49" t="s">
        <v>1170</v>
      </c>
      <c r="I1" s="49" t="s">
        <v>1171</v>
      </c>
      <c r="J1" s="49" t="s">
        <v>1172</v>
      </c>
      <c r="K1" s="50" t="s">
        <v>721</v>
      </c>
    </row>
    <row r="2" spans="1:13" ht="15" thickBot="1" x14ac:dyDescent="0.4">
      <c r="A2" s="1" t="s">
        <v>1173</v>
      </c>
      <c r="B2">
        <v>0</v>
      </c>
      <c r="C2" s="51">
        <v>1</v>
      </c>
      <c r="D2" s="51">
        <v>1</v>
      </c>
      <c r="E2" s="51">
        <v>0</v>
      </c>
      <c r="F2" s="51">
        <v>4</v>
      </c>
      <c r="G2" s="51">
        <v>4</v>
      </c>
      <c r="H2" s="51">
        <v>1</v>
      </c>
      <c r="I2" s="51">
        <v>5</v>
      </c>
      <c r="J2" s="51">
        <v>3</v>
      </c>
      <c r="K2" s="52">
        <f t="shared" ref="K2:K10" si="0">SUM(B2:J2)</f>
        <v>19</v>
      </c>
      <c r="M2" t="s">
        <v>757</v>
      </c>
    </row>
    <row r="3" spans="1:13" ht="15" thickBot="1" x14ac:dyDescent="0.4">
      <c r="A3" s="1" t="s">
        <v>762</v>
      </c>
      <c r="B3">
        <v>0</v>
      </c>
      <c r="C3" s="51">
        <v>0</v>
      </c>
      <c r="D3" s="51">
        <v>0</v>
      </c>
      <c r="E3" s="51">
        <v>0</v>
      </c>
      <c r="F3" s="51">
        <v>1</v>
      </c>
      <c r="G3" s="51">
        <v>4</v>
      </c>
      <c r="H3" s="51">
        <v>1</v>
      </c>
      <c r="I3" s="51">
        <v>4</v>
      </c>
      <c r="J3" s="51">
        <v>3</v>
      </c>
      <c r="K3" s="52">
        <f t="shared" si="0"/>
        <v>13</v>
      </c>
      <c r="M3" s="53" t="s">
        <v>731</v>
      </c>
    </row>
    <row r="4" spans="1:13" ht="15" thickBot="1" x14ac:dyDescent="0.4">
      <c r="A4" s="1" t="s">
        <v>1174</v>
      </c>
      <c r="B4">
        <v>0</v>
      </c>
      <c r="C4" s="51">
        <v>0</v>
      </c>
      <c r="D4" s="51">
        <v>1</v>
      </c>
      <c r="E4" s="51">
        <v>0</v>
      </c>
      <c r="F4" s="51">
        <v>4</v>
      </c>
      <c r="G4" s="51">
        <v>5</v>
      </c>
      <c r="H4" s="51">
        <v>1</v>
      </c>
      <c r="I4" s="51">
        <v>5</v>
      </c>
      <c r="J4" s="51">
        <v>3</v>
      </c>
      <c r="K4" s="52">
        <f t="shared" si="0"/>
        <v>19</v>
      </c>
      <c r="M4" t="s">
        <v>759</v>
      </c>
    </row>
    <row r="5" spans="1:13" ht="15" thickBot="1" x14ac:dyDescent="0.4">
      <c r="A5" s="1" t="s">
        <v>784</v>
      </c>
      <c r="B5">
        <v>0</v>
      </c>
      <c r="C5" s="51">
        <v>0</v>
      </c>
      <c r="D5" s="51">
        <v>1</v>
      </c>
      <c r="E5" s="51">
        <v>0</v>
      </c>
      <c r="F5" s="51">
        <v>3</v>
      </c>
      <c r="G5" s="51">
        <v>3</v>
      </c>
      <c r="H5" s="51">
        <v>1</v>
      </c>
      <c r="I5" s="51">
        <v>3</v>
      </c>
      <c r="J5" s="51">
        <v>1</v>
      </c>
      <c r="K5" s="52">
        <f t="shared" si="0"/>
        <v>12</v>
      </c>
      <c r="M5" t="s">
        <v>755</v>
      </c>
    </row>
    <row r="6" spans="1:13" ht="15" thickBot="1" x14ac:dyDescent="0.4">
      <c r="A6" s="1" t="s">
        <v>1175</v>
      </c>
      <c r="B6">
        <v>0</v>
      </c>
      <c r="C6" s="54">
        <v>1</v>
      </c>
      <c r="D6" s="54">
        <v>1</v>
      </c>
      <c r="E6" s="54">
        <v>0</v>
      </c>
      <c r="F6" s="54">
        <v>5</v>
      </c>
      <c r="G6" s="54">
        <v>4</v>
      </c>
      <c r="H6" s="54">
        <v>1</v>
      </c>
      <c r="I6" s="54">
        <v>5</v>
      </c>
      <c r="J6" s="54">
        <v>1</v>
      </c>
      <c r="K6" s="52">
        <f t="shared" si="0"/>
        <v>18</v>
      </c>
      <c r="M6" t="s">
        <v>725</v>
      </c>
    </row>
    <row r="7" spans="1:13" ht="15" thickBot="1" x14ac:dyDescent="0.4">
      <c r="A7" s="1" t="s">
        <v>1176</v>
      </c>
      <c r="B7">
        <v>0</v>
      </c>
      <c r="C7">
        <v>0</v>
      </c>
      <c r="D7">
        <v>1</v>
      </c>
      <c r="E7">
        <v>0</v>
      </c>
      <c r="F7">
        <v>5</v>
      </c>
      <c r="G7">
        <v>4</v>
      </c>
      <c r="H7">
        <v>1</v>
      </c>
      <c r="I7">
        <v>5</v>
      </c>
      <c r="J7">
        <v>2</v>
      </c>
      <c r="K7" s="52">
        <f t="shared" si="0"/>
        <v>18</v>
      </c>
      <c r="M7" t="s">
        <v>724</v>
      </c>
    </row>
    <row r="8" spans="1:13" ht="15" thickBot="1" x14ac:dyDescent="0.4">
      <c r="A8" s="1" t="s">
        <v>1177</v>
      </c>
      <c r="B8">
        <v>0</v>
      </c>
      <c r="C8">
        <v>1</v>
      </c>
      <c r="D8">
        <v>1</v>
      </c>
      <c r="E8">
        <v>0</v>
      </c>
      <c r="F8">
        <v>5</v>
      </c>
      <c r="G8">
        <v>3</v>
      </c>
      <c r="H8">
        <v>1</v>
      </c>
      <c r="I8">
        <v>5</v>
      </c>
      <c r="J8">
        <v>2</v>
      </c>
      <c r="K8" s="52">
        <f t="shared" si="0"/>
        <v>18</v>
      </c>
      <c r="M8" t="s">
        <v>727</v>
      </c>
    </row>
    <row r="9" spans="1:13" ht="15" thickBot="1" x14ac:dyDescent="0.4">
      <c r="A9" s="1" t="s">
        <v>1178</v>
      </c>
      <c r="B9">
        <v>0</v>
      </c>
      <c r="C9">
        <v>1</v>
      </c>
      <c r="D9">
        <v>1</v>
      </c>
      <c r="E9">
        <v>0</v>
      </c>
      <c r="F9">
        <v>5</v>
      </c>
      <c r="G9">
        <v>4</v>
      </c>
      <c r="H9">
        <v>1</v>
      </c>
      <c r="I9">
        <v>5</v>
      </c>
      <c r="J9">
        <v>2</v>
      </c>
      <c r="K9" s="52">
        <f t="shared" si="0"/>
        <v>19</v>
      </c>
      <c r="L9" t="s">
        <v>138</v>
      </c>
      <c r="M9">
        <f>27+25+24+25+27+24</f>
        <v>152</v>
      </c>
    </row>
    <row r="10" spans="1:13" ht="15" thickBot="1" x14ac:dyDescent="0.4">
      <c r="A10" s="1" t="s">
        <v>787</v>
      </c>
      <c r="B10">
        <v>0</v>
      </c>
      <c r="C10">
        <v>1</v>
      </c>
      <c r="D10">
        <v>1</v>
      </c>
      <c r="E10">
        <v>0</v>
      </c>
      <c r="F10">
        <v>5</v>
      </c>
      <c r="G10">
        <v>3</v>
      </c>
      <c r="H10">
        <v>1</v>
      </c>
      <c r="I10">
        <v>5</v>
      </c>
      <c r="J10">
        <v>2</v>
      </c>
      <c r="K10" s="52">
        <f t="shared" si="0"/>
        <v>18</v>
      </c>
      <c r="M10">
        <f>152+60</f>
        <v>212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updated summary table</vt:lpstr>
      <vt:lpstr>Final_Summary_Table</vt:lpstr>
      <vt:lpstr>Summary_Shiza (2)</vt:lpstr>
      <vt:lpstr>Summary_Ghada</vt:lpstr>
      <vt:lpstr>Ghada</vt:lpstr>
      <vt:lpstr>Parreto_Ghada</vt:lpstr>
      <vt:lpstr>generate pareto</vt:lpstr>
      <vt:lpstr>Summary_Ioannis</vt:lpstr>
      <vt:lpstr>Parreto_Shiza</vt:lpstr>
      <vt:lpstr>Summary_Shiza</vt:lpstr>
      <vt:lpstr>Performance metrics_Shiza</vt:lpstr>
      <vt:lpstr>Parreto_Ioannis</vt:lpstr>
      <vt:lpstr>pareto_detailed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Ghada Al Hussein</dc:creator>
  <cp:keywords/>
  <dc:description/>
  <cp:lastModifiedBy>Ioannis Nikolaos Ziogas</cp:lastModifiedBy>
  <cp:revision/>
  <dcterms:created xsi:type="dcterms:W3CDTF">2023-02-20T09:26:35Z</dcterms:created>
  <dcterms:modified xsi:type="dcterms:W3CDTF">2024-12-11T08:45:24Z</dcterms:modified>
  <cp:category/>
  <cp:contentStatus/>
</cp:coreProperties>
</file>