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datasettype\"/>
    </mc:Choice>
  </mc:AlternateContent>
  <bookViews>
    <workbookView xWindow="-110" yWindow="-110" windowWidth="19420" windowHeight="10300" tabRatio="774" firstSheet="1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J8" i="1" l="1"/>
  <c r="J9" i="1"/>
  <c r="J5" i="1" l="1"/>
  <c r="B4" i="8"/>
  <c r="J2" i="1"/>
  <c r="A2" i="1" s="1"/>
  <c r="J3" i="1"/>
  <c r="J4" i="1"/>
  <c r="J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A3" i="1" l="1"/>
  <c r="A4" i="1"/>
  <c r="A5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A63" i="2" s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A47" i="2" s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A39" i="2" s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A127" i="2" s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AL143" i="2" s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AL95" i="2" s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AX79" i="2" s="1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A197" i="2" s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L181" i="2" s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IY69" i="2" s="1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W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IV61" i="2" s="1"/>
  <c r="IW61" i="2" s="1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2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AM12" i="2"/>
  <c r="BE12" i="8" s="1"/>
  <c r="BJ56" i="2"/>
  <c r="DA12" i="2"/>
  <c r="E12" i="2"/>
  <c r="DA11" i="2"/>
  <c r="A146" i="2"/>
  <c r="E10" i="2"/>
  <c r="D10" i="2"/>
  <c r="B12" i="2"/>
  <c r="C12" i="2"/>
  <c r="C10" i="2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51" i="2"/>
  <c r="E7" i="2"/>
  <c r="D7" i="2"/>
  <c r="C7" i="2"/>
  <c r="AT9" i="8"/>
  <c r="BE11" i="8"/>
  <c r="D12" i="10"/>
  <c r="CZ11" i="2"/>
  <c r="V10" i="8"/>
  <c r="IY186" i="2"/>
  <c r="BY88" i="2"/>
  <c r="BY48" i="2"/>
  <c r="D6" i="2"/>
  <c r="AW107" i="2"/>
  <c r="AX180" i="2"/>
  <c r="AX155" i="2"/>
  <c r="AW100" i="2"/>
  <c r="AX123" i="2"/>
  <c r="A48" i="2"/>
  <c r="AX131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67" i="2"/>
  <c r="IY151" i="2"/>
  <c r="AX60" i="2"/>
  <c r="AY149" i="2"/>
  <c r="AW76" i="2"/>
  <c r="AY51" i="2"/>
  <c r="AW42" i="2"/>
  <c r="AW67" i="2"/>
  <c r="AX179" i="2"/>
  <c r="AX67" i="2"/>
  <c r="AW148" i="2"/>
  <c r="AY52" i="2"/>
  <c r="AY132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DR111" i="2"/>
  <c r="AX52" i="2"/>
  <c r="AX75" i="2"/>
  <c r="AY187" i="2"/>
  <c r="BJ170" i="2"/>
  <c r="BI178" i="2"/>
  <c r="BJ58" i="2"/>
  <c r="E5" i="2"/>
  <c r="D5" i="2"/>
  <c r="DA5" i="2"/>
  <c r="C5" i="2"/>
  <c r="AX143" i="2"/>
  <c r="BI45" i="2"/>
  <c r="AX151" i="2"/>
  <c r="BY199" i="2"/>
  <c r="AX114" i="2"/>
  <c r="A80" i="2"/>
  <c r="BJ53" i="2"/>
  <c r="IY42" i="2"/>
  <c r="IV114" i="2"/>
  <c r="IW114" i="2" s="1"/>
  <c r="AY39" i="2"/>
  <c r="IY66" i="2"/>
  <c r="IY162" i="2"/>
  <c r="A88" i="2"/>
  <c r="AW101" i="2"/>
  <c r="AM4" i="2"/>
  <c r="V4" i="8" s="1"/>
  <c r="BY53" i="2"/>
  <c r="AW156" i="2"/>
  <c r="IY178" i="2"/>
  <c r="IY122" i="2"/>
  <c r="AX156" i="2"/>
  <c r="BJ196" i="2"/>
  <c r="BJ69" i="2"/>
  <c r="BY85" i="2"/>
  <c r="BX69" i="2"/>
  <c r="AL34" i="2"/>
  <c r="IV146" i="2"/>
  <c r="IW146" i="2" s="1"/>
  <c r="IV98" i="2"/>
  <c r="IW98" i="2" s="1"/>
  <c r="AL104" i="2"/>
  <c r="BJ117" i="2"/>
  <c r="BX174" i="2"/>
  <c r="A56" i="2"/>
  <c r="IV74" i="2"/>
  <c r="IW74" i="2" s="1"/>
  <c r="IV59" i="2"/>
  <c r="IW59" i="2" s="1"/>
  <c r="IV170" i="2"/>
  <c r="IW170" i="2" s="1"/>
  <c r="E4" i="10"/>
  <c r="FB4" i="2" s="1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85" i="2"/>
  <c r="BX93" i="2"/>
  <c r="IY52" i="2"/>
  <c r="AY50" i="2"/>
  <c r="AW50" i="2"/>
  <c r="IV91" i="2"/>
  <c r="IW91" i="2" s="1"/>
  <c r="IY92" i="2"/>
  <c r="AL130" i="2"/>
  <c r="BJ140" i="2"/>
  <c r="IV60" i="2"/>
  <c r="IW60" i="2" s="1"/>
  <c r="A58" i="2"/>
  <c r="BX130" i="2"/>
  <c r="IY187" i="2"/>
  <c r="AX178" i="2"/>
  <c r="AW34" i="2"/>
  <c r="DP31" i="2"/>
  <c r="AW114" i="2"/>
  <c r="AW151" i="2"/>
  <c r="BI36" i="2"/>
  <c r="IY163" i="2"/>
  <c r="IY124" i="2"/>
  <c r="AY178" i="2"/>
  <c r="AW143" i="2"/>
  <c r="AL74" i="2"/>
  <c r="CJ35" i="2"/>
  <c r="IV148" i="2"/>
  <c r="IW148" i="2" s="1"/>
  <c r="IV108" i="2"/>
  <c r="IW108" i="2" s="1"/>
  <c r="AY186" i="2"/>
  <c r="AL186" i="2"/>
  <c r="CK61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CK51" i="2"/>
  <c r="IV107" i="2"/>
  <c r="IW107" i="2" s="1"/>
  <c r="DR45" i="2"/>
  <c r="IV123" i="2"/>
  <c r="IW123" i="2" s="1"/>
  <c r="IV164" i="2"/>
  <c r="IW164" i="2" s="1"/>
  <c r="IV140" i="2"/>
  <c r="IW140" i="2" s="1"/>
  <c r="A66" i="2"/>
  <c r="AL154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BJ66" i="2"/>
  <c r="BI98" i="2"/>
  <c r="A98" i="2"/>
  <c r="IV44" i="2"/>
  <c r="IW44" i="2" s="1"/>
  <c r="IV199" i="2"/>
  <c r="IW199" i="2" s="1"/>
  <c r="IV100" i="2"/>
  <c r="IW100" i="2" s="1"/>
  <c r="IV132" i="2"/>
  <c r="IW132" i="2" s="1"/>
  <c r="A194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BY184" i="2"/>
  <c r="A82" i="2"/>
  <c r="BY200" i="2"/>
  <c r="BY112" i="2"/>
  <c r="BI34" i="2"/>
  <c r="E4" i="2"/>
  <c r="D4" i="2"/>
  <c r="C4" i="2"/>
  <c r="AI4" i="8" s="1"/>
  <c r="BY125" i="2"/>
  <c r="BY178" i="2"/>
  <c r="BY42" i="2"/>
  <c r="CJ55" i="2"/>
  <c r="BX66" i="2"/>
  <c r="AX34" i="2"/>
  <c r="BY146" i="2"/>
  <c r="BX101" i="2"/>
  <c r="BY77" i="2"/>
  <c r="BY50" i="2"/>
  <c r="BY37" i="2"/>
  <c r="CK175" i="2"/>
  <c r="BX194" i="2"/>
  <c r="BY172" i="2"/>
  <c r="BY116" i="2"/>
  <c r="CJ135" i="2"/>
  <c r="BY170" i="2"/>
  <c r="BI64" i="2"/>
  <c r="AY191" i="2"/>
  <c r="BY175" i="2"/>
  <c r="BY151" i="2"/>
  <c r="BY71" i="2"/>
  <c r="BY47" i="2"/>
  <c r="A200" i="2"/>
  <c r="BJ104" i="2"/>
  <c r="BY103" i="2"/>
  <c r="BY79" i="2"/>
  <c r="BI112" i="2"/>
  <c r="IY36" i="2"/>
  <c r="BY159" i="2"/>
  <c r="BY31" i="2"/>
  <c r="CJ58" i="2"/>
  <c r="AY90" i="2"/>
  <c r="BY111" i="2"/>
  <c r="BY87" i="2"/>
  <c r="BY39" i="2"/>
  <c r="IY34" i="2"/>
  <c r="CK114" i="2"/>
  <c r="IV30" i="2"/>
  <c r="IW30" i="2" s="1"/>
  <c r="BX163" i="2"/>
  <c r="BY131" i="2"/>
  <c r="BX131" i="2"/>
  <c r="AY79" i="2"/>
  <c r="AW58" i="2"/>
  <c r="AY58" i="2"/>
  <c r="AY154" i="2"/>
  <c r="AW154" i="2"/>
  <c r="AY195" i="2"/>
  <c r="AX195" i="2"/>
  <c r="AW195" i="2"/>
  <c r="CK123" i="2"/>
  <c r="CJ123" i="2"/>
  <c r="CJ107" i="2"/>
  <c r="CK107" i="2"/>
  <c r="CJ83" i="2"/>
  <c r="CK83" i="2"/>
  <c r="BX58" i="2"/>
  <c r="E3" i="2"/>
  <c r="BJ138" i="2"/>
  <c r="BY186" i="2"/>
  <c r="BY122" i="2"/>
  <c r="D3" i="2"/>
  <c r="BJ82" i="2"/>
  <c r="C3" i="2"/>
  <c r="BY34" i="2"/>
  <c r="CK82" i="2"/>
  <c r="CZ7" i="2"/>
  <c r="D13" i="10"/>
  <c r="D7" i="8"/>
  <c r="AX108" i="2"/>
  <c r="AX84" i="2"/>
  <c r="AW60" i="2"/>
  <c r="AW124" i="2"/>
  <c r="AY44" i="2"/>
  <c r="AY92" i="2"/>
  <c r="IV87" i="2"/>
  <c r="IW87" i="2" s="1"/>
  <c r="AY172" i="2"/>
  <c r="AX162" i="2"/>
  <c r="AW82" i="2"/>
  <c r="AW84" i="2"/>
  <c r="AW164" i="2"/>
  <c r="AW98" i="2"/>
  <c r="CJ119" i="2"/>
  <c r="AX44" i="2"/>
  <c r="AX36" i="2"/>
  <c r="AX98" i="2"/>
  <c r="CJ87" i="2"/>
  <c r="CJ63" i="2"/>
  <c r="AX43" i="2"/>
  <c r="AY116" i="2"/>
  <c r="AY164" i="2"/>
  <c r="AW92" i="2"/>
  <c r="AW116" i="2"/>
  <c r="AY82" i="2"/>
  <c r="CK151" i="2"/>
  <c r="AY43" i="2"/>
  <c r="AY36" i="2"/>
  <c r="AW108" i="2"/>
  <c r="AX124" i="2"/>
  <c r="AX76" i="2"/>
  <c r="AY162" i="2"/>
  <c r="AW172" i="2"/>
  <c r="CJ56" i="2"/>
  <c r="IY35" i="2"/>
  <c r="IV51" i="2"/>
  <c r="IW51" i="2" s="1"/>
  <c r="A167" i="2"/>
  <c r="A103" i="2"/>
  <c r="CJ100" i="2"/>
  <c r="A143" i="2"/>
  <c r="AY35" i="2"/>
  <c r="AW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BX195" i="2"/>
  <c r="CK45" i="2"/>
  <c r="CK162" i="2"/>
  <c r="CK34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AY122" i="2"/>
  <c r="AX194" i="2"/>
  <c r="AW194" i="2"/>
  <c r="AX146" i="2"/>
  <c r="AW186" i="2"/>
  <c r="AW138" i="2"/>
  <c r="AY66" i="2"/>
  <c r="AY146" i="2"/>
  <c r="IV141" i="2"/>
  <c r="IW141" i="2" s="1"/>
  <c r="AX130" i="2"/>
  <c r="AY74" i="2"/>
  <c r="AW74" i="2"/>
  <c r="AW170" i="2"/>
  <c r="AX170" i="2"/>
  <c r="AY170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E2" i="2"/>
  <c r="D2" i="2"/>
  <c r="C2" i="2"/>
  <c r="AY119" i="2" l="1"/>
  <c r="IV53" i="2"/>
  <c r="IW53" i="2" s="1"/>
  <c r="AX135" i="2"/>
  <c r="AX125" i="2"/>
  <c r="AW79" i="2"/>
  <c r="AY125" i="2"/>
  <c r="AX149" i="2"/>
  <c r="AW191" i="2"/>
  <c r="AW117" i="2"/>
  <c r="CJ53" i="2"/>
  <c r="AY117" i="2"/>
  <c r="V13" i="8"/>
  <c r="AG13" i="8"/>
  <c r="AT13" i="8"/>
  <c r="BE13" i="8"/>
  <c r="D13" i="8"/>
  <c r="CQ12" i="2"/>
  <c r="IV79" i="2"/>
  <c r="IW79" i="2" s="1"/>
  <c r="CK194" i="2"/>
  <c r="DS31" i="2"/>
  <c r="IV40" i="2"/>
  <c r="IW40" i="2" s="1"/>
  <c r="DR48" i="2"/>
  <c r="AL59" i="2"/>
  <c r="DP180" i="2"/>
  <c r="DP48" i="2"/>
  <c r="CJ197" i="2"/>
  <c r="DR180" i="2"/>
  <c r="DR120" i="2"/>
  <c r="CK98" i="2"/>
  <c r="CJ192" i="2"/>
  <c r="CK155" i="2"/>
  <c r="A67" i="2"/>
  <c r="DP120" i="2"/>
  <c r="DP34" i="2"/>
  <c r="CJ184" i="2"/>
  <c r="DR34" i="2"/>
  <c r="AL51" i="2"/>
  <c r="CK143" i="2"/>
  <c r="CK172" i="2"/>
  <c r="A69" i="2"/>
  <c r="AL35" i="2"/>
  <c r="IV191" i="2"/>
  <c r="IW191" i="2" s="1"/>
  <c r="IV72" i="2"/>
  <c r="IW72" i="2" s="1"/>
  <c r="AW109" i="2"/>
  <c r="AX159" i="2"/>
  <c r="CK66" i="2"/>
  <c r="CJ44" i="2"/>
  <c r="IV39" i="2"/>
  <c r="IW39" i="2" s="1"/>
  <c r="AX55" i="2"/>
  <c r="AY167" i="2"/>
  <c r="AY159" i="2"/>
  <c r="IV173" i="2"/>
  <c r="IW173" i="2" s="1"/>
  <c r="IY61" i="2"/>
  <c r="AY109" i="2"/>
  <c r="IV117" i="2"/>
  <c r="IW117" i="2" s="1"/>
  <c r="AI10" i="8"/>
  <c r="CJ149" i="2"/>
  <c r="DP93" i="2"/>
  <c r="IV135" i="2"/>
  <c r="IW135" i="2" s="1"/>
  <c r="IV127" i="2"/>
  <c r="IW127" i="2" s="1"/>
  <c r="A181" i="2"/>
  <c r="CK171" i="2"/>
  <c r="CK93" i="2"/>
  <c r="IY125" i="2"/>
  <c r="AY55" i="2"/>
  <c r="DR93" i="2"/>
  <c r="IV69" i="2"/>
  <c r="IW69" i="2" s="1"/>
  <c r="AX167" i="2"/>
  <c r="CJ37" i="2"/>
  <c r="AX77" i="2"/>
  <c r="AW77" i="2"/>
  <c r="A157" i="2"/>
  <c r="IY55" i="2"/>
  <c r="AX63" i="2"/>
  <c r="AY47" i="2"/>
  <c r="AX53" i="2"/>
  <c r="DP138" i="2"/>
  <c r="A75" i="2"/>
  <c r="IV201" i="2"/>
  <c r="IW201" i="2" s="1"/>
  <c r="CJ200" i="2"/>
  <c r="DR164" i="2"/>
  <c r="DR82" i="2"/>
  <c r="DR138" i="2"/>
  <c r="CJ69" i="2"/>
  <c r="AW103" i="2"/>
  <c r="DP82" i="2"/>
  <c r="A7" i="1"/>
  <c r="A8" i="1" s="1"/>
  <c r="A6" i="1"/>
  <c r="CJ101" i="2"/>
  <c r="AY71" i="2"/>
  <c r="BY56" i="2"/>
  <c r="DR69" i="2"/>
  <c r="AX69" i="2"/>
  <c r="AX71" i="2"/>
  <c r="BY119" i="2"/>
  <c r="CK157" i="2"/>
  <c r="BJ109" i="2"/>
  <c r="A83" i="2"/>
  <c r="IV133" i="2"/>
  <c r="IW133" i="2" s="1"/>
  <c r="CK108" i="2"/>
  <c r="BI114" i="2"/>
  <c r="BI52" i="2"/>
  <c r="IV165" i="2"/>
  <c r="IW165" i="2" s="1"/>
  <c r="AY69" i="2"/>
  <c r="AW31" i="2"/>
  <c r="AX31" i="2"/>
  <c r="AL91" i="2"/>
  <c r="BY140" i="2"/>
  <c r="BJ77" i="2"/>
  <c r="IY183" i="2"/>
  <c r="IV95" i="2"/>
  <c r="IW95" i="2" s="1"/>
  <c r="CJ48" i="2"/>
  <c r="IV159" i="2"/>
  <c r="IW159" i="2" s="1"/>
  <c r="DR141" i="2"/>
  <c r="AW111" i="2"/>
  <c r="AI5" i="8"/>
  <c r="AY199" i="2"/>
  <c r="BI39" i="2"/>
  <c r="BY143" i="2"/>
  <c r="BI37" i="2"/>
  <c r="CJ117" i="2"/>
  <c r="BJ154" i="2"/>
  <c r="AY111" i="2"/>
  <c r="AX199" i="2"/>
  <c r="IV71" i="2"/>
  <c r="IW71" i="2" s="1"/>
  <c r="A179" i="2"/>
  <c r="W16" i="2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9" i="1" l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BH14" i="2" l="1"/>
  <c r="IF14" i="2" s="1"/>
  <c r="F14" i="8"/>
  <c r="GE14" i="2" s="1"/>
  <c r="AF12" i="2"/>
  <c r="AF14" i="2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AX13" i="2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FU14" i="2" l="1"/>
  <c r="A14" i="1"/>
  <c r="A15" i="1" s="1"/>
  <c r="FY13" i="2"/>
  <c r="BG13" i="8" s="1"/>
  <c r="IY13" i="2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BG14" i="8" l="1"/>
  <c r="DT12" i="2"/>
  <c r="JH14" i="2"/>
  <c r="JI14" i="2" s="1"/>
  <c r="JJ14" i="2" s="1"/>
  <c r="A16" i="1"/>
  <c r="A17" i="1" s="1"/>
  <c r="A18" i="1" s="1"/>
  <c r="DT24" i="2"/>
  <c r="DX24" i="2" s="1"/>
  <c r="DY24" i="2" s="1"/>
  <c r="DT142" i="2"/>
  <c r="AV13" i="8"/>
  <c r="IL13" i="2" s="1"/>
  <c r="DT49" i="2"/>
  <c r="DW49" i="2" s="1"/>
  <c r="DT21" i="2"/>
  <c r="EQ21" i="2" s="1"/>
  <c r="DT43" i="2"/>
  <c r="DU43" i="2" s="1"/>
  <c r="DT94" i="2"/>
  <c r="EM94" i="2" s="1"/>
  <c r="DT4" i="2"/>
  <c r="EB4" i="2" s="1"/>
  <c r="DT107" i="2"/>
  <c r="EM107" i="2" s="1"/>
  <c r="DT157" i="2"/>
  <c r="DT48" i="2"/>
  <c r="EV48" i="2" s="1"/>
  <c r="DT141" i="2"/>
  <c r="DW141" i="2" s="1"/>
  <c r="DT173" i="2"/>
  <c r="DV173" i="2" s="1"/>
  <c r="DT159" i="2"/>
  <c r="ES159" i="2" s="1"/>
  <c r="EU159" i="2" s="1"/>
  <c r="DT147" i="2"/>
  <c r="DV147" i="2" s="1"/>
  <c r="DT154" i="2"/>
  <c r="DT137" i="2"/>
  <c r="EA137" i="2" s="1"/>
  <c r="ET137" i="2" s="1"/>
  <c r="DT168" i="2"/>
  <c r="DT198" i="2"/>
  <c r="EN198" i="2" s="1"/>
  <c r="DT108" i="2"/>
  <c r="EI108" i="2" s="1"/>
  <c r="DT132" i="2"/>
  <c r="EB132" i="2" s="1"/>
  <c r="DT72" i="2"/>
  <c r="DT85" i="2"/>
  <c r="EB85" i="2" s="1"/>
  <c r="DT30" i="2"/>
  <c r="DT175" i="2"/>
  <c r="EF175" i="2" s="1"/>
  <c r="DT97" i="2"/>
  <c r="DT199" i="2"/>
  <c r="ED199" i="2" s="1"/>
  <c r="DT26" i="2"/>
  <c r="EH26" i="2" s="1"/>
  <c r="DT162" i="2"/>
  <c r="EV162" i="2" s="1"/>
  <c r="DT135" i="2"/>
  <c r="DT67" i="2"/>
  <c r="ED67" i="2" s="1"/>
  <c r="DT165" i="2"/>
  <c r="EH165" i="2" s="1"/>
  <c r="DT192" i="2"/>
  <c r="EK192" i="2" s="1"/>
  <c r="DT127" i="2"/>
  <c r="EK127" i="2" s="1"/>
  <c r="DT25" i="2"/>
  <c r="EC25" i="2" s="1"/>
  <c r="DT129" i="2"/>
  <c r="EB129" i="2" s="1"/>
  <c r="DT59" i="2"/>
  <c r="ES59" i="2" s="1"/>
  <c r="EU59" i="2" s="1"/>
  <c r="DT47" i="2"/>
  <c r="EQ47" i="2" s="1"/>
  <c r="DT184" i="2"/>
  <c r="EN184" i="2" s="1"/>
  <c r="DT73" i="2"/>
  <c r="DT106" i="2"/>
  <c r="EV106" i="2" s="1"/>
  <c r="DT150" i="2"/>
  <c r="DV150" i="2" s="1"/>
  <c r="DT131" i="2"/>
  <c r="EO131" i="2" s="1"/>
  <c r="DT86" i="2"/>
  <c r="EQ86" i="2" s="1"/>
  <c r="DT75" i="2"/>
  <c r="EK75" i="2" s="1"/>
  <c r="DT155" i="2"/>
  <c r="DT158" i="2"/>
  <c r="EH158" i="2" s="1"/>
  <c r="DT197" i="2"/>
  <c r="DT80" i="2"/>
  <c r="EP80" i="2" s="1"/>
  <c r="DT124" i="2"/>
  <c r="DT23" i="2"/>
  <c r="EF23" i="2" s="1"/>
  <c r="DT22" i="2"/>
  <c r="EF22" i="2" s="1"/>
  <c r="DT93" i="2"/>
  <c r="ES93" i="2" s="1"/>
  <c r="EU93" i="2" s="1"/>
  <c r="DT62" i="2"/>
  <c r="DT50" i="2"/>
  <c r="DZ50" i="2" s="1"/>
  <c r="DT174" i="2"/>
  <c r="EJ174" i="2" s="1"/>
  <c r="DT183" i="2"/>
  <c r="EV183" i="2" s="1"/>
  <c r="DT152" i="2"/>
  <c r="DT74" i="2"/>
  <c r="EP74" i="2" s="1"/>
  <c r="DT88" i="2"/>
  <c r="EV88" i="2" s="1"/>
  <c r="DT45" i="2"/>
  <c r="EH45" i="2" s="1"/>
  <c r="DT53" i="2"/>
  <c r="DT91" i="2"/>
  <c r="EO91" i="2" s="1"/>
  <c r="DT29" i="2"/>
  <c r="DT35" i="2"/>
  <c r="DT136" i="2"/>
  <c r="ED136" i="2" s="1"/>
  <c r="DT78" i="2"/>
  <c r="EG78" i="2" s="1"/>
  <c r="DT95" i="2"/>
  <c r="EQ95" i="2" s="1"/>
  <c r="DT143" i="2"/>
  <c r="DW143" i="2" s="1"/>
  <c r="DT109" i="2"/>
  <c r="DT116" i="2"/>
  <c r="EB116" i="2" s="1"/>
  <c r="DT98" i="2"/>
  <c r="DT194" i="2"/>
  <c r="EL194" i="2" s="1"/>
  <c r="DT105" i="2"/>
  <c r="EJ105" i="2" s="1"/>
  <c r="DT42" i="2"/>
  <c r="ED42" i="2" s="1"/>
  <c r="DT122" i="2"/>
  <c r="DW122" i="2" s="1"/>
  <c r="DT40" i="2"/>
  <c r="DX40" i="2" s="1"/>
  <c r="DY40" i="2" s="1"/>
  <c r="DT182" i="2"/>
  <c r="EG182" i="2" s="1"/>
  <c r="DT193" i="2"/>
  <c r="EN193" i="2" s="1"/>
  <c r="DT69" i="2"/>
  <c r="DT99" i="2"/>
  <c r="DU99" i="2" s="1"/>
  <c r="DT139" i="2"/>
  <c r="EA139" i="2" s="1"/>
  <c r="ET139" i="2" s="1"/>
  <c r="JH7" i="2"/>
  <c r="JI7" i="2" s="1"/>
  <c r="JJ7" i="2" s="1"/>
  <c r="BG7" i="8"/>
  <c r="IY7" i="2" s="1"/>
  <c r="AV7" i="8"/>
  <c r="IL7" i="2" s="1"/>
  <c r="DT58" i="2"/>
  <c r="DT201" i="2"/>
  <c r="EN201" i="2" s="1"/>
  <c r="DT171" i="2"/>
  <c r="DT103" i="2"/>
  <c r="DX103" i="2" s="1"/>
  <c r="DY103" i="2" s="1"/>
  <c r="DT181" i="2"/>
  <c r="EP181" i="2" s="1"/>
  <c r="DT191" i="2"/>
  <c r="ER191" i="2" s="1"/>
  <c r="DT130" i="2"/>
  <c r="EA130" i="2" s="1"/>
  <c r="ET130" i="2" s="1"/>
  <c r="DT145" i="2"/>
  <c r="EH145" i="2" s="1"/>
  <c r="DT66" i="2"/>
  <c r="DT87" i="2"/>
  <c r="DV87" i="2" s="1"/>
  <c r="DT55" i="2"/>
  <c r="DT70" i="2"/>
  <c r="EN70" i="2" s="1"/>
  <c r="DT164" i="2"/>
  <c r="DW164" i="2" s="1"/>
  <c r="DT9" i="2"/>
  <c r="EC9" i="2" s="1"/>
  <c r="DT186" i="2"/>
  <c r="EG186" i="2" s="1"/>
  <c r="DT161" i="2"/>
  <c r="EJ161" i="2" s="1"/>
  <c r="DT60" i="2"/>
  <c r="DT79" i="2"/>
  <c r="EE79" i="2" s="1"/>
  <c r="DT189" i="2"/>
  <c r="DT44" i="2"/>
  <c r="EI44" i="2" s="1"/>
  <c r="DT125" i="2"/>
  <c r="ES125" i="2" s="1"/>
  <c r="EU125" i="2" s="1"/>
  <c r="DT71" i="2"/>
  <c r="EK71" i="2" s="1"/>
  <c r="DT28" i="2"/>
  <c r="EJ28" i="2" s="1"/>
  <c r="DT121" i="2"/>
  <c r="ED121" i="2" s="1"/>
  <c r="DT111" i="2"/>
  <c r="DT64" i="2"/>
  <c r="EE64" i="2" s="1"/>
  <c r="DT179" i="2"/>
  <c r="DT82" i="2"/>
  <c r="DU82" i="2" s="1"/>
  <c r="DT100" i="2"/>
  <c r="EQ100" i="2" s="1"/>
  <c r="DT18" i="2"/>
  <c r="EV18" i="2" s="1"/>
  <c r="DT166" i="2"/>
  <c r="DT68" i="2"/>
  <c r="EK68" i="2" s="1"/>
  <c r="DT123" i="2"/>
  <c r="DT190" i="2"/>
  <c r="EH190" i="2" s="1"/>
  <c r="DT117" i="2"/>
  <c r="DT167" i="2"/>
  <c r="DV167" i="2" s="1"/>
  <c r="DT20" i="2"/>
  <c r="DT84" i="2"/>
  <c r="EV84" i="2" s="1"/>
  <c r="DT77" i="2"/>
  <c r="EE77" i="2" s="1"/>
  <c r="DT89" i="2"/>
  <c r="DT163" i="2"/>
  <c r="DT112" i="2"/>
  <c r="EE112" i="2" s="1"/>
  <c r="DT76" i="2"/>
  <c r="EO76" i="2" s="1"/>
  <c r="DT38" i="2"/>
  <c r="DX38" i="2" s="1"/>
  <c r="DY38" i="2" s="1"/>
  <c r="DT180" i="2"/>
  <c r="EO180" i="2" s="1"/>
  <c r="DT115" i="2"/>
  <c r="EV115" i="2" s="1"/>
  <c r="DT39" i="2"/>
  <c r="ED39" i="2" s="1"/>
  <c r="DT34" i="2"/>
  <c r="DU34" i="2" s="1"/>
  <c r="DT149" i="2"/>
  <c r="DT90" i="2"/>
  <c r="EA90" i="2" s="1"/>
  <c r="ET90" i="2" s="1"/>
  <c r="DT83" i="2"/>
  <c r="DT15" i="2"/>
  <c r="EF15" i="2" s="1"/>
  <c r="DT144" i="2"/>
  <c r="EM144" i="2" s="1"/>
  <c r="DT81" i="2"/>
  <c r="DW81" i="2" s="1"/>
  <c r="DT31" i="2"/>
  <c r="DW31" i="2" s="1"/>
  <c r="DT126" i="2"/>
  <c r="EV126" i="2" s="1"/>
  <c r="DT110" i="2"/>
  <c r="DT133" i="2"/>
  <c r="EC133" i="2" s="1"/>
  <c r="DT101" i="2"/>
  <c r="DT177" i="2"/>
  <c r="DX177" i="2" s="1"/>
  <c r="DY177" i="2" s="1"/>
  <c r="DT54" i="2"/>
  <c r="EG54" i="2" s="1"/>
  <c r="DT41" i="2"/>
  <c r="EG41" i="2" s="1"/>
  <c r="DT65" i="2"/>
  <c r="DU65" i="2" s="1"/>
  <c r="DT196" i="2"/>
  <c r="EB196" i="2" s="1"/>
  <c r="DT17" i="2"/>
  <c r="DT128" i="2"/>
  <c r="EA128" i="2" s="1"/>
  <c r="ET128" i="2" s="1"/>
  <c r="DT134" i="2"/>
  <c r="EP134" i="2" s="1"/>
  <c r="DT172" i="2"/>
  <c r="EO172" i="2" s="1"/>
  <c r="DT37" i="2"/>
  <c r="DT200" i="2"/>
  <c r="DU200" i="2" s="1"/>
  <c r="DT188" i="2"/>
  <c r="EL188" i="2" s="1"/>
  <c r="DT16" i="2"/>
  <c r="DU16" i="2" s="1"/>
  <c r="DT36" i="2"/>
  <c r="EN36" i="2" s="1"/>
  <c r="DT120" i="2"/>
  <c r="EO120" i="2" s="1"/>
  <c r="DT195" i="2"/>
  <c r="DT151" i="2"/>
  <c r="EL151" i="2" s="1"/>
  <c r="DT63" i="2"/>
  <c r="DT153" i="2"/>
  <c r="EC153" i="2" s="1"/>
  <c r="DT146" i="2"/>
  <c r="EC146" i="2" s="1"/>
  <c r="DT19" i="2"/>
  <c r="DZ19" i="2" s="1"/>
  <c r="DT13" i="2"/>
  <c r="DT32" i="2"/>
  <c r="DV32" i="2" s="1"/>
  <c r="DT156" i="2"/>
  <c r="DT140" i="2"/>
  <c r="EL140" i="2" s="1"/>
  <c r="DT118" i="2"/>
  <c r="EG118" i="2" s="1"/>
  <c r="DT102" i="2"/>
  <c r="EO102" i="2" s="1"/>
  <c r="DT176" i="2"/>
  <c r="EC176" i="2" s="1"/>
  <c r="DT104" i="2"/>
  <c r="DW104" i="2" s="1"/>
  <c r="DT14" i="2"/>
  <c r="DT52" i="2"/>
  <c r="EC52" i="2" s="1"/>
  <c r="DT27" i="2"/>
  <c r="EF27" i="2" s="1"/>
  <c r="DT46" i="2"/>
  <c r="ER46" i="2" s="1"/>
  <c r="DT185" i="2"/>
  <c r="DT57" i="2"/>
  <c r="DX57" i="2" s="1"/>
  <c r="DY57" i="2" s="1"/>
  <c r="DT113" i="2"/>
  <c r="EH113" i="2" s="1"/>
  <c r="DT187" i="2"/>
  <c r="DV187" i="2" s="1"/>
  <c r="DT33" i="2"/>
  <c r="EF33" i="2" s="1"/>
  <c r="DT114" i="2"/>
  <c r="EI114" i="2" s="1"/>
  <c r="DT170" i="2"/>
  <c r="DT56" i="2"/>
  <c r="DV56" i="2" s="1"/>
  <c r="DT169" i="2"/>
  <c r="DW169" i="2" s="1"/>
  <c r="DT51" i="2"/>
  <c r="EV51" i="2" s="1"/>
  <c r="DT138" i="2"/>
  <c r="DT61" i="2"/>
  <c r="EO61" i="2" s="1"/>
  <c r="DT160" i="2"/>
  <c r="EQ160" i="2" s="1"/>
  <c r="DT92" i="2"/>
  <c r="DT148" i="2"/>
  <c r="DT96" i="2"/>
  <c r="ER96" i="2" s="1"/>
  <c r="DT178" i="2"/>
  <c r="ED178" i="2" s="1"/>
  <c r="DT119" i="2"/>
  <c r="EJ119" i="2" s="1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G94" i="2"/>
  <c r="EK94" i="2"/>
  <c r="DU94" i="2"/>
  <c r="ES94" i="2"/>
  <c r="EU94" i="2" s="1"/>
  <c r="EC94" i="2"/>
  <c r="DX94" i="2"/>
  <c r="DY94" i="2" s="1"/>
  <c r="EL94" i="2"/>
  <c r="EF94" i="2"/>
  <c r="EC165" i="2"/>
  <c r="EM142" i="2"/>
  <c r="EC142" i="2"/>
  <c r="EJ142" i="2"/>
  <c r="DZ142" i="2"/>
  <c r="ED142" i="2"/>
  <c r="EP142" i="2"/>
  <c r="EQ142" i="2"/>
  <c r="EB142" i="2"/>
  <c r="DV142" i="2"/>
  <c r="EO142" i="2"/>
  <c r="EE142" i="2"/>
  <c r="DW142" i="2"/>
  <c r="EI142" i="2"/>
  <c r="ER142" i="2"/>
  <c r="EL142" i="2"/>
  <c r="EF142" i="2"/>
  <c r="EK142" i="2"/>
  <c r="EH142" i="2"/>
  <c r="ES142" i="2"/>
  <c r="EU142" i="2" s="1"/>
  <c r="EV142" i="2"/>
  <c r="EN142" i="2"/>
  <c r="DW183" i="2"/>
  <c r="DZ183" i="2"/>
  <c r="EH30" i="2"/>
  <c r="EF30" i="2"/>
  <c r="EO30" i="2"/>
  <c r="EK30" i="2"/>
  <c r="DZ30" i="2"/>
  <c r="EA30" i="2"/>
  <c r="ET30" i="2" s="1"/>
  <c r="EG30" i="2"/>
  <c r="EQ30" i="2"/>
  <c r="ED30" i="2"/>
  <c r="DW30" i="2"/>
  <c r="ER30" i="2"/>
  <c r="DW35" i="2"/>
  <c r="EQ182" i="2"/>
  <c r="EL193" i="2"/>
  <c r="DX193" i="2"/>
  <c r="DY193" i="2" s="1"/>
  <c r="DW69" i="2"/>
  <c r="EV169" i="2"/>
  <c r="H173" i="9"/>
  <c r="DU155" i="2"/>
  <c r="DU197" i="2"/>
  <c r="EN197" i="2"/>
  <c r="EV197" i="2"/>
  <c r="EM62" i="2"/>
  <c r="EJ62" i="2"/>
  <c r="EH174" i="2"/>
  <c r="EO127" i="2"/>
  <c r="ES127" i="2"/>
  <c r="EU127" i="2" s="1"/>
  <c r="EA127" i="2"/>
  <c r="ET127" i="2" s="1"/>
  <c r="DX184" i="2"/>
  <c r="DY184" i="2" s="1"/>
  <c r="ED49" i="2"/>
  <c r="EA49" i="2"/>
  <c r="ET49" i="2" s="1"/>
  <c r="EQ49" i="2"/>
  <c r="EM49" i="2"/>
  <c r="EJ49" i="2"/>
  <c r="DV49" i="2"/>
  <c r="EK49" i="2"/>
  <c r="DU73" i="2"/>
  <c r="EV73" i="2"/>
  <c r="EM73" i="2"/>
  <c r="ED73" i="2"/>
  <c r="DZ73" i="2"/>
  <c r="EP73" i="2"/>
  <c r="EJ25" i="2"/>
  <c r="DX141" i="2"/>
  <c r="DY141" i="2" s="1"/>
  <c r="DV141" i="2"/>
  <c r="EP150" i="2"/>
  <c r="DU150" i="2"/>
  <c r="EI150" i="2"/>
  <c r="EH150" i="2"/>
  <c r="ER150" i="2"/>
  <c r="EQ150" i="2"/>
  <c r="EJ150" i="2"/>
  <c r="EC150" i="2"/>
  <c r="EN150" i="2"/>
  <c r="EB150" i="2"/>
  <c r="EO150" i="2"/>
  <c r="ER175" i="2"/>
  <c r="EN175" i="2"/>
  <c r="ED175" i="2"/>
  <c r="DW175" i="2"/>
  <c r="ES175" i="2"/>
  <c r="EU175" i="2" s="1"/>
  <c r="DX175" i="2"/>
  <c r="DY175" i="2" s="1"/>
  <c r="EM175" i="2"/>
  <c r="EJ175" i="2"/>
  <c r="DV175" i="2"/>
  <c r="DZ175" i="2"/>
  <c r="EP131" i="2"/>
  <c r="DX131" i="2"/>
  <c r="DY131" i="2" s="1"/>
  <c r="EH160" i="2"/>
  <c r="EB160" i="2"/>
  <c r="EJ160" i="2"/>
  <c r="DU160" i="2"/>
  <c r="EF55" i="2"/>
  <c r="EE55" i="2"/>
  <c r="ER55" i="2"/>
  <c r="DW55" i="2"/>
  <c r="EB55" i="2"/>
  <c r="ED55" i="2"/>
  <c r="DX55" i="2"/>
  <c r="DY55" i="2" s="1"/>
  <c r="EI55" i="2"/>
  <c r="DV55" i="2"/>
  <c r="EC55" i="2"/>
  <c r="EH55" i="2"/>
  <c r="EL55" i="2"/>
  <c r="EQ55" i="2"/>
  <c r="EG55" i="2"/>
  <c r="EM55" i="2"/>
  <c r="EO55" i="2"/>
  <c r="EE122" i="2"/>
  <c r="DX122" i="2"/>
  <c r="DY122" i="2" s="1"/>
  <c r="EO147" i="2"/>
  <c r="ER147" i="2"/>
  <c r="EL147" i="2"/>
  <c r="EH147" i="2"/>
  <c r="EJ147" i="2"/>
  <c r="EQ147" i="2"/>
  <c r="EC147" i="2"/>
  <c r="EG147" i="2"/>
  <c r="EI70" i="2"/>
  <c r="EV70" i="2"/>
  <c r="EQ70" i="2"/>
  <c r="DZ70" i="2"/>
  <c r="EP70" i="2"/>
  <c r="EH9" i="2"/>
  <c r="DX9" i="2"/>
  <c r="DY9" i="2" s="1"/>
  <c r="EJ9" i="2"/>
  <c r="EQ9" i="2"/>
  <c r="EK9" i="2"/>
  <c r="EL9" i="2"/>
  <c r="EB9" i="2"/>
  <c r="EV9" i="2"/>
  <c r="EM9" i="2"/>
  <c r="EE9" i="2"/>
  <c r="EP9" i="2"/>
  <c r="EB60" i="2"/>
  <c r="DU60" i="2"/>
  <c r="EC60" i="2"/>
  <c r="EH60" i="2"/>
  <c r="EQ60" i="2"/>
  <c r="EL60" i="2"/>
  <c r="EG60" i="2"/>
  <c r="DX60" i="2"/>
  <c r="DY60" i="2" s="1"/>
  <c r="ER60" i="2"/>
  <c r="DW60" i="2"/>
  <c r="EO60" i="2"/>
  <c r="EN60" i="2"/>
  <c r="DV60" i="2"/>
  <c r="EV60" i="2"/>
  <c r="DZ60" i="2"/>
  <c r="ES60" i="2"/>
  <c r="EU60" i="2" s="1"/>
  <c r="EH79" i="2"/>
  <c r="DV79" i="2"/>
  <c r="EV79" i="2"/>
  <c r="EQ79" i="2"/>
  <c r="EM79" i="2"/>
  <c r="DZ79" i="2"/>
  <c r="EP79" i="2"/>
  <c r="ER44" i="2"/>
  <c r="EN44" i="2"/>
  <c r="EP44" i="2"/>
  <c r="EF44" i="2"/>
  <c r="EA44" i="2"/>
  <c r="ET44" i="2" s="1"/>
  <c r="EL44" i="2"/>
  <c r="EC44" i="2"/>
  <c r="EK44" i="2"/>
  <c r="EQ44" i="2"/>
  <c r="EM44" i="2"/>
  <c r="DV44" i="2"/>
  <c r="ES44" i="2"/>
  <c r="EU44" i="2" s="1"/>
  <c r="EH44" i="2"/>
  <c r="EV125" i="2"/>
  <c r="EM125" i="2"/>
  <c r="EA125" i="2"/>
  <c r="ET125" i="2" s="1"/>
  <c r="DX125" i="2"/>
  <c r="DY125" i="2" s="1"/>
  <c r="DU125" i="2"/>
  <c r="EE125" i="2"/>
  <c r="DV125" i="2"/>
  <c r="EP125" i="2"/>
  <c r="EH28" i="2"/>
  <c r="DU28" i="2"/>
  <c r="EI28" i="2"/>
  <c r="EV28" i="2"/>
  <c r="ES28" i="2"/>
  <c r="EU28" i="2" s="1"/>
  <c r="DZ64" i="2"/>
  <c r="ED64" i="2"/>
  <c r="DU64" i="2"/>
  <c r="EB64" i="2"/>
  <c r="EH64" i="2"/>
  <c r="EK64" i="2"/>
  <c r="DW64" i="2"/>
  <c r="DV64" i="2"/>
  <c r="DX64" i="2"/>
  <c r="DY64" i="2" s="1"/>
  <c r="EG64" i="2"/>
  <c r="ES64" i="2"/>
  <c r="EU64" i="2" s="1"/>
  <c r="EO64" i="2"/>
  <c r="EP64" i="2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J100" i="2"/>
  <c r="EB100" i="2"/>
  <c r="EV100" i="2"/>
  <c r="EF100" i="2"/>
  <c r="EH100" i="2"/>
  <c r="EC100" i="2"/>
  <c r="ER100" i="2"/>
  <c r="DW100" i="2"/>
  <c r="EA100" i="2"/>
  <c r="ET100" i="2" s="1"/>
  <c r="EN100" i="2"/>
  <c r="EK100" i="2"/>
  <c r="DU100" i="2"/>
  <c r="ES100" i="2"/>
  <c r="EU100" i="2" s="1"/>
  <c r="EI100" i="2"/>
  <c r="EO100" i="2"/>
  <c r="EE100" i="2"/>
  <c r="ED100" i="2"/>
  <c r="EL100" i="2"/>
  <c r="DZ100" i="2"/>
  <c r="EP100" i="2"/>
  <c r="EC18" i="2"/>
  <c r="DW18" i="2"/>
  <c r="DU18" i="2"/>
  <c r="EQ18" i="2"/>
  <c r="EE18" i="2"/>
  <c r="EO18" i="2"/>
  <c r="DV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M96" i="2"/>
  <c r="EI96" i="2"/>
  <c r="EV96" i="2"/>
  <c r="ED96" i="2"/>
  <c r="EA96" i="2"/>
  <c r="ET96" i="2" s="1"/>
  <c r="EM119" i="2"/>
  <c r="DU119" i="2"/>
  <c r="EE119" i="2"/>
  <c r="DX119" i="2"/>
  <c r="DY119" i="2" s="1"/>
  <c r="DW119" i="2"/>
  <c r="EO119" i="2"/>
  <c r="ES119" i="2"/>
  <c r="EU119" i="2" s="1"/>
  <c r="EC119" i="2"/>
  <c r="DV119" i="2"/>
  <c r="EJ24" i="2"/>
  <c r="DW24" i="2"/>
  <c r="EH24" i="2"/>
  <c r="EP24" i="2"/>
  <c r="EA24" i="2"/>
  <c r="ET24" i="2" s="1"/>
  <c r="EQ24" i="2"/>
  <c r="EC24" i="2"/>
  <c r="EE24" i="2"/>
  <c r="EV24" i="2"/>
  <c r="DV24" i="2"/>
  <c r="DZ24" i="2"/>
  <c r="EM24" i="2"/>
  <c r="EG24" i="2"/>
  <c r="ED24" i="2"/>
  <c r="EL24" i="2"/>
  <c r="ES24" i="2"/>
  <c r="EU24" i="2" s="1"/>
  <c r="EF24" i="2"/>
  <c r="ER24" i="2"/>
  <c r="EI24" i="2"/>
  <c r="EK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DV199" i="2"/>
  <c r="EB199" i="2"/>
  <c r="EE199" i="2"/>
  <c r="ES199" i="2"/>
  <c r="EU199" i="2" s="1"/>
  <c r="EM199" i="2"/>
  <c r="EF199" i="2"/>
  <c r="DU199" i="2"/>
  <c r="EL199" i="2"/>
  <c r="DX199" i="2"/>
  <c r="DY199" i="2" s="1"/>
  <c r="EP199" i="2"/>
  <c r="EG132" i="2"/>
  <c r="DU132" i="2"/>
  <c r="EK67" i="2"/>
  <c r="DU67" i="2"/>
  <c r="ER67" i="2"/>
  <c r="EG67" i="2"/>
  <c r="DW67" i="2"/>
  <c r="EE67" i="2"/>
  <c r="ES67" i="2"/>
  <c r="EU67" i="2" s="1"/>
  <c r="EM67" i="2"/>
  <c r="EV67" i="2"/>
  <c r="EP67" i="2"/>
  <c r="EO67" i="2"/>
  <c r="EA67" i="2"/>
  <c r="ET67" i="2" s="1"/>
  <c r="EQ67" i="2"/>
  <c r="ED168" i="2"/>
  <c r="EN168" i="2"/>
  <c r="ER168" i="2"/>
  <c r="EH168" i="2"/>
  <c r="EA168" i="2"/>
  <c r="ET168" i="2" s="1"/>
  <c r="DV168" i="2"/>
  <c r="DX168" i="2"/>
  <c r="DY168" i="2" s="1"/>
  <c r="EO168" i="2"/>
  <c r="EE168" i="2"/>
  <c r="EL168" i="2"/>
  <c r="EK168" i="2"/>
  <c r="EI168" i="2"/>
  <c r="EV168" i="2"/>
  <c r="EG168" i="2"/>
  <c r="EB168" i="2"/>
  <c r="DU168" i="2"/>
  <c r="EQ168" i="2"/>
  <c r="EF168" i="2"/>
  <c r="EC168" i="2"/>
  <c r="ES168" i="2"/>
  <c r="EU168" i="2" s="1"/>
  <c r="EP168" i="2"/>
  <c r="DZ168" i="2"/>
  <c r="EJ157" i="2"/>
  <c r="ES157" i="2"/>
  <c r="EU157" i="2" s="1"/>
  <c r="EK157" i="2"/>
  <c r="EO157" i="2"/>
  <c r="EL157" i="2"/>
  <c r="DX157" i="2"/>
  <c r="DY157" i="2" s="1"/>
  <c r="DW157" i="2"/>
  <c r="ER157" i="2"/>
  <c r="EM157" i="2"/>
  <c r="EV157" i="2"/>
  <c r="DV157" i="2"/>
  <c r="EA157" i="2"/>
  <c r="ET157" i="2" s="1"/>
  <c r="EQ157" i="2"/>
  <c r="EB157" i="2"/>
  <c r="EE157" i="2"/>
  <c r="EF157" i="2"/>
  <c r="EN157" i="2"/>
  <c r="ED157" i="2"/>
  <c r="EG157" i="2"/>
  <c r="DZ157" i="2"/>
  <c r="EC157" i="2"/>
  <c r="DX88" i="2"/>
  <c r="DY88" i="2" s="1"/>
  <c r="DV88" i="2"/>
  <c r="EP88" i="2"/>
  <c r="EV201" i="2"/>
  <c r="EJ201" i="2"/>
  <c r="DV201" i="2"/>
  <c r="EL201" i="2"/>
  <c r="EA201" i="2"/>
  <c r="ET201" i="2" s="1"/>
  <c r="ED201" i="2"/>
  <c r="DX201" i="2"/>
  <c r="DY201" i="2" s="1"/>
  <c r="EQ201" i="2"/>
  <c r="ER201" i="2"/>
  <c r="DW201" i="2"/>
  <c r="ES201" i="2"/>
  <c r="EU201" i="2" s="1"/>
  <c r="EK201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EK91" i="2"/>
  <c r="EM91" i="2"/>
  <c r="DW91" i="2"/>
  <c r="ER91" i="2"/>
  <c r="EB91" i="2"/>
  <c r="EH91" i="2"/>
  <c r="ES91" i="2"/>
  <c r="EU91" i="2" s="1"/>
  <c r="EQ91" i="2"/>
  <c r="EL91" i="2"/>
  <c r="EC91" i="2"/>
  <c r="EF91" i="2"/>
  <c r="EV91" i="2"/>
  <c r="DZ91" i="2"/>
  <c r="EJ99" i="2"/>
  <c r="ES99" i="2"/>
  <c r="EU99" i="2" s="1"/>
  <c r="ER99" i="2"/>
  <c r="DW99" i="2"/>
  <c r="EC99" i="2"/>
  <c r="EO99" i="2"/>
  <c r="EB99" i="2"/>
  <c r="EE99" i="2"/>
  <c r="EG99" i="2"/>
  <c r="EF99" i="2"/>
  <c r="EI99" i="2"/>
  <c r="ED99" i="2"/>
  <c r="EP99" i="2"/>
  <c r="DZ99" i="2"/>
  <c r="DX181" i="2"/>
  <c r="DY181" i="2" s="1"/>
  <c r="EV181" i="2"/>
  <c r="EA181" i="2"/>
  <c r="ET181" i="2" s="1"/>
  <c r="EQ181" i="2"/>
  <c r="EN181" i="2"/>
  <c r="EJ181" i="2"/>
  <c r="EF181" i="2"/>
  <c r="EL181" i="2"/>
  <c r="EK181" i="2"/>
  <c r="DW181" i="2"/>
  <c r="EH181" i="2"/>
  <c r="EO181" i="2"/>
  <c r="DU181" i="2"/>
  <c r="EI181" i="2"/>
  <c r="EC181" i="2"/>
  <c r="EB181" i="2"/>
  <c r="EE181" i="2"/>
  <c r="ER181" i="2"/>
  <c r="DZ181" i="2"/>
  <c r="EG123" i="2"/>
  <c r="EP123" i="2"/>
  <c r="ER123" i="2"/>
  <c r="EH123" i="2"/>
  <c r="ES123" i="2"/>
  <c r="EU123" i="2" s="1"/>
  <c r="DW123" i="2"/>
  <c r="EM123" i="2"/>
  <c r="DZ123" i="2"/>
  <c r="EJ123" i="2"/>
  <c r="DU123" i="2"/>
  <c r="EI123" i="2"/>
  <c r="EB123" i="2"/>
  <c r="EF123" i="2"/>
  <c r="EE123" i="2"/>
  <c r="EC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DU167" i="2"/>
  <c r="EF167" i="2"/>
  <c r="EB167" i="2"/>
  <c r="EI167" i="2"/>
  <c r="EA167" i="2"/>
  <c r="ET167" i="2" s="1"/>
  <c r="EO167" i="2"/>
  <c r="EN167" i="2"/>
  <c r="EG167" i="2"/>
  <c r="EQ167" i="2"/>
  <c r="EM167" i="2"/>
  <c r="DX167" i="2"/>
  <c r="DY167" i="2" s="1"/>
  <c r="EL167" i="2"/>
  <c r="EP167" i="2"/>
  <c r="DZ167" i="2"/>
  <c r="ED84" i="2"/>
  <c r="EG84" i="2"/>
  <c r="EB84" i="2"/>
  <c r="EM84" i="2"/>
  <c r="EI84" i="2"/>
  <c r="DV84" i="2"/>
  <c r="ES84" i="2"/>
  <c r="EU84" i="2" s="1"/>
  <c r="EF84" i="2"/>
  <c r="DZ84" i="2"/>
  <c r="EH84" i="2"/>
  <c r="EN84" i="2"/>
  <c r="DW77" i="2"/>
  <c r="EV77" i="2"/>
  <c r="DU77" i="2"/>
  <c r="DV77" i="2"/>
  <c r="EG77" i="2"/>
  <c r="DU163" i="2"/>
  <c r="EJ163" i="2"/>
  <c r="EK163" i="2"/>
  <c r="EI163" i="2"/>
  <c r="EE163" i="2"/>
  <c r="DX163" i="2"/>
  <c r="DY163" i="2" s="1"/>
  <c r="EB163" i="2"/>
  <c r="ED163" i="2"/>
  <c r="ER163" i="2"/>
  <c r="EF163" i="2"/>
  <c r="EA163" i="2"/>
  <c r="ET163" i="2" s="1"/>
  <c r="EQ163" i="2"/>
  <c r="DZ163" i="2"/>
  <c r="EL163" i="2"/>
  <c r="EV163" i="2"/>
  <c r="EC112" i="2"/>
  <c r="DX112" i="2"/>
  <c r="DY112" i="2" s="1"/>
  <c r="EB112" i="2"/>
  <c r="EH112" i="2"/>
  <c r="EJ112" i="2"/>
  <c r="EO112" i="2"/>
  <c r="ER112" i="2"/>
  <c r="DW112" i="2"/>
  <c r="EV112" i="2"/>
  <c r="EM112" i="2"/>
  <c r="ED112" i="2"/>
  <c r="EP112" i="2"/>
  <c r="DZ112" i="2"/>
  <c r="EA38" i="2"/>
  <c r="ET38" i="2" s="1"/>
  <c r="EO38" i="2"/>
  <c r="EQ38" i="2"/>
  <c r="ER38" i="2"/>
  <c r="EN38" i="2"/>
  <c r="DU38" i="2"/>
  <c r="EH38" i="2"/>
  <c r="EK38" i="2"/>
  <c r="EI38" i="2"/>
  <c r="DW38" i="2"/>
  <c r="EB38" i="2"/>
  <c r="ES38" i="2"/>
  <c r="EU38" i="2" s="1"/>
  <c r="EP38" i="2"/>
  <c r="DV180" i="2"/>
  <c r="EI180" i="2"/>
  <c r="ER180" i="2"/>
  <c r="EL180" i="2"/>
  <c r="EC180" i="2"/>
  <c r="EQ180" i="2"/>
  <c r="EH180" i="2"/>
  <c r="ED180" i="2"/>
  <c r="EF180" i="2"/>
  <c r="EB180" i="2"/>
  <c r="ES180" i="2"/>
  <c r="EU180" i="2" s="1"/>
  <c r="EE180" i="2"/>
  <c r="DU180" i="2"/>
  <c r="DX180" i="2"/>
  <c r="DY180" i="2" s="1"/>
  <c r="EM180" i="2"/>
  <c r="DW180" i="2"/>
  <c r="EJ180" i="2"/>
  <c r="DZ180" i="2"/>
  <c r="EF39" i="2"/>
  <c r="EC39" i="2"/>
  <c r="EH39" i="2"/>
  <c r="EV39" i="2"/>
  <c r="EO90" i="2"/>
  <c r="ES90" i="2"/>
  <c r="EU90" i="2" s="1"/>
  <c r="EH90" i="2"/>
  <c r="DX90" i="2"/>
  <c r="DY90" i="2" s="1"/>
  <c r="EQ90" i="2"/>
  <c r="EJ90" i="2"/>
  <c r="EI90" i="2"/>
  <c r="EG90" i="2"/>
  <c r="EB90" i="2"/>
  <c r="EL90" i="2"/>
  <c r="DV90" i="2"/>
  <c r="DZ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G144" i="2"/>
  <c r="EC144" i="2"/>
  <c r="EI144" i="2"/>
  <c r="DU144" i="2"/>
  <c r="EQ144" i="2"/>
  <c r="EK144" i="2"/>
  <c r="EH144" i="2"/>
  <c r="ED144" i="2"/>
  <c r="DX144" i="2"/>
  <c r="DY144" i="2" s="1"/>
  <c r="EJ144" i="2"/>
  <c r="EN144" i="2"/>
  <c r="EP144" i="2"/>
  <c r="ES144" i="2"/>
  <c r="EU144" i="2" s="1"/>
  <c r="EO144" i="2"/>
  <c r="ER144" i="2"/>
  <c r="DV144" i="2"/>
  <c r="EB144" i="2"/>
  <c r="DW144" i="2"/>
  <c r="DZ144" i="2"/>
  <c r="ER81" i="2"/>
  <c r="EL81" i="2"/>
  <c r="EM81" i="2"/>
  <c r="EF81" i="2"/>
  <c r="EQ81" i="2"/>
  <c r="DV81" i="2"/>
  <c r="EB81" i="2"/>
  <c r="DX81" i="2"/>
  <c r="DY81" i="2" s="1"/>
  <c r="EI81" i="2"/>
  <c r="DZ81" i="2"/>
  <c r="DX126" i="2"/>
  <c r="DY126" i="2" s="1"/>
  <c r="ES126" i="2"/>
  <c r="EU126" i="2" s="1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G139" i="2"/>
  <c r="DX139" i="2"/>
  <c r="DY139" i="2" s="1"/>
  <c r="DW139" i="2"/>
  <c r="EO139" i="2"/>
  <c r="ES139" i="2"/>
  <c r="EU139" i="2" s="1"/>
  <c r="EK139" i="2"/>
  <c r="EN139" i="2"/>
  <c r="ED139" i="2"/>
  <c r="EF139" i="2"/>
  <c r="EB139" i="2"/>
  <c r="EM139" i="2"/>
  <c r="DV139" i="2"/>
  <c r="EC139" i="2"/>
  <c r="ER139" i="2"/>
  <c r="EL139" i="2"/>
  <c r="EH139" i="2"/>
  <c r="DZ139" i="2"/>
  <c r="EQ139" i="2"/>
  <c r="EK191" i="2"/>
  <c r="EB191" i="2"/>
  <c r="EF191" i="2"/>
  <c r="EJ191" i="2"/>
  <c r="EL191" i="2"/>
  <c r="EI191" i="2"/>
  <c r="DX191" i="2"/>
  <c r="DY191" i="2" s="1"/>
  <c r="EC191" i="2"/>
  <c r="ED191" i="2"/>
  <c r="EO191" i="2"/>
  <c r="DZ191" i="2"/>
  <c r="EB109" i="2"/>
  <c r="EL109" i="2"/>
  <c r="EK109" i="2"/>
  <c r="EN109" i="2"/>
  <c r="EV109" i="2"/>
  <c r="EG109" i="2"/>
  <c r="EA109" i="2"/>
  <c r="ET109" i="2" s="1"/>
  <c r="EH109" i="2"/>
  <c r="EO109" i="2"/>
  <c r="EM109" i="2"/>
  <c r="EF109" i="2"/>
  <c r="DU109" i="2"/>
  <c r="ED109" i="2"/>
  <c r="EC109" i="2"/>
  <c r="EQ109" i="2"/>
  <c r="DZ109" i="2"/>
  <c r="DV43" i="2"/>
  <c r="EC43" i="2"/>
  <c r="EH43" i="2"/>
  <c r="DW43" i="2"/>
  <c r="EJ43" i="2"/>
  <c r="EE43" i="2"/>
  <c r="EK43" i="2"/>
  <c r="ED43" i="2"/>
  <c r="ER43" i="2"/>
  <c r="EQ43" i="2"/>
  <c r="EN43" i="2"/>
  <c r="DX43" i="2"/>
  <c r="DY43" i="2" s="1"/>
  <c r="EA43" i="2"/>
  <c r="ET43" i="2" s="1"/>
  <c r="EO43" i="2"/>
  <c r="EP43" i="2"/>
  <c r="EA135" i="2"/>
  <c r="ET135" i="2" s="1"/>
  <c r="EO135" i="2"/>
  <c r="EI135" i="2"/>
  <c r="EQ135" i="2"/>
  <c r="EJ135" i="2"/>
  <c r="ED135" i="2"/>
  <c r="DW135" i="2"/>
  <c r="DU135" i="2"/>
  <c r="EE135" i="2"/>
  <c r="EH135" i="2"/>
  <c r="DZ135" i="2"/>
  <c r="EK135" i="2"/>
  <c r="ER135" i="2"/>
  <c r="EC135" i="2"/>
  <c r="EN135" i="2"/>
  <c r="ES135" i="2"/>
  <c r="EU135" i="2" s="1"/>
  <c r="ES72" i="2"/>
  <c r="EU72" i="2" s="1"/>
  <c r="ED72" i="2"/>
  <c r="DW72" i="2"/>
  <c r="EI72" i="2"/>
  <c r="DU72" i="2"/>
  <c r="EH72" i="2"/>
  <c r="EF72" i="2"/>
  <c r="EN72" i="2"/>
  <c r="EL72" i="2"/>
  <c r="EA72" i="2"/>
  <c r="ET72" i="2" s="1"/>
  <c r="EK72" i="2"/>
  <c r="DX72" i="2"/>
  <c r="DY72" i="2" s="1"/>
  <c r="DV72" i="2"/>
  <c r="EV72" i="2"/>
  <c r="EG72" i="2"/>
  <c r="EJ72" i="2"/>
  <c r="DZ59" i="2"/>
  <c r="EA59" i="2"/>
  <c r="ET59" i="2" s="1"/>
  <c r="DX152" i="2"/>
  <c r="DY152" i="2" s="1"/>
  <c r="DW152" i="2"/>
  <c r="DU152" i="2"/>
  <c r="EF152" i="2"/>
  <c r="EJ152" i="2"/>
  <c r="EN152" i="2"/>
  <c r="EK152" i="2"/>
  <c r="EL152" i="2"/>
  <c r="EO152" i="2"/>
  <c r="DV152" i="2"/>
  <c r="ES152" i="2"/>
  <c r="EU152" i="2" s="1"/>
  <c r="EG152" i="2"/>
  <c r="EE152" i="2"/>
  <c r="EA152" i="2"/>
  <c r="ET152" i="2" s="1"/>
  <c r="EH152" i="2"/>
  <c r="DZ152" i="2"/>
  <c r="EV152" i="2"/>
  <c r="EI152" i="2"/>
  <c r="EP152" i="2"/>
  <c r="EM152" i="2"/>
  <c r="EC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EC145" i="2"/>
  <c r="EP194" i="2"/>
  <c r="DZ194" i="2"/>
  <c r="EK194" i="2"/>
  <c r="EB194" i="2"/>
  <c r="EJ194" i="2"/>
  <c r="EG194" i="2"/>
  <c r="ES194" i="2"/>
  <c r="EU194" i="2" s="1"/>
  <c r="EE194" i="2"/>
  <c r="DW194" i="2"/>
  <c r="DU194" i="2"/>
  <c r="EC194" i="2"/>
  <c r="ER194" i="2"/>
  <c r="EH194" i="2"/>
  <c r="EO194" i="2"/>
  <c r="EL66" i="2"/>
  <c r="EI66" i="2"/>
  <c r="EQ66" i="2"/>
  <c r="EE66" i="2"/>
  <c r="EC66" i="2"/>
  <c r="EH66" i="2"/>
  <c r="EJ66" i="2"/>
  <c r="ED66" i="2"/>
  <c r="DU66" i="2"/>
  <c r="EA66" i="2"/>
  <c r="ET66" i="2" s="1"/>
  <c r="DX66" i="2"/>
  <c r="DY66" i="2" s="1"/>
  <c r="EV66" i="2"/>
  <c r="ER66" i="2"/>
  <c r="EB66" i="2"/>
  <c r="EP66" i="2"/>
  <c r="EE41" i="2"/>
  <c r="ED41" i="2"/>
  <c r="EM41" i="2"/>
  <c r="EO41" i="2"/>
  <c r="EJ41" i="2"/>
  <c r="EB41" i="2"/>
  <c r="DU41" i="2"/>
  <c r="EN41" i="2"/>
  <c r="EP41" i="2"/>
  <c r="EA41" i="2"/>
  <c r="ET41" i="2" s="1"/>
  <c r="EA65" i="2"/>
  <c r="ET65" i="2" s="1"/>
  <c r="EC65" i="2"/>
  <c r="EK65" i="2"/>
  <c r="ED65" i="2"/>
  <c r="DU110" i="2"/>
  <c r="DZ110" i="2"/>
  <c r="EK110" i="2"/>
  <c r="EQ110" i="2"/>
  <c r="EJ110" i="2"/>
  <c r="EN110" i="2"/>
  <c r="EF110" i="2"/>
  <c r="EC110" i="2"/>
  <c r="DX110" i="2"/>
  <c r="DY110" i="2" s="1"/>
  <c r="EM110" i="2"/>
  <c r="EH110" i="2"/>
  <c r="EA110" i="2"/>
  <c r="ET110" i="2" s="1"/>
  <c r="EG110" i="2"/>
  <c r="EP110" i="2"/>
  <c r="EV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V177" i="2"/>
  <c r="DU177" i="2"/>
  <c r="EP177" i="2"/>
  <c r="EF177" i="2"/>
  <c r="EL177" i="2"/>
  <c r="EJ177" i="2"/>
  <c r="EI177" i="2"/>
  <c r="ED177" i="2"/>
  <c r="EE177" i="2"/>
  <c r="EG177" i="2"/>
  <c r="EB177" i="2"/>
  <c r="EV80" i="2"/>
  <c r="EH80" i="2"/>
  <c r="EE80" i="2"/>
  <c r="EG80" i="2"/>
  <c r="EJ80" i="2"/>
  <c r="DU80" i="2"/>
  <c r="ER80" i="2"/>
  <c r="EM80" i="2"/>
  <c r="EB80" i="2"/>
  <c r="EN80" i="2"/>
  <c r="DV80" i="2"/>
  <c r="EC80" i="2"/>
  <c r="EA80" i="2"/>
  <c r="ET80" i="2" s="1"/>
  <c r="ES80" i="2"/>
  <c r="EU80" i="2" s="1"/>
  <c r="DU23" i="2"/>
  <c r="EK23" i="2"/>
  <c r="EP23" i="2"/>
  <c r="DW23" i="2"/>
  <c r="EO23" i="2"/>
  <c r="DZ23" i="2"/>
  <c r="EE23" i="2"/>
  <c r="ES23" i="2"/>
  <c r="EU23" i="2" s="1"/>
  <c r="EI23" i="2"/>
  <c r="DV23" i="2"/>
  <c r="EH23" i="2"/>
  <c r="EI50" i="2"/>
  <c r="DU50" i="2"/>
  <c r="EL50" i="2"/>
  <c r="EQ50" i="2"/>
  <c r="EC50" i="2"/>
  <c r="EV50" i="2"/>
  <c r="EP50" i="2"/>
  <c r="EF50" i="2"/>
  <c r="EB50" i="2"/>
  <c r="EN50" i="2"/>
  <c r="ES50" i="2"/>
  <c r="EU50" i="2" s="1"/>
  <c r="ED50" i="2"/>
  <c r="EI188" i="2"/>
  <c r="EJ188" i="2"/>
  <c r="DZ188" i="2"/>
  <c r="EP188" i="2"/>
  <c r="EC16" i="2"/>
  <c r="EJ120" i="2"/>
  <c r="ER120" i="2"/>
  <c r="EC120" i="2"/>
  <c r="EF120" i="2"/>
  <c r="EV120" i="2"/>
  <c r="DU120" i="2"/>
  <c r="DV120" i="2"/>
  <c r="EL120" i="2"/>
  <c r="ED120" i="2"/>
  <c r="EN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K63" i="2"/>
  <c r="EI63" i="2"/>
  <c r="EE63" i="2"/>
  <c r="EO63" i="2"/>
  <c r="DW63" i="2"/>
  <c r="ED63" i="2"/>
  <c r="ER63" i="2"/>
  <c r="EC63" i="2"/>
  <c r="EN63" i="2"/>
  <c r="EJ63" i="2"/>
  <c r="EB63" i="2"/>
  <c r="EV63" i="2"/>
  <c r="EM63" i="2"/>
  <c r="DX63" i="2"/>
  <c r="DY63" i="2" s="1"/>
  <c r="EG63" i="2"/>
  <c r="EA63" i="2"/>
  <c r="ET63" i="2" s="1"/>
  <c r="EQ63" i="2"/>
  <c r="EP63" i="2"/>
  <c r="ES63" i="2"/>
  <c r="EU63" i="2" s="1"/>
  <c r="DV63" i="2"/>
  <c r="EE153" i="2"/>
  <c r="EO153" i="2"/>
  <c r="EP153" i="2"/>
  <c r="EB153" i="2"/>
  <c r="DU153" i="2"/>
  <c r="ES153" i="2"/>
  <c r="EU153" i="2" s="1"/>
  <c r="DX153" i="2"/>
  <c r="DY153" i="2" s="1"/>
  <c r="EF153" i="2"/>
  <c r="ER153" i="2"/>
  <c r="DZ153" i="2"/>
  <c r="EQ153" i="2"/>
  <c r="EK153" i="2"/>
  <c r="EH153" i="2"/>
  <c r="EJ153" i="2"/>
  <c r="DV153" i="2"/>
  <c r="DW153" i="2"/>
  <c r="EV153" i="2"/>
  <c r="EG153" i="2"/>
  <c r="EA153" i="2"/>
  <c r="ET153" i="2" s="1"/>
  <c r="ES13" i="2"/>
  <c r="EU13" i="2" s="1"/>
  <c r="EM13" i="2"/>
  <c r="EF13" i="2"/>
  <c r="EB13" i="2"/>
  <c r="EE13" i="2"/>
  <c r="EH13" i="2"/>
  <c r="ED13" i="2"/>
  <c r="EV13" i="2"/>
  <c r="DZ13" i="2"/>
  <c r="EL13" i="2"/>
  <c r="EO13" i="2"/>
  <c r="EJ13" i="2"/>
  <c r="DU13" i="2"/>
  <c r="EI13" i="2"/>
  <c r="EP13" i="2"/>
  <c r="EC13" i="2"/>
  <c r="EQ13" i="2"/>
  <c r="EN13" i="2"/>
  <c r="EA13" i="2"/>
  <c r="ET13" i="2" s="1"/>
  <c r="ER13" i="2"/>
  <c r="DX13" i="2"/>
  <c r="DY13" i="2" s="1"/>
  <c r="DV13" i="2"/>
  <c r="EK13" i="2"/>
  <c r="DW13" i="2"/>
  <c r="EG13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J128" i="2"/>
  <c r="EG128" i="2"/>
  <c r="EN128" i="2"/>
  <c r="EH128" i="2"/>
  <c r="ER128" i="2"/>
  <c r="EQ128" i="2"/>
  <c r="ES128" i="2"/>
  <c r="EU128" i="2" s="1"/>
  <c r="EO128" i="2"/>
  <c r="EL128" i="2"/>
  <c r="EC128" i="2"/>
  <c r="EI128" i="2"/>
  <c r="EP128" i="2"/>
  <c r="DZ128" i="2"/>
  <c r="EV172" i="2"/>
  <c r="EQ172" i="2"/>
  <c r="EE172" i="2"/>
  <c r="EJ172" i="2"/>
  <c r="DU172" i="2"/>
  <c r="DV172" i="2"/>
  <c r="ES172" i="2"/>
  <c r="EU172" i="2" s="1"/>
  <c r="EK172" i="2"/>
  <c r="ER172" i="2"/>
  <c r="EN172" i="2"/>
  <c r="DX172" i="2"/>
  <c r="DY172" i="2" s="1"/>
  <c r="DW172" i="2"/>
  <c r="EA172" i="2"/>
  <c r="ET172" i="2" s="1"/>
  <c r="DZ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C107" i="2"/>
  <c r="ES107" i="2"/>
  <c r="EU107" i="2" s="1"/>
  <c r="DV107" i="2"/>
  <c r="EV107" i="2"/>
  <c r="EQ107" i="2"/>
  <c r="EJ107" i="2"/>
  <c r="EO107" i="2"/>
  <c r="EA107" i="2"/>
  <c r="ET107" i="2" s="1"/>
  <c r="DU107" i="2"/>
  <c r="ED107" i="2"/>
  <c r="DW107" i="2"/>
  <c r="EG107" i="2"/>
  <c r="EP107" i="2"/>
  <c r="EE107" i="2"/>
  <c r="EN173" i="2"/>
  <c r="DU192" i="2"/>
  <c r="EV192" i="2"/>
  <c r="EI192" i="2"/>
  <c r="EM192" i="2"/>
  <c r="DV192" i="2"/>
  <c r="EL192" i="2"/>
  <c r="EC192" i="2"/>
  <c r="EN192" i="2"/>
  <c r="EG192" i="2"/>
  <c r="EA192" i="2"/>
  <c r="ET192" i="2" s="1"/>
  <c r="DZ192" i="2"/>
  <c r="EH192" i="2"/>
  <c r="EJ192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EV52" i="2"/>
  <c r="EL52" i="2"/>
  <c r="DW52" i="2"/>
  <c r="EH52" i="2"/>
  <c r="EG52" i="2"/>
  <c r="EP52" i="2"/>
  <c r="DX52" i="2"/>
  <c r="DY52" i="2" s="1"/>
  <c r="EJ52" i="2"/>
  <c r="EI52" i="2"/>
  <c r="EA52" i="2"/>
  <c r="ET52" i="2" s="1"/>
  <c r="DZ52" i="2"/>
  <c r="ER52" i="2"/>
  <c r="EO46" i="2"/>
  <c r="EH46" i="2"/>
  <c r="DZ46" i="2"/>
  <c r="DX46" i="2"/>
  <c r="DY46" i="2" s="1"/>
  <c r="DW46" i="2"/>
  <c r="EE46" i="2"/>
  <c r="EC46" i="2"/>
  <c r="EB46" i="2"/>
  <c r="EG46" i="2"/>
  <c r="ES46" i="2"/>
  <c r="EU46" i="2" s="1"/>
  <c r="EL46" i="2"/>
  <c r="EA46" i="2"/>
  <c r="ET46" i="2" s="1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DU113" i="2"/>
  <c r="DX113" i="2"/>
  <c r="DY113" i="2" s="1"/>
  <c r="EP113" i="2"/>
  <c r="EK113" i="2"/>
  <c r="EM113" i="2"/>
  <c r="EA114" i="2"/>
  <c r="ET114" i="2" s="1"/>
  <c r="EQ114" i="2"/>
  <c r="EJ114" i="2"/>
  <c r="EP114" i="2"/>
  <c r="EC114" i="2"/>
  <c r="EE114" i="2"/>
  <c r="DV114" i="2"/>
  <c r="EN114" i="2"/>
  <c r="ER114" i="2"/>
  <c r="EG114" i="2"/>
  <c r="EV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EA140" i="2"/>
  <c r="ET140" i="2" s="1"/>
  <c r="EV140" i="2"/>
  <c r="EN140" i="2"/>
  <c r="ES140" i="2"/>
  <c r="EU140" i="2" s="1"/>
  <c r="EQ140" i="2"/>
  <c r="EJ140" i="2"/>
  <c r="EG140" i="2"/>
  <c r="EK140" i="2"/>
  <c r="EP140" i="2"/>
  <c r="EA102" i="2"/>
  <c r="ET102" i="2" s="1"/>
  <c r="EL102" i="2"/>
  <c r="EK102" i="2"/>
  <c r="EI102" i="2"/>
  <c r="ER102" i="2"/>
  <c r="EJ102" i="2"/>
  <c r="EF102" i="2"/>
  <c r="ES102" i="2"/>
  <c r="EU102" i="2" s="1"/>
  <c r="EH102" i="2"/>
  <c r="EN102" i="2"/>
  <c r="DW102" i="2"/>
  <c r="DU102" i="2"/>
  <c r="EC102" i="2"/>
  <c r="EE102" i="2"/>
  <c r="EP102" i="2"/>
  <c r="EB102" i="2"/>
  <c r="EG102" i="2"/>
  <c r="EV102" i="2"/>
  <c r="DZ102" i="2"/>
  <c r="ED176" i="2"/>
  <c r="EG176" i="2"/>
  <c r="DX176" i="2"/>
  <c r="DY176" i="2" s="1"/>
  <c r="EL176" i="2"/>
  <c r="EV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U176" i="2" l="1"/>
  <c r="EH176" i="2"/>
  <c r="ES113" i="2"/>
  <c r="EU113" i="2" s="1"/>
  <c r="EC188" i="2"/>
  <c r="EG65" i="2"/>
  <c r="DX34" i="2"/>
  <c r="DY34" i="2" s="1"/>
  <c r="DW88" i="2"/>
  <c r="EN49" i="2"/>
  <c r="EF176" i="2"/>
  <c r="EM176" i="2"/>
  <c r="DV113" i="2"/>
  <c r="EF188" i="2"/>
  <c r="EV65" i="2"/>
  <c r="EI39" i="2"/>
  <c r="EE68" i="2"/>
  <c r="DZ45" i="2"/>
  <c r="EG88" i="2"/>
  <c r="EA141" i="2"/>
  <c r="ET141" i="2" s="1"/>
  <c r="EV49" i="2"/>
  <c r="DW176" i="2"/>
  <c r="ED187" i="2"/>
  <c r="EC113" i="2"/>
  <c r="EJ16" i="2"/>
  <c r="EQ188" i="2"/>
  <c r="EF65" i="2"/>
  <c r="DW39" i="2"/>
  <c r="EP77" i="2"/>
  <c r="EN88" i="2"/>
  <c r="EB28" i="2"/>
  <c r="EG141" i="2"/>
  <c r="ES49" i="2"/>
  <c r="EU49" i="2" s="1"/>
  <c r="EC51" i="2"/>
  <c r="ES39" i="2"/>
  <c r="EU39" i="2" s="1"/>
  <c r="DX39" i="2"/>
  <c r="DY39" i="2" s="1"/>
  <c r="EL77" i="2"/>
  <c r="EG28" i="2"/>
  <c r="ER141" i="2"/>
  <c r="EP49" i="2"/>
  <c r="EE49" i="2"/>
  <c r="EB39" i="2"/>
  <c r="ED28" i="2"/>
  <c r="EB49" i="2"/>
  <c r="ES176" i="2"/>
  <c r="EU176" i="2" s="1"/>
  <c r="EA176" i="2"/>
  <c r="ET176" i="2" s="1"/>
  <c r="DZ113" i="2"/>
  <c r="DW113" i="2"/>
  <c r="EG188" i="2"/>
  <c r="DV188" i="2"/>
  <c r="ER65" i="2"/>
  <c r="EC77" i="2"/>
  <c r="EO88" i="2"/>
  <c r="DZ176" i="2"/>
  <c r="EK176" i="2"/>
  <c r="EA113" i="2"/>
  <c r="ET113" i="2" s="1"/>
  <c r="EQ113" i="2"/>
  <c r="EK188" i="2"/>
  <c r="EN188" i="2"/>
  <c r="DW65" i="2"/>
  <c r="EB77" i="2"/>
  <c r="EA88" i="2"/>
  <c r="ET88" i="2" s="1"/>
  <c r="EK186" i="2"/>
  <c r="EI49" i="2"/>
  <c r="EP176" i="2"/>
  <c r="EQ176" i="2"/>
  <c r="EQ102" i="2"/>
  <c r="EM102" i="2"/>
  <c r="DV102" i="2"/>
  <c r="EO113" i="2"/>
  <c r="EN113" i="2"/>
  <c r="EI153" i="2"/>
  <c r="EN153" i="2"/>
  <c r="EO188" i="2"/>
  <c r="DX65" i="2"/>
  <c r="DY65" i="2" s="1"/>
  <c r="EC41" i="2"/>
  <c r="EE191" i="2"/>
  <c r="DU139" i="2"/>
  <c r="EI139" i="2"/>
  <c r="ED81" i="2"/>
  <c r="EA144" i="2"/>
  <c r="ET144" i="2" s="1"/>
  <c r="ER39" i="2"/>
  <c r="EN180" i="2"/>
  <c r="EG180" i="2"/>
  <c r="EH77" i="2"/>
  <c r="DX84" i="2"/>
  <c r="DY84" i="2" s="1"/>
  <c r="EG181" i="2"/>
  <c r="DV181" i="2"/>
  <c r="DU88" i="2"/>
  <c r="EJ199" i="2"/>
  <c r="DZ119" i="2"/>
  <c r="EG100" i="2"/>
  <c r="DZ28" i="2"/>
  <c r="DX28" i="2"/>
  <c r="DY28" i="2" s="1"/>
  <c r="EC186" i="2"/>
  <c r="ED131" i="2"/>
  <c r="EM150" i="2"/>
  <c r="EF150" i="2"/>
  <c r="EG49" i="2"/>
  <c r="EF49" i="2"/>
  <c r="EI127" i="2"/>
  <c r="ER198" i="2"/>
  <c r="EE173" i="2"/>
  <c r="EG21" i="2"/>
  <c r="EV19" i="2"/>
  <c r="EI75" i="2"/>
  <c r="DZ34" i="2"/>
  <c r="EM45" i="2"/>
  <c r="EG113" i="2"/>
  <c r="EH188" i="2"/>
  <c r="EB188" i="2"/>
  <c r="ER188" i="2"/>
  <c r="EC75" i="2"/>
  <c r="ES143" i="2"/>
  <c r="EU143" i="2" s="1"/>
  <c r="DV39" i="2"/>
  <c r="EK77" i="2"/>
  <c r="EJ88" i="2"/>
  <c r="ES88" i="2"/>
  <c r="EU88" i="2" s="1"/>
  <c r="EO28" i="2"/>
  <c r="ER28" i="2"/>
  <c r="DZ49" i="2"/>
  <c r="DU49" i="2"/>
  <c r="ER49" i="2"/>
  <c r="DV176" i="2"/>
  <c r="ER176" i="2"/>
  <c r="EB176" i="2"/>
  <c r="DU187" i="2"/>
  <c r="ER113" i="2"/>
  <c r="EJ113" i="2"/>
  <c r="ED113" i="2"/>
  <c r="EN19" i="2"/>
  <c r="DW188" i="2"/>
  <c r="DU188" i="2"/>
  <c r="DX75" i="2"/>
  <c r="DY75" i="2" s="1"/>
  <c r="EP65" i="2"/>
  <c r="EN65" i="2"/>
  <c r="DW145" i="2"/>
  <c r="EJ143" i="2"/>
  <c r="EN39" i="2"/>
  <c r="EK39" i="2"/>
  <c r="ES77" i="2"/>
  <c r="EU77" i="2" s="1"/>
  <c r="ER77" i="2"/>
  <c r="EH68" i="2"/>
  <c r="EL88" i="2"/>
  <c r="EE88" i="2"/>
  <c r="EM28" i="2"/>
  <c r="EQ28" i="2"/>
  <c r="DV186" i="2"/>
  <c r="EH141" i="2"/>
  <c r="DX49" i="2"/>
  <c r="DY49" i="2" s="1"/>
  <c r="EC49" i="2"/>
  <c r="EO49" i="2"/>
  <c r="EJ176" i="2"/>
  <c r="EN176" i="2"/>
  <c r="EI176" i="2"/>
  <c r="EF113" i="2"/>
  <c r="EV113" i="2"/>
  <c r="EB173" i="2"/>
  <c r="EI21" i="2"/>
  <c r="EJ19" i="2"/>
  <c r="DZ65" i="2"/>
  <c r="EE65" i="2"/>
  <c r="EP39" i="2"/>
  <c r="DX77" i="2"/>
  <c r="DY77" i="2" s="1"/>
  <c r="EN186" i="2"/>
  <c r="EP141" i="2"/>
  <c r="EE176" i="2"/>
  <c r="EO176" i="2"/>
  <c r="EB187" i="2"/>
  <c r="EI113" i="2"/>
  <c r="EL113" i="2"/>
  <c r="DX188" i="2"/>
  <c r="DY188" i="2" s="1"/>
  <c r="EQ65" i="2"/>
  <c r="DX145" i="2"/>
  <c r="DY145" i="2" s="1"/>
  <c r="DV143" i="2"/>
  <c r="EQ39" i="2"/>
  <c r="EA77" i="2"/>
  <c r="ET77" i="2" s="1"/>
  <c r="ED68" i="2"/>
  <c r="EB88" i="2"/>
  <c r="EL121" i="2"/>
  <c r="EC28" i="2"/>
  <c r="EM141" i="2"/>
  <c r="EH49" i="2"/>
  <c r="EL49" i="2"/>
  <c r="EO16" i="2"/>
  <c r="EK34" i="2"/>
  <c r="DW132" i="2"/>
  <c r="EH126" i="2"/>
  <c r="DW126" i="2"/>
  <c r="EQ126" i="2"/>
  <c r="EB45" i="2"/>
  <c r="EE45" i="2"/>
  <c r="EI45" i="2"/>
  <c r="EP59" i="2"/>
  <c r="EN59" i="2"/>
  <c r="EJ59" i="2"/>
  <c r="EA187" i="2"/>
  <c r="ET187" i="2" s="1"/>
  <c r="EJ187" i="2"/>
  <c r="DW173" i="2"/>
  <c r="EI173" i="2"/>
  <c r="EK21" i="2"/>
  <c r="EH19" i="2"/>
  <c r="DV16" i="2"/>
  <c r="EP16" i="2"/>
  <c r="EA75" i="2"/>
  <c r="ET75" i="2" s="1"/>
  <c r="EE145" i="2"/>
  <c r="EF59" i="2"/>
  <c r="EB143" i="2"/>
  <c r="EB126" i="2"/>
  <c r="EI34" i="2"/>
  <c r="EP34" i="2"/>
  <c r="DV68" i="2"/>
  <c r="EN68" i="2"/>
  <c r="DX132" i="2"/>
  <c r="DY132" i="2" s="1"/>
  <c r="EV121" i="2"/>
  <c r="EP187" i="2"/>
  <c r="EF187" i="2"/>
  <c r="EC187" i="2"/>
  <c r="ED173" i="2"/>
  <c r="EO173" i="2"/>
  <c r="ER173" i="2"/>
  <c r="ER21" i="2"/>
  <c r="DV21" i="2"/>
  <c r="DU19" i="2"/>
  <c r="EB19" i="2"/>
  <c r="DX19" i="2"/>
  <c r="DY19" i="2" s="1"/>
  <c r="EK19" i="2"/>
  <c r="EN16" i="2"/>
  <c r="EE16" i="2"/>
  <c r="DV75" i="2"/>
  <c r="EM75" i="2"/>
  <c r="EM145" i="2"/>
  <c r="EI145" i="2"/>
  <c r="EK145" i="2"/>
  <c r="EM59" i="2"/>
  <c r="DV59" i="2"/>
  <c r="EI143" i="2"/>
  <c r="EM143" i="2"/>
  <c r="EA143" i="2"/>
  <c r="ET143" i="2" s="1"/>
  <c r="EO126" i="2"/>
  <c r="EN126" i="2"/>
  <c r="EB34" i="2"/>
  <c r="EA34" i="2"/>
  <c r="ET34" i="2" s="1"/>
  <c r="EG34" i="2"/>
  <c r="EQ68" i="2"/>
  <c r="DW68" i="2"/>
  <c r="EC68" i="2"/>
  <c r="ES45" i="2"/>
  <c r="EU45" i="2" s="1"/>
  <c r="EJ45" i="2"/>
  <c r="EQ45" i="2"/>
  <c r="ER132" i="2"/>
  <c r="ED132" i="2"/>
  <c r="ES132" i="2"/>
  <c r="EU132" i="2" s="1"/>
  <c r="EC121" i="2"/>
  <c r="ES121" i="2"/>
  <c r="EU121" i="2" s="1"/>
  <c r="EK119" i="2"/>
  <c r="EA119" i="2"/>
  <c r="ET119" i="2" s="1"/>
  <c r="EB119" i="2"/>
  <c r="EQ41" i="2"/>
  <c r="EV41" i="2"/>
  <c r="ES41" i="2"/>
  <c r="EU41" i="2" s="1"/>
  <c r="EK81" i="2"/>
  <c r="EJ81" i="2"/>
  <c r="EA81" i="2"/>
  <c r="ET81" i="2" s="1"/>
  <c r="EP84" i="2"/>
  <c r="ER84" i="2"/>
  <c r="EL18" i="2"/>
  <c r="EJ18" i="2"/>
  <c r="DZ18" i="2"/>
  <c r="ED9" i="2"/>
  <c r="EF9" i="2"/>
  <c r="EQ191" i="2"/>
  <c r="EN191" i="2"/>
  <c r="EB23" i="2"/>
  <c r="DX23" i="2"/>
  <c r="DY23" i="2" s="1"/>
  <c r="EV199" i="2"/>
  <c r="EG199" i="2"/>
  <c r="DZ199" i="2"/>
  <c r="DW187" i="2"/>
  <c r="EV187" i="2"/>
  <c r="EG187" i="2"/>
  <c r="EH173" i="2"/>
  <c r="EJ173" i="2"/>
  <c r="EP21" i="2"/>
  <c r="ES21" i="2"/>
  <c r="EU21" i="2" s="1"/>
  <c r="ER19" i="2"/>
  <c r="EI19" i="2"/>
  <c r="DV19" i="2"/>
  <c r="EH16" i="2"/>
  <c r="DW75" i="2"/>
  <c r="EJ75" i="2"/>
  <c r="EB75" i="2"/>
  <c r="EG145" i="2"/>
  <c r="EQ145" i="2"/>
  <c r="EB59" i="2"/>
  <c r="ER59" i="2"/>
  <c r="EV143" i="2"/>
  <c r="DX143" i="2"/>
  <c r="DY143" i="2" s="1"/>
  <c r="DZ126" i="2"/>
  <c r="EC126" i="2"/>
  <c r="EA126" i="2"/>
  <c r="ET126" i="2" s="1"/>
  <c r="ER34" i="2"/>
  <c r="ES34" i="2"/>
  <c r="EU34" i="2" s="1"/>
  <c r="EV68" i="2"/>
  <c r="ER45" i="2"/>
  <c r="DV45" i="2"/>
  <c r="DZ132" i="2"/>
  <c r="EL132" i="2"/>
  <c r="EK132" i="2"/>
  <c r="DZ121" i="2"/>
  <c r="EL63" i="2"/>
  <c r="DZ63" i="2"/>
  <c r="DU63" i="2"/>
  <c r="EF144" i="2"/>
  <c r="EL144" i="2"/>
  <c r="EE144" i="2"/>
  <c r="EK180" i="2"/>
  <c r="EA180" i="2"/>
  <c r="ET180" i="2" s="1"/>
  <c r="EV180" i="2"/>
  <c r="EP180" i="2"/>
  <c r="DX100" i="2"/>
  <c r="DY100" i="2" s="1"/>
  <c r="DV100" i="2"/>
  <c r="EM100" i="2"/>
  <c r="EL125" i="2"/>
  <c r="EJ125" i="2"/>
  <c r="EM181" i="2"/>
  <c r="ES181" i="2"/>
  <c r="EU181" i="2" s="1"/>
  <c r="ED181" i="2"/>
  <c r="EE139" i="2"/>
  <c r="EV139" i="2"/>
  <c r="EP139" i="2"/>
  <c r="ER152" i="2"/>
  <c r="EB152" i="2"/>
  <c r="ED152" i="2"/>
  <c r="EQ152" i="2"/>
  <c r="DW168" i="2"/>
  <c r="EJ168" i="2"/>
  <c r="EM168" i="2"/>
  <c r="EP157" i="2"/>
  <c r="DU157" i="2"/>
  <c r="EH157" i="2"/>
  <c r="EI157" i="2"/>
  <c r="EG142" i="2"/>
  <c r="EA142" i="2"/>
  <c r="ET142" i="2" s="1"/>
  <c r="DU142" i="2"/>
  <c r="DX142" i="2"/>
  <c r="DY142" i="2" s="1"/>
  <c r="EK16" i="2"/>
  <c r="EB16" i="2"/>
  <c r="DX16" i="2"/>
  <c r="DY16" i="2" s="1"/>
  <c r="EM34" i="2"/>
  <c r="EO34" i="2"/>
  <c r="ED34" i="2"/>
  <c r="EM68" i="2"/>
  <c r="EB68" i="2"/>
  <c r="EL68" i="2"/>
  <c r="EJ145" i="2"/>
  <c r="EO145" i="2"/>
  <c r="ER145" i="2"/>
  <c r="DZ187" i="2"/>
  <c r="EC173" i="2"/>
  <c r="EN21" i="2"/>
  <c r="DW19" i="2"/>
  <c r="EG16" i="2"/>
  <c r="DV145" i="2"/>
  <c r="EG59" i="2"/>
  <c r="DX59" i="2"/>
  <c r="DY59" i="2" s="1"/>
  <c r="EL143" i="2"/>
  <c r="EJ126" i="2"/>
  <c r="EE34" i="2"/>
  <c r="DU68" i="2"/>
  <c r="DU45" i="2"/>
  <c r="ED45" i="2"/>
  <c r="EM132" i="2"/>
  <c r="EO132" i="2"/>
  <c r="EG121" i="2"/>
  <c r="DU173" i="2"/>
  <c r="EV21" i="2"/>
  <c r="DZ68" i="2"/>
  <c r="DW45" i="2"/>
  <c r="EE187" i="2"/>
  <c r="DX187" i="2"/>
  <c r="DY187" i="2" s="1"/>
  <c r="EO187" i="2"/>
  <c r="EF173" i="2"/>
  <c r="DX173" i="2"/>
  <c r="DY173" i="2" s="1"/>
  <c r="EQ173" i="2"/>
  <c r="DZ173" i="2"/>
  <c r="DZ21" i="2"/>
  <c r="EE21" i="2"/>
  <c r="EL19" i="2"/>
  <c r="ES19" i="2"/>
  <c r="EU19" i="2" s="1"/>
  <c r="EC19" i="2"/>
  <c r="DZ16" i="2"/>
  <c r="EA16" i="2"/>
  <c r="ET16" i="2" s="1"/>
  <c r="ED16" i="2"/>
  <c r="ED75" i="2"/>
  <c r="EG75" i="2"/>
  <c r="EE75" i="2"/>
  <c r="EF145" i="2"/>
  <c r="EL145" i="2"/>
  <c r="EA145" i="2"/>
  <c r="ET145" i="2" s="1"/>
  <c r="ED59" i="2"/>
  <c r="EH59" i="2"/>
  <c r="EQ59" i="2"/>
  <c r="ER143" i="2"/>
  <c r="EO143" i="2"/>
  <c r="EP126" i="2"/>
  <c r="DU126" i="2"/>
  <c r="EL126" i="2"/>
  <c r="EH34" i="2"/>
  <c r="EC34" i="2"/>
  <c r="EV34" i="2"/>
  <c r="EJ68" i="2"/>
  <c r="EO68" i="2"/>
  <c r="EP68" i="2"/>
  <c r="EF45" i="2"/>
  <c r="EN45" i="2"/>
  <c r="EV45" i="2"/>
  <c r="DV132" i="2"/>
  <c r="EH132" i="2"/>
  <c r="EI132" i="2"/>
  <c r="EK121" i="2"/>
  <c r="EL187" i="2"/>
  <c r="EK187" i="2"/>
  <c r="ER187" i="2"/>
  <c r="EG173" i="2"/>
  <c r="EV173" i="2"/>
  <c r="EA173" i="2"/>
  <c r="ET173" i="2" s="1"/>
  <c r="EL21" i="2"/>
  <c r="EM21" i="2"/>
  <c r="EP19" i="2"/>
  <c r="EE19" i="2"/>
  <c r="EM19" i="2"/>
  <c r="DW16" i="2"/>
  <c r="EI16" i="2"/>
  <c r="EM16" i="2"/>
  <c r="ER75" i="2"/>
  <c r="EH75" i="2"/>
  <c r="ES145" i="2"/>
  <c r="EU145" i="2" s="1"/>
  <c r="EP145" i="2"/>
  <c r="DZ145" i="2"/>
  <c r="EO59" i="2"/>
  <c r="EE59" i="2"/>
  <c r="DU59" i="2"/>
  <c r="DZ143" i="2"/>
  <c r="EH143" i="2"/>
  <c r="EE126" i="2"/>
  <c r="ED126" i="2"/>
  <c r="EM126" i="2"/>
  <c r="DV34" i="2"/>
  <c r="EF34" i="2"/>
  <c r="EJ34" i="2"/>
  <c r="EI68" i="2"/>
  <c r="ES68" i="2"/>
  <c r="EU68" i="2" s="1"/>
  <c r="DX45" i="2"/>
  <c r="DY45" i="2" s="1"/>
  <c r="EA45" i="2"/>
  <c r="ET45" i="2" s="1"/>
  <c r="EJ132" i="2"/>
  <c r="EF132" i="2"/>
  <c r="DW121" i="2"/>
  <c r="DV61" i="2"/>
  <c r="DU143" i="2"/>
  <c r="EG143" i="2"/>
  <c r="EN143" i="2"/>
  <c r="ES75" i="2"/>
  <c r="EU75" i="2" s="1"/>
  <c r="EF75" i="2"/>
  <c r="EO75" i="2"/>
  <c r="EE132" i="2"/>
  <c r="EC132" i="2"/>
  <c r="EP132" i="2"/>
  <c r="EI187" i="2"/>
  <c r="EQ19" i="2"/>
  <c r="DZ75" i="2"/>
  <c r="ED145" i="2"/>
  <c r="EK143" i="2"/>
  <c r="EK45" i="2"/>
  <c r="EQ187" i="2"/>
  <c r="EM187" i="2"/>
  <c r="EH187" i="2"/>
  <c r="EK173" i="2"/>
  <c r="EM173" i="2"/>
  <c r="EL173" i="2"/>
  <c r="EJ21" i="2"/>
  <c r="EC21" i="2"/>
  <c r="EF19" i="2"/>
  <c r="ED19" i="2"/>
  <c r="EA19" i="2"/>
  <c r="ET19" i="2" s="1"/>
  <c r="ER16" i="2"/>
  <c r="EV16" i="2"/>
  <c r="ES16" i="2"/>
  <c r="EU16" i="2" s="1"/>
  <c r="EP75" i="2"/>
  <c r="EN75" i="2"/>
  <c r="EL75" i="2"/>
  <c r="DU145" i="2"/>
  <c r="EB145" i="2"/>
  <c r="EI59" i="2"/>
  <c r="DW59" i="2"/>
  <c r="EC59" i="2"/>
  <c r="EP143" i="2"/>
  <c r="ED143" i="2"/>
  <c r="EC143" i="2"/>
  <c r="ER126" i="2"/>
  <c r="EF126" i="2"/>
  <c r="EK126" i="2"/>
  <c r="EQ34" i="2"/>
  <c r="EL34" i="2"/>
  <c r="EA68" i="2"/>
  <c r="ET68" i="2" s="1"/>
  <c r="DX68" i="2"/>
  <c r="DY68" i="2" s="1"/>
  <c r="EO45" i="2"/>
  <c r="EG45" i="2"/>
  <c r="EN132" i="2"/>
  <c r="EV132" i="2"/>
  <c r="EF121" i="2"/>
  <c r="EV61" i="2"/>
  <c r="ES187" i="2"/>
  <c r="EU187" i="2" s="1"/>
  <c r="EN187" i="2"/>
  <c r="EP173" i="2"/>
  <c r="ES173" i="2"/>
  <c r="EU173" i="2" s="1"/>
  <c r="DU21" i="2"/>
  <c r="ED21" i="2"/>
  <c r="EO19" i="2"/>
  <c r="EG19" i="2"/>
  <c r="EF16" i="2"/>
  <c r="EQ16" i="2"/>
  <c r="EL16" i="2"/>
  <c r="EV75" i="2"/>
  <c r="DU75" i="2"/>
  <c r="EQ75" i="2"/>
  <c r="EN145" i="2"/>
  <c r="EV145" i="2"/>
  <c r="EL59" i="2"/>
  <c r="EK59" i="2"/>
  <c r="EV59" i="2"/>
  <c r="EF143" i="2"/>
  <c r="EE143" i="2"/>
  <c r="EQ143" i="2"/>
  <c r="EG126" i="2"/>
  <c r="EI126" i="2"/>
  <c r="DV126" i="2"/>
  <c r="DW34" i="2"/>
  <c r="EN34" i="2"/>
  <c r="EG68" i="2"/>
  <c r="EF68" i="2"/>
  <c r="ER68" i="2"/>
  <c r="EP45" i="2"/>
  <c r="EC45" i="2"/>
  <c r="EL45" i="2"/>
  <c r="EQ132" i="2"/>
  <c r="EA132" i="2"/>
  <c r="ET132" i="2" s="1"/>
  <c r="DV121" i="2"/>
  <c r="DX102" i="2"/>
  <c r="DY102" i="2" s="1"/>
  <c r="ED102" i="2"/>
  <c r="DU140" i="2"/>
  <c r="EF140" i="2"/>
  <c r="EF46" i="2"/>
  <c r="EV46" i="2"/>
  <c r="DX192" i="2"/>
  <c r="DY192" i="2" s="1"/>
  <c r="EB192" i="2"/>
  <c r="EI107" i="2"/>
  <c r="EK107" i="2"/>
  <c r="EP172" i="2"/>
  <c r="EL172" i="2"/>
  <c r="EL153" i="2"/>
  <c r="ED153" i="2"/>
  <c r="EM153" i="2"/>
  <c r="EQ23" i="2"/>
  <c r="EI80" i="2"/>
  <c r="EO80" i="2"/>
  <c r="EO177" i="2"/>
  <c r="DW177" i="2"/>
  <c r="DZ41" i="2"/>
  <c r="EN194" i="2"/>
  <c r="EF194" i="2"/>
  <c r="DW191" i="2"/>
  <c r="EN81" i="2"/>
  <c r="DV38" i="2"/>
  <c r="EF38" i="2"/>
  <c r="EA84" i="2"/>
  <c r="ET84" i="2" s="1"/>
  <c r="EK167" i="2"/>
  <c r="ER167" i="2"/>
  <c r="EH99" i="2"/>
  <c r="EQ99" i="2"/>
  <c r="EH199" i="2"/>
  <c r="EB24" i="2"/>
  <c r="EN24" i="2"/>
  <c r="EF119" i="2"/>
  <c r="EJ96" i="2"/>
  <c r="DX44" i="2"/>
  <c r="DY44" i="2" s="1"/>
  <c r="DW44" i="2"/>
  <c r="EA9" i="2"/>
  <c r="ET9" i="2" s="1"/>
  <c r="EK175" i="2"/>
  <c r="EL114" i="2"/>
  <c r="EM114" i="2"/>
  <c r="DX114" i="2"/>
  <c r="DY114" i="2" s="1"/>
  <c r="ED52" i="2"/>
  <c r="EQ52" i="2"/>
  <c r="ES52" i="2"/>
  <c r="EU52" i="2" s="1"/>
  <c r="DU128" i="2"/>
  <c r="DW128" i="2"/>
  <c r="EM128" i="2"/>
  <c r="EI120" i="2"/>
  <c r="DX120" i="2"/>
  <c r="DY120" i="2" s="1"/>
  <c r="EG120" i="2"/>
  <c r="DW50" i="2"/>
  <c r="EG50" i="2"/>
  <c r="EO50" i="2"/>
  <c r="EM90" i="2"/>
  <c r="EN90" i="2"/>
  <c r="EC90" i="2"/>
  <c r="EG112" i="2"/>
  <c r="EI112" i="2"/>
  <c r="DV112" i="2"/>
  <c r="DU91" i="2"/>
  <c r="EI91" i="2"/>
  <c r="DV91" i="2"/>
  <c r="EI201" i="2"/>
  <c r="EB201" i="2"/>
  <c r="DU201" i="2"/>
  <c r="EF67" i="2"/>
  <c r="EJ67" i="2"/>
  <c r="EB67" i="2"/>
  <c r="EQ64" i="2"/>
  <c r="EN64" i="2"/>
  <c r="EF64" i="2"/>
  <c r="EO79" i="2"/>
  <c r="EI147" i="2"/>
  <c r="EV147" i="2"/>
  <c r="DW147" i="2"/>
  <c r="EG184" i="2"/>
  <c r="DZ94" i="2"/>
  <c r="ED94" i="2"/>
  <c r="ED114" i="2"/>
  <c r="EK114" i="2"/>
  <c r="EO114" i="2"/>
  <c r="EO52" i="2"/>
  <c r="EE52" i="2"/>
  <c r="DU52" i="2"/>
  <c r="EF128" i="2"/>
  <c r="EK128" i="2"/>
  <c r="EV128" i="2"/>
  <c r="EP120" i="2"/>
  <c r="EQ120" i="2"/>
  <c r="EM120" i="2"/>
  <c r="DX50" i="2"/>
  <c r="DY50" i="2" s="1"/>
  <c r="EH50" i="2"/>
  <c r="EA50" i="2"/>
  <c r="ET50" i="2" s="1"/>
  <c r="EK90" i="2"/>
  <c r="EV90" i="2"/>
  <c r="DU90" i="2"/>
  <c r="EK112" i="2"/>
  <c r="EQ112" i="2"/>
  <c r="EF112" i="2"/>
  <c r="EP91" i="2"/>
  <c r="EJ91" i="2"/>
  <c r="EN91" i="2"/>
  <c r="EE201" i="2"/>
  <c r="EF201" i="2"/>
  <c r="EG201" i="2"/>
  <c r="DV67" i="2"/>
  <c r="EN67" i="2"/>
  <c r="EH67" i="2"/>
  <c r="EM64" i="2"/>
  <c r="EJ64" i="2"/>
  <c r="EL64" i="2"/>
  <c r="EC79" i="2"/>
  <c r="EE147" i="2"/>
  <c r="ES147" i="2"/>
  <c r="EU147" i="2" s="1"/>
  <c r="DX147" i="2"/>
  <c r="DY147" i="2" s="1"/>
  <c r="EJ184" i="2"/>
  <c r="EO94" i="2"/>
  <c r="DV94" i="2"/>
  <c r="ER94" i="2"/>
  <c r="EB114" i="2"/>
  <c r="EH114" i="2"/>
  <c r="DW114" i="2"/>
  <c r="EB52" i="2"/>
  <c r="EN52" i="2"/>
  <c r="EF52" i="2"/>
  <c r="DV52" i="2"/>
  <c r="DX128" i="2"/>
  <c r="DY128" i="2" s="1"/>
  <c r="EB128" i="2"/>
  <c r="DV128" i="2"/>
  <c r="EK120" i="2"/>
  <c r="DW120" i="2"/>
  <c r="EA120" i="2"/>
  <c r="ET120" i="2" s="1"/>
  <c r="EE50" i="2"/>
  <c r="EM50" i="2"/>
  <c r="EK50" i="2"/>
  <c r="ER50" i="2"/>
  <c r="EE90" i="2"/>
  <c r="ER90" i="2"/>
  <c r="DW90" i="2"/>
  <c r="EN112" i="2"/>
  <c r="DU112" i="2"/>
  <c r="ES112" i="2"/>
  <c r="EU112" i="2" s="1"/>
  <c r="EA91" i="2"/>
  <c r="ET91" i="2" s="1"/>
  <c r="DX91" i="2"/>
  <c r="DY91" i="2" s="1"/>
  <c r="ED91" i="2"/>
  <c r="EO201" i="2"/>
  <c r="EM201" i="2"/>
  <c r="EH201" i="2"/>
  <c r="DZ201" i="2"/>
  <c r="DX67" i="2"/>
  <c r="DY67" i="2" s="1"/>
  <c r="EC67" i="2"/>
  <c r="EI67" i="2"/>
  <c r="EV64" i="2"/>
  <c r="EC64" i="2"/>
  <c r="ER64" i="2"/>
  <c r="EN79" i="2"/>
  <c r="EF147" i="2"/>
  <c r="EB147" i="2"/>
  <c r="DU147" i="2"/>
  <c r="ER184" i="2"/>
  <c r="EP94" i="2"/>
  <c r="EB94" i="2"/>
  <c r="DU114" i="2"/>
  <c r="ES114" i="2"/>
  <c r="EU114" i="2" s="1"/>
  <c r="EM52" i="2"/>
  <c r="EK52" i="2"/>
  <c r="ED128" i="2"/>
  <c r="EE128" i="2"/>
  <c r="EE120" i="2"/>
  <c r="EB120" i="2"/>
  <c r="EJ50" i="2"/>
  <c r="DV50" i="2"/>
  <c r="EP90" i="2"/>
  <c r="ED90" i="2"/>
  <c r="EF90" i="2"/>
  <c r="EL112" i="2"/>
  <c r="EA112" i="2"/>
  <c r="ET112" i="2" s="1"/>
  <c r="EG91" i="2"/>
  <c r="EE91" i="2"/>
  <c r="EC201" i="2"/>
  <c r="EP201" i="2"/>
  <c r="DZ67" i="2"/>
  <c r="EL67" i="2"/>
  <c r="EA64" i="2"/>
  <c r="ET64" i="2" s="1"/>
  <c r="EI64" i="2"/>
  <c r="EA147" i="2"/>
  <c r="ET147" i="2" s="1"/>
  <c r="DV193" i="2"/>
  <c r="EV94" i="2"/>
  <c r="EE94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ER9" i="2"/>
  <c r="EI9" i="2"/>
  <c r="EG9" i="2"/>
  <c r="DZ9" i="2"/>
  <c r="EN9" i="2"/>
  <c r="DV9" i="2"/>
  <c r="EO9" i="2"/>
  <c r="DU9" i="2"/>
  <c r="ES9" i="2"/>
  <c r="EU9" i="2" s="1"/>
  <c r="DW9" i="2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18" i="2" l="1"/>
  <c r="AQ18" i="2" s="1"/>
  <c r="M2" i="9"/>
  <c r="BI17" i="2"/>
  <c r="AQ17" i="2" s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8" i="2" l="1"/>
  <c r="BJ17" i="2"/>
  <c r="BJ16" i="2"/>
  <c r="BJ15" i="2"/>
  <c r="BJ14" i="2"/>
  <c r="BJ11" i="2"/>
  <c r="BJ12" i="2"/>
  <c r="BJ13" i="2"/>
  <c r="BJ10" i="2"/>
  <c r="BJ9" i="2"/>
  <c r="BM9" i="2"/>
  <c r="CT11" i="2" s="1"/>
  <c r="CT19" i="2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CT3" i="2" l="1"/>
  <c r="B16" i="5" s="1"/>
  <c r="EI4" i="2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4" i="2" l="1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1" i="2" l="1"/>
  <c r="CT15" i="2"/>
  <c r="CT5" i="2"/>
  <c r="B18" i="5" s="1"/>
  <c r="BB5" i="2" s="1"/>
  <c r="CT12" i="2"/>
  <c r="CT23" i="2"/>
  <c r="EY4" i="2"/>
  <c r="EY11" i="2" s="1"/>
  <c r="EY27" i="2" s="1"/>
  <c r="EY7" i="2"/>
  <c r="EY14" i="2" s="1"/>
  <c r="EY30" i="2" s="1"/>
  <c r="EY6" i="2"/>
  <c r="EY13" i="2" s="1"/>
  <c r="Q2" i="9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B11" i="9"/>
  <c r="R17" i="9"/>
  <c r="B13" i="9"/>
  <c r="EY28" i="2"/>
  <c r="Q17" i="9"/>
  <c r="CT14" i="2"/>
  <c r="CT6" i="2"/>
  <c r="B19" i="5" s="1"/>
  <c r="BB6" i="2" s="1"/>
  <c r="R14" i="9" l="1"/>
  <c r="R2" i="9"/>
  <c r="Q13" i="9"/>
  <c r="Q25" i="9"/>
  <c r="R13" i="9"/>
  <c r="R25" i="9"/>
  <c r="B12" i="9"/>
  <c r="EY29" i="2"/>
  <c r="Q12" i="9"/>
  <c r="R11" i="9"/>
  <c r="R12" i="9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20" i="2"/>
  <c r="AL20" i="2"/>
  <c r="A24" i="1"/>
  <c r="GW14" i="2"/>
  <c r="GW12" i="2"/>
  <c r="GW13" i="2" s="1"/>
  <c r="GW10" i="2"/>
  <c r="AA36" i="8"/>
  <c r="AA37" i="8" s="1"/>
  <c r="GR28" i="2" l="1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GC29" i="2" l="1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27" i="1" l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32" i="1" l="1"/>
  <c r="AJ17" i="2" s="1"/>
  <c r="CY26" i="2"/>
  <c r="CY19" i="2"/>
  <c r="AJ25" i="2"/>
  <c r="CY15" i="2"/>
  <c r="CY16" i="2"/>
  <c r="CY17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4" i="2" l="1"/>
  <c r="AJ18" i="2"/>
  <c r="AJ15" i="2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G22" i="5"/>
  <c r="F24" i="5"/>
  <c r="F28" i="5"/>
  <c r="H23" i="5"/>
  <c r="F27" i="5"/>
  <c r="F20" i="5"/>
  <c r="E27" i="5"/>
  <c r="E26" i="5"/>
  <c r="I20" i="5"/>
  <c r="G28" i="5"/>
  <c r="E25" i="5"/>
  <c r="I21" i="5"/>
  <c r="G25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8" i="2" l="1"/>
  <c r="AK17" i="2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8" i="5" l="1"/>
  <c r="E18" i="5"/>
  <c r="F18" i="5"/>
  <c r="H18" i="5"/>
  <c r="I18" i="5"/>
  <c r="G17" i="5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<sst xmlns="http://schemas.openxmlformats.org/spreadsheetml/2006/main" count="873" uniqueCount="347">
  <si>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</si>
  <si>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</si>
  <si>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</si>
  <si>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</si>
  <si>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</si>
  <si>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</si>
  <si>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</si>
  <si>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</si>
  <si>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</si>
  <si>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</si>
  <si>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</si>
  <si>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</si>
  <si>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Mustaqeem et al. (A)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</si>
  <si>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</si>
  <si>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</si>
  <si>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</si>
  <si>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</si>
  <si>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</si>
  <si>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</si>
  <si>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</si>
  <si>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</si>
  <si>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Mustaqeem et al. (B)</t>
  </si>
  <si>
    <t>No</t>
  </si>
  <si>
    <t>Liu et al.</t>
  </si>
  <si>
    <t>Zou et al.</t>
  </si>
  <si>
    <t>Wang et al.</t>
  </si>
  <si>
    <t>Law et al.</t>
  </si>
  <si>
    <t>Lubis et al.</t>
  </si>
  <si>
    <t>Lu et al.</t>
  </si>
  <si>
    <t>Seo et al.</t>
  </si>
  <si>
    <t>Latif et al.</t>
  </si>
  <si>
    <t>Hazarika et al. (A)</t>
  </si>
  <si>
    <t>Fan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</si>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</sst>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rgb="FF444444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0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6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" fontId="0" fillId="37" borderId="0" xfId="0" applyNumberFormat="1" applyFill="1"/>
    <xf numFmtId="1" fontId="13" fillId="39" borderId="0" xfId="12" applyNumberFormat="1" applyFill="1"/>
    <xf numFmtId="49" fontId="14" fillId="9" borderId="0" xfId="10" applyNumberFormat="1" applyFont="1">
      <protection locked="0"/>
    </xf>
    <xf numFmtId="0" fontId="26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0" fontId="27" fillId="37" borderId="0" xfId="0" applyFont="1" applyFill="1"/>
    <xf numFmtId="0" fontId="25" fillId="37" borderId="0" xfId="0" applyFont="1" applyFill="1"/>
    <xf numFmtId="49" fontId="15" fillId="37" borderId="0" xfId="10" applyNumberFormat="1" applyFont="1" applyFill="1">
      <protection locked="0"/>
    </xf>
    <xf numFmtId="49" fontId="15" fillId="9" borderId="0" xfId="10" applyNumberFormat="1" applyFont="1">
      <protection locked="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0.10822157861532689</c:v>
                </c:pt>
                <c:pt idx="1">
                  <c:v>0.13927574809730275</c:v>
                </c:pt>
                <c:pt idx="2">
                  <c:v>0.13687794464992548</c:v>
                </c:pt>
                <c:pt idx="3">
                  <c:v>0.15134490999694505</c:v>
                </c:pt>
                <c:pt idx="4">
                  <c:v>0.15741973128535233</c:v>
                </c:pt>
                <c:pt idx="5">
                  <c:v>0.14783161286514779</c:v>
                </c:pt>
                <c:pt idx="6">
                  <c:v>0.15902847448999977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0.44771816829681543</c:v>
                  </c:pt>
                  <c:pt idx="9">
                    <c:v>0.58042941366776968</c:v>
                  </c:pt>
                  <c:pt idx="10">
                    <c:v>0.54270246639655184</c:v>
                  </c:pt>
                  <c:pt idx="11">
                    <c:v>0.47415942533835653</c:v>
                  </c:pt>
                  <c:pt idx="12">
                    <c:v>0.31750860447217333</c:v>
                  </c:pt>
                  <c:pt idx="13">
                    <c:v>0.43956569879096508</c:v>
                  </c:pt>
                  <c:pt idx="14">
                    <c:v>#N/A</c:v>
                  </c:pt>
                  <c:pt idx="15">
                    <c:v>0.3649334881605355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0.29526143483296396</c:v>
                  </c:pt>
                  <c:pt idx="9">
                    <c:v>0.40417917363396028</c:v>
                  </c:pt>
                  <c:pt idx="10">
                    <c:v>0.37656996458611558</c:v>
                  </c:pt>
                  <c:pt idx="11">
                    <c:v>0.33568402671762565</c:v>
                  </c:pt>
                  <c:pt idx="12">
                    <c:v>0.22650384065715523</c:v>
                  </c:pt>
                  <c:pt idx="13">
                    <c:v>0.30976096715190993</c:v>
                  </c:pt>
                  <c:pt idx="14">
                    <c:v>#N/A</c:v>
                  </c:pt>
                  <c:pt idx="15">
                    <c:v>0.26084204365626851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0.86709131022703034</c:v>
                </c:pt>
                <c:pt idx="9">
                  <c:v>1.3310477235326386</c:v>
                </c:pt>
                <c:pt idx="10">
                  <c:v>1.2301352614609764</c:v>
                </c:pt>
                <c:pt idx="11">
                  <c:v>1.1494297672299039</c:v>
                </c:pt>
                <c:pt idx="12">
                  <c:v>0.79025443657898586</c:v>
                </c:pt>
                <c:pt idx="13">
                  <c:v>1.0489625013278567</c:v>
                </c:pt>
                <c:pt idx="14">
                  <c:v>#N/A</c:v>
                </c:pt>
                <c:pt idx="15">
                  <c:v>0.91448434886983176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0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0.10822157861532689</c:v>
                </c:pt>
                <c:pt idx="9">
                  <c:v>0.13927574809730275</c:v>
                </c:pt>
                <c:pt idx="10">
                  <c:v>0.13687794464992548</c:v>
                </c:pt>
                <c:pt idx="11">
                  <c:v>0.15134490999694505</c:v>
                </c:pt>
                <c:pt idx="12">
                  <c:v>0.15741973128535233</c:v>
                </c:pt>
                <c:pt idx="13">
                  <c:v>0.14783161286514779</c:v>
                </c:pt>
                <c:pt idx="14">
                  <c:v>0</c:v>
                </c:pt>
                <c:pt idx="15">
                  <c:v>0.15902847448999977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0.27565263959598796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0.217458798189191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1.0300590281572417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0.15902847448999977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0.20103281398129846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0.16820488765288122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1.0300590281572417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0.15902847448999977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0.44771816829681543</c:v>
                  </c:pt>
                  <c:pt idx="9">
                    <c:v>0.58042941366776968</c:v>
                  </c:pt>
                  <c:pt idx="10">
                    <c:v>0.54270246639655184</c:v>
                  </c:pt>
                  <c:pt idx="11">
                    <c:v>0.47415942533835653</c:v>
                  </c:pt>
                  <c:pt idx="12">
                    <c:v>0.31750860447217333</c:v>
                  </c:pt>
                  <c:pt idx="13">
                    <c:v>0.43956569879096508</c:v>
                  </c:pt>
                  <c:pt idx="14">
                    <c:v>#N/A</c:v>
                  </c:pt>
                  <c:pt idx="15">
                    <c:v>0.3649334881605355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0.29526143483296396</c:v>
                  </c:pt>
                  <c:pt idx="9">
                    <c:v>0.40417917363396028</c:v>
                  </c:pt>
                  <c:pt idx="10">
                    <c:v>0.37656996458611558</c:v>
                  </c:pt>
                  <c:pt idx="11">
                    <c:v>0.33568402671762565</c:v>
                  </c:pt>
                  <c:pt idx="12">
                    <c:v>0.22650384065715523</c:v>
                  </c:pt>
                  <c:pt idx="13">
                    <c:v>0.30976096715190993</c:v>
                  </c:pt>
                  <c:pt idx="14">
                    <c:v>#N/A</c:v>
                  </c:pt>
                  <c:pt idx="15">
                    <c:v>0.26084204365626851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0.86709131022703034</c:v>
                </c:pt>
                <c:pt idx="9">
                  <c:v>1.3310477235326386</c:v>
                </c:pt>
                <c:pt idx="10">
                  <c:v>1.2301352614609764</c:v>
                </c:pt>
                <c:pt idx="11">
                  <c:v>1.1494297672299039</c:v>
                </c:pt>
                <c:pt idx="12">
                  <c:v>0.79025443657898586</c:v>
                </c:pt>
                <c:pt idx="13">
                  <c:v>1.0489625013278567</c:v>
                </c:pt>
                <c:pt idx="14">
                  <c:v>#N/A</c:v>
                </c:pt>
                <c:pt idx="15">
                  <c:v>0.91448434886983176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0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0.10822157861532689</c:v>
                </c:pt>
                <c:pt idx="9">
                  <c:v>0.13927574809730275</c:v>
                </c:pt>
                <c:pt idx="10">
                  <c:v>0.13687794464992548</c:v>
                </c:pt>
                <c:pt idx="11">
                  <c:v>0.15134490999694505</c:v>
                </c:pt>
                <c:pt idx="12">
                  <c:v>0.15741973128535233</c:v>
                </c:pt>
                <c:pt idx="13">
                  <c:v>0.14783161286514779</c:v>
                </c:pt>
                <c:pt idx="14">
                  <c:v>0</c:v>
                </c:pt>
                <c:pt idx="15">
                  <c:v>0.15902847448999977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0.27565263959598796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0.217458798189191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1.0300590281572417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0.15902847448999977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0.20103281398129846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0.16820488765288122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1.0300590281572417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0.15902847448999977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6.8005354752342706E-2</c:v>
                </c:pt>
                <c:pt idx="9">
                  <c:v>9.3896713615023476E-3</c:v>
                </c:pt>
                <c:pt idx="10">
                  <c:v>1.3180800795821936E-2</c:v>
                </c:pt>
                <c:pt idx="11">
                  <c:v>1.1014806789454677E-2</c:v>
                </c:pt>
                <c:pt idx="12">
                  <c:v>1.1755725190839695E-2</c:v>
                </c:pt>
                <c:pt idx="13">
                  <c:v>1.1209546194178268E-2</c:v>
                </c:pt>
                <c:pt idx="14">
                  <c:v>#N/A</c:v>
                </c:pt>
                <c:pt idx="15">
                  <c:v>1.3132048017460896E-2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5.9504685408299868E-2</c:v>
                </c:pt>
                <c:pt idx="9">
                  <c:v>1.2459371614301192E-2</c:v>
                </c:pt>
                <c:pt idx="10">
                  <c:v>1.6165133051479732E-2</c:v>
                </c:pt>
                <c:pt idx="11">
                  <c:v>1.2639942217407007E-2</c:v>
                </c:pt>
                <c:pt idx="12">
                  <c:v>9.3129770992366415E-3</c:v>
                </c:pt>
                <c:pt idx="13">
                  <c:v>1.1751943590670765E-2</c:v>
                </c:pt>
                <c:pt idx="14">
                  <c:v>#N/A</c:v>
                </c:pt>
                <c:pt idx="15">
                  <c:v>1.2022553655874863E-2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22.20150953753911</c:v>
                </c:pt>
                <c:pt idx="9">
                  <c:v>29.335274004944381</c:v>
                </c:pt>
                <c:pt idx="10">
                  <c:v>28.770904131442915</c:v>
                </c:pt>
                <c:pt idx="11">
                  <c:v>32.211699579901385</c:v>
                </c:pt>
                <c:pt idx="12">
                  <c:v>33.682451456655855</c:v>
                </c:pt>
                <c:pt idx="13">
                  <c:v>31.368174139110049</c:v>
                </c:pt>
                <c:pt idx="14">
                  <c:v>0</c:v>
                </c:pt>
                <c:pt idx="15">
                  <c:v>34.074556226536743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6.8005354752342706E-2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6.8005354752342706E-2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6.8005354752342706E-2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6.992469854462946E-2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5.8373415375954094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0.17079072338507784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5.8373415375954094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-2.4469118511449688</c:v>
                </c:pt>
                <c:pt idx="1">
                  <c:v>-2.2761211277598909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5.8373415375954094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2.4469118511449688</c:v>
                </c:pt>
                <c:pt idx="1">
                  <c:v>2.6177025745300466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4.7118477837828241</c:v>
                </c:pt>
                <c:pt idx="9">
                  <c:v>5.416204760249042</c:v>
                </c:pt>
                <c:pt idx="10">
                  <c:v>5.3638516134810175</c:v>
                </c:pt>
                <c:pt idx="11">
                  <c:v>5.6755351800426173</c:v>
                </c:pt>
                <c:pt idx="12">
                  <c:v>5.8036584545143466</c:v>
                </c:pt>
                <c:pt idx="13">
                  <c:v>5.6007297862966077</c:v>
                </c:pt>
                <c:pt idx="14">
                  <c:v>#N/A</c:v>
                </c:pt>
                <c:pt idx="15">
                  <c:v>5.8373415375954094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-0.67196127858592847</c:v>
                </c:pt>
                <c:pt idx="9">
                  <c:v>1.5488525453564352</c:v>
                </c:pt>
                <c:pt idx="10">
                  <c:v>1.1109831096495002</c:v>
                </c:pt>
                <c:pt idx="11">
                  <c:v>0.79040888269538134</c:v>
                </c:pt>
                <c:pt idx="12">
                  <c:v>-1.3661830211255181</c:v>
                </c:pt>
                <c:pt idx="13">
                  <c:v>0.2677237425113958</c:v>
                </c:pt>
                <c:pt idx="14">
                  <c:v>#N/A</c:v>
                </c:pt>
                <c:pt idx="15">
                  <c:v>-0.5218287130978283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-0.14261099029953303</c:v>
                </c:pt>
                <c:pt idx="9">
                  <c:v>0.28596639416660785</c:v>
                </c:pt>
                <c:pt idx="10">
                  <c:v>0.20712413200567595</c:v>
                </c:pt>
                <c:pt idx="11">
                  <c:v>0.13926596481592882</c:v>
                </c:pt>
                <c:pt idx="12">
                  <c:v>-0.23540031375603082</c:v>
                </c:pt>
                <c:pt idx="13">
                  <c:v>4.7801581709305027E-2</c:v>
                </c:pt>
                <c:pt idx="14">
                  <c:v>#N/A</c:v>
                </c:pt>
                <c:pt idx="15">
                  <c:v>-8.9394925710100992E-2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0.21223096455742627</c:v>
                </c:pt>
                <c:pt idx="9">
                  <c:v>0.18463112904062717</c:v>
                </c:pt>
                <c:pt idx="10">
                  <c:v>0.18643319615454887</c:v>
                </c:pt>
                <c:pt idx="11">
                  <c:v>0.17619483771616601</c:v>
                </c:pt>
                <c:pt idx="12">
                  <c:v>0.17230510855134057</c:v>
                </c:pt>
                <c:pt idx="13">
                  <c:v>0.17854816035701551</c:v>
                </c:pt>
                <c:pt idx="14">
                  <c:v>#N/A</c:v>
                </c:pt>
                <c:pt idx="15">
                  <c:v>0.17131086018515415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-0.59391424909185053</c:v>
                </c:pt>
                <c:pt idx="1">
                  <c:v>2.9258305734742408E-2</c:v>
                </c:pt>
                <c:pt idx="2">
                  <c:v>0.65243086056133537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0.25467715746891151</c:v>
                </c:pt>
                <c:pt idx="1">
                  <c:v>0</c:v>
                </c:pt>
                <c:pt idx="2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2.9258305734742408E-2</c:v>
                </c:pt>
                <c:pt idx="1">
                  <c:v>2.9258305734742408E-2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0.22964267149182091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0.22964267149182091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2.9258305734742408E-2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0.1681956501798316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0.1681956501798316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2.9258305734742408E-2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0.2334540610131689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0.22964267149182091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0.22964267149182091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2.9258305734742408E-2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0.1681956501798316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0.1681956501798316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2.9258305734742408E-2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0.25467715746891151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-0.74785859476330196</c:v>
                </c:pt>
                <c:pt idx="9">
                  <c:v>1.3351777361189372</c:v>
                </c:pt>
                <c:pt idx="10">
                  <c:v>0.7478585947633023</c:v>
                </c:pt>
                <c:pt idx="11">
                  <c:v>0.34875569551704505</c:v>
                </c:pt>
                <c:pt idx="12">
                  <c:v>-1.3351777361189361</c:v>
                </c:pt>
                <c:pt idx="13">
                  <c:v>0</c:v>
                </c:pt>
                <c:pt idx="14">
                  <c:v>#N/A</c:v>
                </c:pt>
                <c:pt idx="15">
                  <c:v>-0.34875569551704472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-0.67196127858592847</c:v>
                </c:pt>
                <c:pt idx="9">
                  <c:v>1.5488525453564352</c:v>
                </c:pt>
                <c:pt idx="10">
                  <c:v>1.1109831096495002</c:v>
                </c:pt>
                <c:pt idx="11">
                  <c:v>0.79040888269538134</c:v>
                </c:pt>
                <c:pt idx="12">
                  <c:v>-1.3661830211255181</c:v>
                </c:pt>
                <c:pt idx="13">
                  <c:v>0.2677237425113958</c:v>
                </c:pt>
                <c:pt idx="14">
                  <c:v>#N/A</c:v>
                </c:pt>
                <c:pt idx="15">
                  <c:v>-0.5218287130978283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-1.3351777361189361</c:v>
                </c:pt>
                <c:pt idx="1">
                  <c:v>1.3351777361189372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-1.3745787317254707</c:v>
                </c:pt>
                <c:pt idx="1">
                  <c:v>1.7054345224121679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-1.3351777361189361</c:v>
                </c:pt>
                <c:pt idx="1">
                  <c:v>1.3351777361189372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0.16542789534334795</c:v>
                </c:pt>
                <c:pt idx="1">
                  <c:v>0.16542789534334795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0.14285714285714285</c:v>
                </c:pt>
                <c:pt idx="2">
                  <c:v>0</c:v>
                </c:pt>
                <c:pt idx="3">
                  <c:v>0.2857142857142857</c:v>
                </c:pt>
                <c:pt idx="4">
                  <c:v>0</c:v>
                </c:pt>
                <c:pt idx="5">
                  <c:v>0.14285714285714285</c:v>
                </c:pt>
                <c:pt idx="6">
                  <c:v>0</c:v>
                </c:pt>
                <c:pt idx="7">
                  <c:v>0.14285714285714285</c:v>
                </c:pt>
                <c:pt idx="8">
                  <c:v>0.14285714285714285</c:v>
                </c:pt>
                <c:pt idx="9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8.0756659233771053E-2</c:v>
                </c:pt>
                <c:pt idx="2">
                  <c:v>7.7898594697685938E-2</c:v>
                </c:pt>
                <c:pt idx="3">
                  <c:v>0.11559786381861656</c:v>
                </c:pt>
                <c:pt idx="4">
                  <c:v>0.14648717281082341</c:v>
                </c:pt>
                <c:pt idx="5">
                  <c:v>0.15851941887820603</c:v>
                </c:pt>
                <c:pt idx="6">
                  <c:v>0.14648717281082346</c:v>
                </c:pt>
                <c:pt idx="7">
                  <c:v>0.11559786381861659</c:v>
                </c:pt>
                <c:pt idx="8">
                  <c:v>7.7898594697685897E-2</c:v>
                </c:pt>
                <c:pt idx="9">
                  <c:v>8.0756659233771066E-2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663575</xdr:colOff>
      <xdr:row>2</xdr:row>
      <xdr:rowOff>114300</xdr:rowOff>
    </xdr:from>
    <xdr:to>
      <xdr:col>11</xdr:col>
      <xdr:colOff>5080000</xdr:colOff>
      <xdr:row>206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542472</xdr:colOff>
      <xdr:row>1</xdr:row>
      <xdr:rowOff>117475</xdr:rowOff>
    </xdr:from>
    <xdr:to>
      <xdr:col>15</xdr:col>
      <xdr:colOff>170997</xdr:colOff>
      <xdr:row>28</xdr:row>
      <xdr:rowOff>215446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8" activePane="bottomLeft" state="frozen"/>
      <selection pane="bottomLeft" activeCell="B16" sqref="B16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8" t="str">
        <f>IF(AND(Sufficient_data="Yes",Include_study?="Yes"),1,"")</f>
        <v/>
      </c>
      <c r="B2" s="109" t="s">
        <v>12</v>
      </c>
      <c r="C2" s="5" t="s">
        <v>22</v>
      </c>
      <c r="D2" s="27">
        <v>64</v>
      </c>
      <c r="E2" s="27"/>
      <c r="F2" s="27">
        <v>80.5</v>
      </c>
      <c r="G2" s="27"/>
      <c r="H2" s="27">
        <v>3344</v>
      </c>
      <c r="I2" s="27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3" x14ac:dyDescent="0.35">
      <c r="A3" s="108" t="str">
        <f>IF(AND(Sufficient_data="Yes",Include_study?="Yes"),COUNT(A$2:A2)+1,"")</f>
        <v/>
      </c>
      <c r="B3" s="109" t="s">
        <v>21</v>
      </c>
      <c r="C3" s="5" t="s">
        <v>22</v>
      </c>
      <c r="D3" s="27">
        <v>82</v>
      </c>
      <c r="E3" s="27"/>
      <c r="F3" s="27">
        <v>70</v>
      </c>
      <c r="G3" s="27"/>
      <c r="H3" s="27">
        <v>3344</v>
      </c>
      <c r="I3" s="27">
        <v>2187</v>
      </c>
      <c r="J3" s="3" t="str">
        <f t="shared" si="0"/>
        <v>Yes</v>
      </c>
      <c r="K3" s="5"/>
      <c r="L3" s="27"/>
      <c r="N3" s="2" t="s">
        <v>17</v>
      </c>
      <c r="O3" s="3" t="s">
        <v>3</v>
      </c>
      <c r="P3" s="3" t="s">
        <v>4</v>
      </c>
      <c r="Q3" s="3" t="s">
        <v>18</v>
      </c>
      <c r="S3" s="92"/>
      <c r="T3" s="92"/>
    </row>
    <row r="4" spans="1:20" ht="13" x14ac:dyDescent="0.35">
      <c r="A4" s="108" t="str">
        <f>IF(AND(Sufficient_data="Yes",Include_study?="Yes"),COUNT(A$2:A3)+1,"")</f>
        <v/>
      </c>
      <c r="B4" s="109" t="s">
        <v>23</v>
      </c>
      <c r="C4" s="5" t="s">
        <v>22</v>
      </c>
      <c r="D4" s="27">
        <v>78</v>
      </c>
      <c r="E4" s="27"/>
      <c r="F4" s="27">
        <v>76</v>
      </c>
      <c r="G4" s="27"/>
      <c r="H4" s="27">
        <v>2046</v>
      </c>
      <c r="I4" s="93">
        <v>897</v>
      </c>
      <c r="J4" s="3" t="str">
        <f t="shared" si="0"/>
        <v>Yes</v>
      </c>
      <c r="K4" s="5"/>
      <c r="L4" s="27"/>
      <c r="N4" s="2" t="s">
        <v>19</v>
      </c>
      <c r="O4" s="3" t="s">
        <v>5</v>
      </c>
      <c r="P4" s="3" t="s">
        <v>6</v>
      </c>
      <c r="Q4" s="3" t="s">
        <v>20</v>
      </c>
      <c r="S4" s="92"/>
      <c r="T4" s="92"/>
    </row>
    <row r="5" spans="1:20" x14ac:dyDescent="0.3">
      <c r="A5" s="108" t="str">
        <f>IF(AND(Sufficient_data="Yes",Include_study?="Yes"),COUNT(A$2:A4)+1,"")</f>
        <v/>
      </c>
      <c r="B5" s="94" t="s">
        <v>23</v>
      </c>
      <c r="C5" s="5" t="s">
        <v>22</v>
      </c>
      <c r="D5" s="27">
        <v>49</v>
      </c>
      <c r="E5" s="27"/>
      <c r="F5" s="27">
        <v>29</v>
      </c>
      <c r="G5" s="27"/>
      <c r="H5" s="27">
        <v>4819</v>
      </c>
      <c r="I5" s="27">
        <v>2252</v>
      </c>
      <c r="J5" s="3" t="str">
        <f t="shared" si="0"/>
        <v>Yes</v>
      </c>
      <c r="K5" s="5"/>
      <c r="L5" s="27"/>
      <c r="S5" s="92"/>
      <c r="T5" s="92"/>
    </row>
    <row r="6" spans="1:20" x14ac:dyDescent="0.3">
      <c r="A6" s="108" t="str">
        <f>IF(AND(Sufficient_data="Yes",Include_study?="Yes"),COUNT(A$2:A5)+1,"")</f>
        <v/>
      </c>
      <c r="B6" s="94" t="s">
        <v>24</v>
      </c>
      <c r="C6" s="5" t="s">
        <v>22</v>
      </c>
      <c r="D6" s="27">
        <v>45</v>
      </c>
      <c r="E6" s="27"/>
      <c r="F6" s="27">
        <v>71</v>
      </c>
      <c r="G6" s="27"/>
      <c r="H6" s="27">
        <v>3397</v>
      </c>
      <c r="I6" s="27">
        <v>4036</v>
      </c>
      <c r="J6" s="3" t="str">
        <f t="shared" si="0"/>
        <v>Yes</v>
      </c>
      <c r="K6" s="5"/>
      <c r="L6" s="27"/>
      <c r="S6" s="92"/>
      <c r="T6" s="92"/>
    </row>
    <row r="7" spans="1:20" x14ac:dyDescent="0.3">
      <c r="A7" s="108" t="str">
        <f>IF(AND(Sufficient_data="Yes",Include_study?="Yes"),COUNT(A$2:A6)+1,"")</f>
        <v/>
      </c>
      <c r="B7" s="109" t="s">
        <v>24</v>
      </c>
      <c r="C7" s="5" t="s">
        <v>22</v>
      </c>
      <c r="D7" s="27">
        <v>61.3</v>
      </c>
      <c r="E7" s="27"/>
      <c r="F7" s="27">
        <v>70.599999999999994</v>
      </c>
      <c r="G7" s="27"/>
      <c r="H7" s="27">
        <v>3397</v>
      </c>
      <c r="I7" s="27">
        <v>4036</v>
      </c>
      <c r="J7" s="3" t="str">
        <f t="shared" si="0"/>
        <v>Yes</v>
      </c>
      <c r="K7" s="5"/>
      <c r="L7" s="27"/>
      <c r="S7" s="92"/>
      <c r="T7" s="92"/>
    </row>
    <row r="8" spans="1:20" x14ac:dyDescent="0.3">
      <c r="A8" s="108" t="str">
        <f>IF(AND(Sufficient_data="Yes",Include_study?="Yes"),COUNT(A$2:A7)+1,"")</f>
        <v/>
      </c>
      <c r="B8" s="12" t="s">
        <v>25</v>
      </c>
      <c r="C8" s="5" t="s">
        <v>22</v>
      </c>
      <c r="D8" s="27">
        <v>41</v>
      </c>
      <c r="E8" s="27"/>
      <c r="F8" s="27">
        <v>60</v>
      </c>
      <c r="G8" s="27"/>
      <c r="H8" s="27">
        <v>3397</v>
      </c>
      <c r="I8" s="27">
        <v>4036</v>
      </c>
      <c r="J8" s="3" t="str">
        <f t="shared" si="0"/>
        <v>Yes</v>
      </c>
      <c r="K8" s="5"/>
      <c r="L8" s="27"/>
      <c r="S8" s="92"/>
      <c r="T8" s="92"/>
    </row>
    <row r="9" spans="1:20" s="98" customFormat="1" x14ac:dyDescent="0.3">
      <c r="A9" s="108" t="str">
        <f>IF(AND(Sufficient_data="Yes",Include_study?="Yes"),COUNT(A$2:A8)+1,"")</f>
        <v/>
      </c>
      <c r="B9" s="12" t="s">
        <v>26</v>
      </c>
      <c r="C9" s="5" t="s">
        <v>22</v>
      </c>
      <c r="D9" s="27">
        <v>66</v>
      </c>
      <c r="E9" s="27"/>
      <c r="F9" s="27">
        <v>80</v>
      </c>
      <c r="G9" s="27"/>
      <c r="H9" s="27">
        <v>6550</v>
      </c>
      <c r="I9" s="27">
        <v>6550</v>
      </c>
      <c r="J9" s="100" t="str">
        <f t="shared" si="0"/>
        <v>Yes</v>
      </c>
      <c r="K9" s="99"/>
      <c r="L9" s="97"/>
    </row>
    <row r="10" spans="1:20" s="98" customFormat="1" x14ac:dyDescent="0.3">
      <c r="A10" s="108">
        <f>IF(AND(Sufficient_data="Yes",Include_study?="Yes"),COUNT(A$2:A9)+1,"")</f>
        <v>1</v>
      </c>
      <c r="B10" s="137" t="s">
        <v>27</v>
      </c>
      <c r="C10" s="5" t="s">
        <v>13</v>
      </c>
      <c r="D10" s="101">
        <v>44.45</v>
      </c>
      <c r="E10" s="101"/>
      <c r="F10" s="101">
        <v>50.8</v>
      </c>
      <c r="G10" s="101"/>
      <c r="H10" s="101">
        <v>747</v>
      </c>
      <c r="I10" s="101">
        <v>747</v>
      </c>
      <c r="J10" s="100" t="s">
        <v>13</v>
      </c>
      <c r="K10" s="99"/>
      <c r="L10" s="97"/>
    </row>
    <row r="11" spans="1:20" s="98" customFormat="1" x14ac:dyDescent="0.3">
      <c r="A11" s="108">
        <f>IF(AND(Sufficient_data="Yes",Include_study?="Yes"),COUNT(A$2:A10)+1,"")</f>
        <v>2</v>
      </c>
      <c r="B11" s="137" t="s">
        <v>28</v>
      </c>
      <c r="C11" s="5" t="s">
        <v>13</v>
      </c>
      <c r="D11" s="101">
        <v>69</v>
      </c>
      <c r="E11" s="101"/>
      <c r="F11" s="101">
        <v>52</v>
      </c>
      <c r="G11" s="101"/>
      <c r="H11" s="101">
        <v>5538</v>
      </c>
      <c r="I11" s="101">
        <v>5538</v>
      </c>
      <c r="J11" s="100" t="s">
        <v>13</v>
      </c>
      <c r="K11" s="99"/>
      <c r="L11" s="97"/>
    </row>
    <row r="12" spans="1:20" s="94" customFormat="1" x14ac:dyDescent="0.3">
      <c r="A12" s="108">
        <f>IF(AND(Sufficient_data="Yes",Include_study?="Yes"),COUNT(A$2:A11)+1,"")</f>
        <v>3</v>
      </c>
      <c r="B12" s="138" t="s">
        <v>28</v>
      </c>
      <c r="C12" s="5" t="s">
        <v>13</v>
      </c>
      <c r="D12" s="101">
        <v>65</v>
      </c>
      <c r="E12" s="101"/>
      <c r="F12" s="101">
        <v>53</v>
      </c>
      <c r="G12" s="101"/>
      <c r="H12" s="101">
        <v>4021</v>
      </c>
      <c r="I12" s="101">
        <v>4021</v>
      </c>
      <c r="J12" s="100" t="str">
        <f t="shared" si="0"/>
        <v>Yes</v>
      </c>
      <c r="K12" s="99"/>
      <c r="L12" s="101"/>
      <c r="S12" s="107"/>
      <c r="T12" s="107"/>
    </row>
    <row r="13" spans="1:20" x14ac:dyDescent="0.3">
      <c r="A13" s="108">
        <f>IF(AND(Sufficient_data="Yes",Include_study?="Yes"),COUNT(A$2:A12)+1,"")</f>
        <v>4</v>
      </c>
      <c r="B13" s="139" t="s">
        <v>29</v>
      </c>
      <c r="C13" s="5" t="s">
        <v>13</v>
      </c>
      <c r="D13" s="27">
        <v>70</v>
      </c>
      <c r="E13" s="27"/>
      <c r="F13" s="27">
        <v>61</v>
      </c>
      <c r="G13" s="27"/>
      <c r="H13" s="27">
        <v>5538</v>
      </c>
      <c r="I13" s="27">
        <v>5538</v>
      </c>
      <c r="J13" s="3" t="str">
        <f t="shared" si="0"/>
        <v>Yes</v>
      </c>
      <c r="K13" s="5"/>
      <c r="L13" s="27"/>
      <c r="S13" s="92"/>
      <c r="T13" s="92"/>
    </row>
    <row r="14" spans="1:20" x14ac:dyDescent="0.3">
      <c r="A14" s="108">
        <f>IF(AND(Sufficient_data="Yes",Include_study?="Yes"),COUNT(A$2:A13)+1,"")</f>
        <v>5</v>
      </c>
      <c r="B14" s="138" t="s">
        <v>26</v>
      </c>
      <c r="C14" s="5" t="s">
        <v>13</v>
      </c>
      <c r="D14" s="27">
        <v>61</v>
      </c>
      <c r="E14" s="27"/>
      <c r="F14" s="27">
        <v>77</v>
      </c>
      <c r="G14" s="27"/>
      <c r="H14" s="27">
        <v>6550</v>
      </c>
      <c r="I14" s="27">
        <v>6550</v>
      </c>
      <c r="J14" s="3" t="str">
        <f t="shared" si="0"/>
        <v>Yes</v>
      </c>
      <c r="K14" s="5"/>
      <c r="L14" s="27"/>
      <c r="S14" s="92"/>
      <c r="T14" s="92"/>
    </row>
    <row r="15" spans="1:20" ht="14.5" x14ac:dyDescent="0.35">
      <c r="A15" s="108">
        <f>IF(AND(Sufficient_data="Yes",Include_study?="Yes"),COUNT(A$2:A14)+1,"")</f>
        <v>6</v>
      </c>
      <c r="B15" s="136" t="s">
        <v>30</v>
      </c>
      <c r="C15" s="5" t="s">
        <v>13</v>
      </c>
      <c r="D15" s="27">
        <v>65</v>
      </c>
      <c r="E15" s="27"/>
      <c r="F15" s="27">
        <v>62</v>
      </c>
      <c r="G15" s="27"/>
      <c r="H15" s="27">
        <v>5531</v>
      </c>
      <c r="I15" s="27">
        <v>5531</v>
      </c>
      <c r="J15" s="3" t="str">
        <f t="shared" si="0"/>
        <v>Yes</v>
      </c>
      <c r="K15" s="5"/>
      <c r="L15" s="27"/>
      <c r="S15" s="92"/>
      <c r="T15" s="92"/>
    </row>
    <row r="16" spans="1:20" x14ac:dyDescent="0.3">
      <c r="A16" s="108" t="str">
        <f>IF(AND(Sufficient_data="Yes",Include_study?="Yes"),COUNT(A$2:A15)+1,"")</f>
        <v/>
      </c>
      <c r="B16" s="12" t="s">
        <v>31</v>
      </c>
      <c r="C16" s="5" t="s">
        <v>22</v>
      </c>
      <c r="D16" s="27">
        <v>75</v>
      </c>
      <c r="E16" s="27"/>
      <c r="F16" s="27">
        <v>84</v>
      </c>
      <c r="G16" s="27"/>
      <c r="H16" s="27">
        <v>3311</v>
      </c>
      <c r="I16" s="27">
        <v>2187</v>
      </c>
      <c r="J16" s="3" t="str">
        <f t="shared" si="0"/>
        <v>Yes</v>
      </c>
      <c r="K16" s="5"/>
      <c r="L16" s="27"/>
      <c r="S16" s="92"/>
      <c r="T16" s="92"/>
    </row>
    <row r="17" spans="1:12" x14ac:dyDescent="0.3">
      <c r="A17" s="108">
        <f>IF(AND(Sufficient_data="Yes",Include_study?="Yes"),COUNT(A$2:A16)+1,"")</f>
        <v>7</v>
      </c>
      <c r="B17" s="139" t="s">
        <v>31</v>
      </c>
      <c r="C17" s="5" t="s">
        <v>13</v>
      </c>
      <c r="D17" s="27">
        <v>66.099999999999994</v>
      </c>
      <c r="E17" s="27"/>
      <c r="F17" s="27">
        <v>72.2</v>
      </c>
      <c r="G17" s="27"/>
      <c r="H17" s="27">
        <v>5498</v>
      </c>
      <c r="I17" s="27">
        <v>5498</v>
      </c>
      <c r="J17" s="3" t="str">
        <f t="shared" si="0"/>
        <v>Yes</v>
      </c>
      <c r="K17" s="5"/>
      <c r="L17" s="27"/>
    </row>
    <row r="18" spans="1:12" x14ac:dyDescent="0.3">
      <c r="A18" s="108" t="str">
        <f>IF(AND(Sufficient_data="Yes",Include_study?="Yes"),COUNT(A$2:A17)+1,"")</f>
        <v/>
      </c>
      <c r="B18" s="12" t="s">
        <v>32</v>
      </c>
      <c r="C18" s="5" t="s">
        <v>22</v>
      </c>
      <c r="D18" s="27">
        <v>52</v>
      </c>
      <c r="E18" s="27"/>
      <c r="F18" s="27">
        <v>78</v>
      </c>
      <c r="G18" s="27"/>
      <c r="H18" s="27">
        <v>2303</v>
      </c>
      <c r="I18" s="27">
        <v>2187</v>
      </c>
      <c r="J18" s="3" t="str">
        <f>IF(AND(OR(AND(a_&lt;&gt;"",b_&lt;&gt;""),AND(OR(a_&lt;&gt;"",b_&lt;&gt;""),n1_&lt;&gt;"")),OR(AND(c_&lt;&gt;"",d_&lt;&gt;""),AND(OR(c_&lt;&gt;"",d_&lt;&gt;""),n2_&lt;&gt;""))),"Yes","No")</f>
        <v>Yes</v>
      </c>
      <c r="K18" s="5"/>
      <c r="L18" s="27"/>
    </row>
    <row r="19" spans="1:12" x14ac:dyDescent="0.3">
      <c r="A19" s="108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22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22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22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22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22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22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22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22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22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22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22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22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22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22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22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22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22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22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22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22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22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22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22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22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22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22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22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22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22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22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22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22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22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22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22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22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22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22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22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22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22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22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22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22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22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22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22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22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22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22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22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22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22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22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22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22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22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22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22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22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22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22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22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22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22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22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22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22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22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22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22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22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22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22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22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22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22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22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22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22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22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22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22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22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22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22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22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22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22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22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22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22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22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22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22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22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22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22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22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22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22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22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22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22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6" activePane="bottomLeft" state="frozen"/>
      <selection pane="bottomLeft" activeCell="E2" sqref="E2:I8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6" t="s">
        <v>33</v>
      </c>
      <c r="B1" s="116"/>
      <c r="D1" s="1" t="s">
        <v>34</v>
      </c>
      <c r="E1" s="1" t="s">
        <v>1</v>
      </c>
      <c r="F1" s="1" t="str">
        <f>IF(Present_Effect_size_measure&lt;&gt;"",Present_Effect_size_measure,"")</f>
        <v>Odds Ratio</v>
      </c>
      <c r="G1" s="1" t="s">
        <v>35</v>
      </c>
      <c r="H1" s="1" t="s">
        <v>36</v>
      </c>
      <c r="I1" s="1" t="s">
        <v>37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38</v>
      </c>
      <c r="B2" s="5" t="s">
        <v>39</v>
      </c>
      <c r="D2" s="47">
        <v>1</v>
      </c>
      <c r="E2" s="16" t="str">
        <f>IF(Number&lt;=COUNT(Entry_number),INDEX(Lookup_table,MATCH(Number,Calculations!AK:AK,0),3),"")</f>
        <v>Lubis et al.</v>
      </c>
      <c r="F2" s="4">
        <f>IF(Ranked_number&lt;=COUNT(Entry_number),INDEX(Lookup_table,MATCH(Number,Calculations!AK:AK,0),5),"")</f>
        <v>0.86709131022703034</v>
      </c>
      <c r="G2" s="4">
        <f>IF(Ranked_number&lt;=COUNT(Entry_number),INDEX(Lookup_table,MATCH(Number,Calculations!AK:AK,0),9),"")</f>
        <v>0.57182987539406638</v>
      </c>
      <c r="H2" s="4">
        <f>IF(Ranked_number&lt;=COUNT(Entry_number),INDEX(Lookup_table,MATCH(Number,Calculations!AK:AK,0),10),"")</f>
        <v>1.3148094785238458</v>
      </c>
      <c r="I2" s="8">
        <f>IF(D2&lt;=COUNT(Entry_number),INDEX(Lookup_table,MATCH(Number,Calculations!AK:AK,0),11),"")</f>
        <v>0.10822157861532689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40</v>
      </c>
      <c r="M2" s="113" t="s">
        <v>41</v>
      </c>
      <c r="O2" s="114" t="s">
        <v>42</v>
      </c>
    </row>
    <row r="3" spans="1:15" x14ac:dyDescent="0.3">
      <c r="A3" s="3" t="s">
        <v>43</v>
      </c>
      <c r="B3" s="29">
        <v>0.95</v>
      </c>
      <c r="D3" s="48">
        <v>2</v>
      </c>
      <c r="E3" s="16" t="str">
        <f>IF(Number&lt;=COUNT(Entry_number),INDEX(Lookup_table,MATCH(Number,Calculations!AK:AK,0),3),"")</f>
        <v>Lu et al.</v>
      </c>
      <c r="F3" s="4">
        <f>IF(Ranked_number&lt;=COUNT(Entry_number),INDEX(Lookup_table,MATCH(Number,Calculations!AK:AK,0),5),"")</f>
        <v>1.3310477235326386</v>
      </c>
      <c r="G3" s="4">
        <f>IF(Ranked_number&lt;=COUNT(Entry_number),INDEX(Lookup_table,MATCH(Number,Calculations!AK:AK,0),9),"")</f>
        <v>0.92686854989867828</v>
      </c>
      <c r="H3" s="4">
        <f>IF(Ranked_number&lt;=COUNT(Entry_number),INDEX(Lookup_table,MATCH(Number,Calculations!AK:AK,0),10),"")</f>
        <v>1.9114771372004082</v>
      </c>
      <c r="I3" s="8">
        <f>IF(D3&lt;=COUNT(Entry_number),INDEX(Lookup_table,MATCH(Number,Calculations!AK:AK,0),11),"")</f>
        <v>0.13927574809730275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3"/>
      <c r="O3" s="114"/>
    </row>
    <row r="4" spans="1:15" x14ac:dyDescent="0.3">
      <c r="D4" s="48">
        <v>3</v>
      </c>
      <c r="E4" s="16" t="str">
        <f>IF(Number&lt;=COUNT(Entry_number),INDEX(Lookup_table,MATCH(Number,Calculations!AK:AK,0),3),"")</f>
        <v>Lu et al.</v>
      </c>
      <c r="F4" s="4">
        <f>IF(Ranked_number&lt;=COUNT(Entry_number),INDEX(Lookup_table,MATCH(Number,Calculations!AK:AK,0),5),"")</f>
        <v>1.2301352614609764</v>
      </c>
      <c r="G4" s="4">
        <f>IF(Ranked_number&lt;=COUNT(Entry_number),INDEX(Lookup_table,MATCH(Number,Calculations!AK:AK,0),9),"")</f>
        <v>0.85356529687486082</v>
      </c>
      <c r="H4" s="4">
        <f>IF(Ranked_number&lt;=COUNT(Entry_number),INDEX(Lookup_table,MATCH(Number,Calculations!AK:AK,0),10),"")</f>
        <v>1.7728377278575282</v>
      </c>
      <c r="I4" s="8">
        <f>IF(D4&lt;=COUNT(Entry_number),INDEX(Lookup_table,MATCH(Number,Calculations!AK:AK,0),11),"")</f>
        <v>0.13687794464992548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44</v>
      </c>
      <c r="M4" s="113"/>
      <c r="O4" s="114"/>
    </row>
    <row r="5" spans="1:15" x14ac:dyDescent="0.3">
      <c r="A5" s="116" t="s">
        <v>45</v>
      </c>
      <c r="B5" s="116"/>
      <c r="D5" s="48">
        <v>4</v>
      </c>
      <c r="E5" s="16" t="str">
        <f>IF(Number&lt;=COUNT(Entry_number),INDEX(Lookup_table,MATCH(Number,Calculations!AK:AK,0),3),"")</f>
        <v>Seo et al.</v>
      </c>
      <c r="F5" s="4">
        <f>IF(Ranked_number&lt;=COUNT(Entry_number),INDEX(Lookup_table,MATCH(Number,Calculations!AK:AK,0),5),"")</f>
        <v>1.1494297672299039</v>
      </c>
      <c r="G5" s="4">
        <f>IF(Ranked_number&lt;=COUNT(Entry_number),INDEX(Lookup_table,MATCH(Number,Calculations!AK:AK,0),9),"")</f>
        <v>0.81374574051227822</v>
      </c>
      <c r="H5" s="4">
        <f>IF(Ranked_number&lt;=COUNT(Entry_number),INDEX(Lookup_table,MATCH(Number,Calculations!AK:AK,0),10),"")</f>
        <v>1.6235891925682604</v>
      </c>
      <c r="I5" s="8">
        <f>IF(D5&lt;=COUNT(Entry_number),INDEX(Lookup_table,MATCH(Number,Calculations!AK:AK,0),11),"")</f>
        <v>0.15134490999694505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3"/>
      <c r="O5" s="114"/>
    </row>
    <row r="6" spans="1:15" x14ac:dyDescent="0.3">
      <c r="A6" s="3" t="s">
        <v>46</v>
      </c>
      <c r="B6" s="5" t="s">
        <v>47</v>
      </c>
      <c r="D6" s="48">
        <v>5</v>
      </c>
      <c r="E6" s="16" t="str">
        <f>IF(Number&lt;=COUNT(Entry_number),INDEX(Lookup_table,MATCH(Number,Calculations!AK:AK,0),3),"")</f>
        <v>Law et al.</v>
      </c>
      <c r="F6" s="4">
        <f>IF(Ranked_number&lt;=COUNT(Entry_number),INDEX(Lookup_table,MATCH(Number,Calculations!AK:AK,0),5),"")</f>
        <v>0.79025443657898586</v>
      </c>
      <c r="G6" s="4">
        <f>IF(Ranked_number&lt;=COUNT(Entry_number),INDEX(Lookup_table,MATCH(Number,Calculations!AK:AK,0),9),"")</f>
        <v>0.56375059592183063</v>
      </c>
      <c r="H6" s="4">
        <f>IF(Ranked_number&lt;=COUNT(Entry_number),INDEX(Lookup_table,MATCH(Number,Calculations!AK:AK,0),10),"")</f>
        <v>1.1077630410511592</v>
      </c>
      <c r="I6" s="8">
        <f>IF(D6&lt;=COUNT(Entry_number),INDEX(Lookup_table,MATCH(Number,Calculations!AK:AK,0),11),"")</f>
        <v>0.15741973128535233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48</v>
      </c>
      <c r="M6" s="113"/>
      <c r="O6" s="114"/>
    </row>
    <row r="7" spans="1:15" x14ac:dyDescent="0.3">
      <c r="A7" s="3" t="s">
        <v>49</v>
      </c>
      <c r="B7" s="5" t="s">
        <v>50</v>
      </c>
      <c r="D7" s="48">
        <v>6</v>
      </c>
      <c r="E7" s="16" t="str">
        <f>IF(Number&lt;=COUNT(Entry_number),INDEX(Lookup_table,MATCH(Number,Calculations!AK:AK,0),3),"")</f>
        <v>Latif et al.</v>
      </c>
      <c r="F7" s="4">
        <f>IF(Ranked_number&lt;=COUNT(Entry_number),INDEX(Lookup_table,MATCH(Number,Calculations!AK:AK,0),5),"")</f>
        <v>1.0489625013278567</v>
      </c>
      <c r="G7" s="4">
        <f>IF(Ranked_number&lt;=COUNT(Entry_number),INDEX(Lookup_table,MATCH(Number,Calculations!AK:AK,0),9),"")</f>
        <v>0.73920153417594681</v>
      </c>
      <c r="H7" s="4">
        <f>IF(Ranked_number&lt;=COUNT(Entry_number),INDEX(Lookup_table,MATCH(Number,Calculations!AK:AK,0),10),"")</f>
        <v>1.4885282001188218</v>
      </c>
      <c r="I7" s="8">
        <f>IF(D7&lt;=COUNT(Entry_number),INDEX(Lookup_table,MATCH(Number,Calculations!AK:AK,0),11),"")</f>
        <v>0.14783161286514779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51</v>
      </c>
      <c r="M7" s="113"/>
      <c r="O7" s="114"/>
    </row>
    <row r="8" spans="1:15" x14ac:dyDescent="0.3">
      <c r="A8" s="3" t="s">
        <v>52</v>
      </c>
      <c r="B8" s="5" t="s">
        <v>50</v>
      </c>
      <c r="D8" s="48">
        <v>7</v>
      </c>
      <c r="E8" s="16" t="str">
        <f>IF(Number&lt;=COUNT(Entry_number),INDEX(Lookup_table,MATCH(Number,Calculations!AK:AK,0),3),"")</f>
        <v>Hazarika et al. (A)</v>
      </c>
      <c r="F8" s="4">
        <f>IF(Ranked_number&lt;=COUNT(Entry_number),INDEX(Lookup_table,MATCH(Number,Calculations!AK:AK,0),5),"")</f>
        <v>0.91448434886983176</v>
      </c>
      <c r="G8" s="4">
        <f>IF(Ranked_number&lt;=COUNT(Entry_number),INDEX(Lookup_table,MATCH(Number,Calculations!AK:AK,0),9),"")</f>
        <v>0.65364230521356326</v>
      </c>
      <c r="H8" s="4">
        <f>IF(Ranked_number&lt;=COUNT(Entry_number),INDEX(Lookup_table,MATCH(Number,Calculations!AK:AK,0),10),"")</f>
        <v>1.2794178370303673</v>
      </c>
      <c r="I8" s="8">
        <f>IF(D8&lt;=COUNT(Entry_number),INDEX(Lookup_table,MATCH(Number,Calculations!AK:AK,0),11),"")</f>
        <v>0.15902847448999977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3"/>
      <c r="O8" s="114"/>
    </row>
    <row r="9" spans="1:15" x14ac:dyDescent="0.3">
      <c r="A9" s="3" t="s">
        <v>53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3"/>
      <c r="O9" s="114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3"/>
      <c r="O10" s="114"/>
    </row>
    <row r="11" spans="1:15" x14ac:dyDescent="0.3">
      <c r="A11" s="116" t="s">
        <v>54</v>
      </c>
      <c r="B11" s="116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3"/>
      <c r="O11" s="114"/>
    </row>
    <row r="12" spans="1:15" x14ac:dyDescent="0.3">
      <c r="A12" s="3" t="s">
        <v>55</v>
      </c>
      <c r="B12" s="5" t="s">
        <v>40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3"/>
      <c r="O12" s="114"/>
    </row>
    <row r="13" spans="1:15" x14ac:dyDescent="0.3">
      <c r="A13" s="3" t="s">
        <v>56</v>
      </c>
      <c r="B13" s="5" t="s">
        <v>57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3"/>
      <c r="O13" s="114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3"/>
      <c r="O14" s="114"/>
    </row>
    <row r="15" spans="1:15" x14ac:dyDescent="0.3">
      <c r="A15" s="116" t="s">
        <v>58</v>
      </c>
      <c r="B15" s="116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3"/>
      <c r="O15" s="114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1.0300590281572417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3"/>
      <c r="O16" s="114"/>
    </row>
    <row r="17" spans="1:15" x14ac:dyDescent="0.3">
      <c r="A17" s="3" t="s">
        <v>35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0.86185414050436049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3"/>
      <c r="O17" s="114"/>
    </row>
    <row r="18" spans="1:15" x14ac:dyDescent="0.3">
      <c r="A18" s="3" t="s">
        <v>36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1.2310918421385402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3"/>
      <c r="O18" s="114"/>
    </row>
    <row r="19" spans="1:15" x14ac:dyDescent="0.3">
      <c r="A19" s="3" t="s">
        <v>59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0.8126002299680507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3"/>
      <c r="O19" s="114"/>
    </row>
    <row r="20" spans="1:15" x14ac:dyDescent="0.3">
      <c r="A20" s="3" t="s">
        <v>60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1.3057116677532297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3"/>
      <c r="O20" s="114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3"/>
      <c r="O21" s="114"/>
    </row>
    <row r="22" spans="1:15" x14ac:dyDescent="0.3">
      <c r="A22" s="3" t="s">
        <v>61</v>
      </c>
      <c r="B22" s="4">
        <f>IF(B16&lt;&gt;"",IF(Weighting_method="Inverse variance",Z_value,IF(Weighting_method="Mantel-Haenszel",Z_value_MH,IF(Weighting_method="Peto",Z_value_Peto,""))),"")</f>
        <v>0.40647205321162344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3"/>
      <c r="O22" s="114"/>
    </row>
    <row r="23" spans="1:15" x14ac:dyDescent="0.3">
      <c r="A23" s="3" t="s">
        <v>62</v>
      </c>
      <c r="B23" s="26">
        <f>IF(Valid_options="Yes",IF(B22&lt;&gt;"",1-NORMSDIST(ABS(B22)),""),"")</f>
        <v>0.34219789357303876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3"/>
      <c r="O23" s="114"/>
    </row>
    <row r="24" spans="1:15" x14ac:dyDescent="0.3">
      <c r="A24" s="3" t="s">
        <v>63</v>
      </c>
      <c r="B24" s="26">
        <f>IF(Valid_options="Yes",IF(B22&lt;&gt;"",2*(1-NORMSDIST(ABS(B22))),""),"")</f>
        <v>0.68439578714607752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3"/>
      <c r="O24" s="114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3"/>
      <c r="O25" s="114"/>
    </row>
    <row r="26" spans="1:15" ht="12" customHeight="1" x14ac:dyDescent="0.3">
      <c r="A26" s="3" t="s">
        <v>64</v>
      </c>
      <c r="B26" s="7">
        <f>SUMIF(Sufficient_data,"Yes",Number_of_subjects)</f>
        <v>66846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3"/>
      <c r="O26" s="114"/>
    </row>
    <row r="27" spans="1:15" x14ac:dyDescent="0.3">
      <c r="A27" s="3" t="s">
        <v>65</v>
      </c>
      <c r="B27" s="7">
        <f>COUNT(Weightf)</f>
        <v>7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3"/>
      <c r="O27" s="114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3"/>
      <c r="O28" s="114"/>
    </row>
    <row r="29" spans="1:15" x14ac:dyDescent="0.3">
      <c r="A29" s="116" t="s">
        <v>66</v>
      </c>
      <c r="B29" s="116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3"/>
      <c r="O29" s="114"/>
    </row>
    <row r="30" spans="1:15" x14ac:dyDescent="0.3">
      <c r="A30" s="3" t="s">
        <v>67</v>
      </c>
      <c r="B30" s="4">
        <f>IF(Valid_options="Yes",IF(Weighting_method="Inverse variance",Q_,IF(Weighting_method="Mantel-Haenszel",Q_MH,IF(Weighting_method="Peto",Q_Peto,""))),NA())</f>
        <v>6.7387650880213741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3"/>
      <c r="O30" s="114"/>
    </row>
    <row r="31" spans="1:15" ht="13" x14ac:dyDescent="0.35">
      <c r="A31" s="3" t="s">
        <v>68</v>
      </c>
      <c r="B31" s="26">
        <f>IF(Valid_options="Yes",IF(B30&lt;&gt;"",CHIDIST(B30,k_-1),""),"")</f>
        <v>0.3456831432015483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3"/>
      <c r="O31" s="114"/>
    </row>
    <row r="32" spans="1:15" ht="13.5" x14ac:dyDescent="0.3">
      <c r="A32" s="3" t="s">
        <v>69</v>
      </c>
      <c r="B32" s="8">
        <f>IF(Valid_options="Yes",IF(B30&lt;&gt;"",MAX(0,(B30-(k_-1))/B30),""),"")</f>
        <v>0.10962914990679534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3"/>
      <c r="O32" s="114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4.082919340311221E-3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3"/>
      <c r="O33" s="114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6.3897725627061419E-2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3"/>
      <c r="O34" s="114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3"/>
      <c r="O35" s="114"/>
    </row>
    <row r="36" spans="1:15" x14ac:dyDescent="0.3">
      <c r="A36" s="116" t="s">
        <v>70</v>
      </c>
      <c r="B36" s="117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3"/>
      <c r="O36" s="114"/>
    </row>
    <row r="37" spans="1:15" x14ac:dyDescent="0.3">
      <c r="A37" s="118" t="s">
        <v>47</v>
      </c>
      <c r="B37" s="118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3"/>
      <c r="O37" s="114"/>
    </row>
    <row r="38" spans="1:15" x14ac:dyDescent="0.3">
      <c r="A38" s="119" t="s">
        <v>71</v>
      </c>
      <c r="B38" s="119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3"/>
      <c r="O38" s="114"/>
    </row>
    <row r="39" spans="1:15" x14ac:dyDescent="0.3">
      <c r="A39" s="119" t="s">
        <v>72</v>
      </c>
      <c r="B39" s="119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3"/>
      <c r="O39" s="114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3"/>
      <c r="O40" s="114"/>
    </row>
    <row r="41" spans="1:15" x14ac:dyDescent="0.3">
      <c r="A41" s="116" t="s">
        <v>73</v>
      </c>
      <c r="B41" s="117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3"/>
      <c r="O41" s="114"/>
    </row>
    <row r="42" spans="1:15" x14ac:dyDescent="0.3">
      <c r="A42" s="118" t="str">
        <f>IF(Weighting_method="Peto","Peto Odds Ratio","Odds Ratio")</f>
        <v>Odds Ratio</v>
      </c>
      <c r="B42" s="118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3"/>
      <c r="O42" s="114"/>
    </row>
    <row r="43" spans="1:15" x14ac:dyDescent="0.3">
      <c r="A43" s="119" t="str">
        <f>IF(Weighting_method="Inverse variance","Risk Ratio","")</f>
        <v>Risk Ratio</v>
      </c>
      <c r="B43" s="119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3"/>
      <c r="O43" s="114"/>
    </row>
    <row r="44" spans="1:15" x14ac:dyDescent="0.3">
      <c r="A44" s="119" t="str">
        <f>IF(Weighting_method="Inverse variance","Risk Difference","")</f>
        <v>Risk Difference</v>
      </c>
      <c r="B44" s="119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3"/>
      <c r="O44" s="114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3"/>
      <c r="O45" s="114"/>
    </row>
    <row r="46" spans="1:15" x14ac:dyDescent="0.3">
      <c r="A46" s="116" t="s">
        <v>74</v>
      </c>
      <c r="B46" s="117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3"/>
      <c r="O46" s="114"/>
    </row>
    <row r="47" spans="1:15" x14ac:dyDescent="0.3">
      <c r="A47" s="118" t="str">
        <f>IF(Model_effect_size_measure&lt;&gt;"",Model_effect_size_measure,"")</f>
        <v>Odds Ratio</v>
      </c>
      <c r="B47" s="118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3"/>
      <c r="O47" s="114"/>
    </row>
    <row r="48" spans="1:15" x14ac:dyDescent="0.3">
      <c r="A48" s="119" t="str">
        <f>IF(OR(Model_effect_size_measure="Odds Ratio",Model_effect_size_measure="Peto Odds Ratio"),"Risk Ratio",IF(Model_effect_size_measure="Risk Ratio","Risk Difference",""))</f>
        <v>Risk Ratio</v>
      </c>
      <c r="B48" s="119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3"/>
      <c r="O48" s="114"/>
    </row>
    <row r="49" spans="1:15" x14ac:dyDescent="0.3">
      <c r="A49" s="119" t="str">
        <f>IF(OR(Model_effect_size_measure="Odds Ratio",Model_effect_size_measure="Peto Odds Ratio"),"Risk Difference","")</f>
        <v>Risk Difference</v>
      </c>
      <c r="B49" s="119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3"/>
      <c r="O49" s="114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3"/>
      <c r="O50" s="114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3"/>
      <c r="O51" s="114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3"/>
      <c r="O52" s="114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3"/>
      <c r="O53" s="114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3"/>
      <c r="O54" s="114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3"/>
      <c r="O55" s="114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3"/>
      <c r="O56" s="114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3"/>
      <c r="O57" s="114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3"/>
      <c r="O58" s="114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3"/>
      <c r="O59" s="114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3"/>
      <c r="O60" s="114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3"/>
      <c r="O61" s="114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3"/>
      <c r="O62" s="114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3"/>
      <c r="O63" s="114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3"/>
      <c r="O64" s="114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3"/>
      <c r="O65" s="114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3"/>
      <c r="O66" s="114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3"/>
      <c r="O67" s="114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3"/>
      <c r="O68" s="114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3"/>
      <c r="O69" s="114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3"/>
      <c r="O70" s="114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3"/>
      <c r="O71" s="114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3"/>
      <c r="O72" s="114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3"/>
      <c r="O73" s="114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3"/>
      <c r="O74" s="114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3"/>
      <c r="O75" s="114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3"/>
      <c r="O76" s="114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3"/>
      <c r="O77" s="114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3"/>
      <c r="O78" s="114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3"/>
      <c r="O79" s="114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3"/>
      <c r="O80" s="114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3"/>
      <c r="O81" s="114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3"/>
      <c r="O82" s="114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3"/>
      <c r="O83" s="114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3"/>
      <c r="O84" s="114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3"/>
      <c r="O85" s="114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3"/>
      <c r="O86" s="114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3"/>
      <c r="O87" s="114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3"/>
      <c r="O88" s="114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3"/>
      <c r="O89" s="114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3"/>
      <c r="O90" s="114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3"/>
      <c r="O91" s="114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3"/>
      <c r="O92" s="114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3"/>
      <c r="O93" s="114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3"/>
      <c r="O94" s="114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3"/>
      <c r="O95" s="114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3"/>
      <c r="O96" s="114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3"/>
      <c r="O97" s="114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3"/>
      <c r="O98" s="114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3"/>
      <c r="O99" s="114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3"/>
      <c r="O100" s="114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3"/>
      <c r="O101" s="114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3"/>
      <c r="O102" s="114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3"/>
      <c r="O103" s="114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3"/>
      <c r="O104" s="114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3"/>
      <c r="O105" s="114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3"/>
      <c r="O106" s="114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3"/>
      <c r="O107" s="114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3"/>
      <c r="O108" s="114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3"/>
      <c r="O109" s="114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3"/>
      <c r="O110" s="114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3"/>
      <c r="O111" s="114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3"/>
      <c r="O112" s="114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3"/>
      <c r="O113" s="114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3"/>
      <c r="O114" s="114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3"/>
      <c r="O115" s="114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3"/>
      <c r="O116" s="114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3"/>
      <c r="O117" s="114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3"/>
      <c r="O118" s="114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3"/>
      <c r="O119" s="114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3"/>
      <c r="O120" s="114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3"/>
      <c r="O121" s="114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3"/>
      <c r="O122" s="114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3"/>
      <c r="O123" s="114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3"/>
      <c r="O124" s="114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3"/>
      <c r="O125" s="114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3"/>
      <c r="O126" s="114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3"/>
      <c r="O127" s="114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3"/>
      <c r="O128" s="114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3"/>
      <c r="O129" s="114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3"/>
      <c r="O130" s="114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3"/>
      <c r="O131" s="114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3"/>
      <c r="O132" s="114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3"/>
      <c r="O133" s="114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3"/>
      <c r="O134" s="114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3"/>
      <c r="O135" s="114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3"/>
      <c r="O136" s="114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3"/>
      <c r="O137" s="114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3"/>
      <c r="O138" s="114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3"/>
      <c r="O139" s="114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3"/>
      <c r="O140" s="114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3"/>
      <c r="O141" s="114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3"/>
      <c r="O142" s="114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3"/>
      <c r="O143" s="114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3"/>
      <c r="O144" s="114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3"/>
      <c r="O145" s="114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3"/>
      <c r="O146" s="114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3"/>
      <c r="O147" s="114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3"/>
      <c r="O148" s="114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3"/>
      <c r="O149" s="114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3"/>
      <c r="O150" s="114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3"/>
      <c r="O151" s="114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3"/>
      <c r="O152" s="114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3"/>
      <c r="O153" s="114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3"/>
      <c r="O154" s="114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3"/>
      <c r="O155" s="114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3"/>
      <c r="O156" s="114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3"/>
      <c r="O157" s="114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3"/>
      <c r="O158" s="114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3"/>
      <c r="O159" s="114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3"/>
      <c r="O160" s="114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3"/>
      <c r="O161" s="114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3"/>
      <c r="O162" s="114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3"/>
      <c r="O163" s="114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3"/>
      <c r="O164" s="114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3"/>
      <c r="O165" s="114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3"/>
      <c r="O166" s="114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3"/>
      <c r="O167" s="114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3"/>
      <c r="O168" s="114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3"/>
      <c r="O169" s="114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3"/>
      <c r="O170" s="114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3"/>
      <c r="O171" s="114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3"/>
      <c r="O172" s="114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3"/>
      <c r="O173" s="114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3"/>
      <c r="O174" s="114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3"/>
      <c r="O175" s="114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3"/>
      <c r="O176" s="114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3"/>
      <c r="O177" s="114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3"/>
      <c r="O178" s="114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3"/>
      <c r="O179" s="114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3"/>
      <c r="O180" s="114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3"/>
      <c r="O181" s="114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3"/>
      <c r="O182" s="114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3"/>
      <c r="O183" s="114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3"/>
      <c r="O184" s="114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3"/>
      <c r="O185" s="114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3"/>
      <c r="O186" s="114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3"/>
      <c r="O187" s="114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3"/>
      <c r="O188" s="114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3"/>
      <c r="O189" s="114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3"/>
      <c r="O190" s="114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3"/>
      <c r="O191" s="114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3"/>
      <c r="O192" s="114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3"/>
      <c r="O193" s="114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3"/>
      <c r="O194" s="114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3"/>
      <c r="O195" s="114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3"/>
      <c r="O196" s="114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3"/>
      <c r="O197" s="114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3"/>
      <c r="O198" s="114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3"/>
      <c r="O199" s="114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3"/>
      <c r="O200" s="114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3"/>
      <c r="O201" s="115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N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6" t="s">
        <v>33</v>
      </c>
      <c r="B1" s="116"/>
      <c r="C1" s="116"/>
      <c r="D1" s="116"/>
      <c r="F1" s="1" t="s">
        <v>34</v>
      </c>
      <c r="G1" s="1" t="s">
        <v>75</v>
      </c>
      <c r="H1" s="1" t="str">
        <f>Subgroup_effect_size_measure</f>
        <v>Odds Ratio</v>
      </c>
      <c r="I1" s="1" t="s">
        <v>35</v>
      </c>
      <c r="J1" s="1" t="s">
        <v>36</v>
      </c>
      <c r="K1" s="1" t="s">
        <v>37</v>
      </c>
      <c r="L1" s="1" t="s">
        <v>67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59</v>
      </c>
      <c r="R1" s="1" t="s">
        <v>60</v>
      </c>
      <c r="S1" s="86"/>
      <c r="U1" s="85"/>
      <c r="W1" s="85"/>
      <c r="Y1" s="85"/>
      <c r="AA1" s="85"/>
    </row>
    <row r="2" spans="1:27" x14ac:dyDescent="0.3">
      <c r="A2" s="3" t="s">
        <v>80</v>
      </c>
      <c r="B2" s="121" t="s">
        <v>81</v>
      </c>
      <c r="C2" s="121"/>
      <c r="D2" s="121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27" t="s">
        <v>82</v>
      </c>
      <c r="U2" s="114" t="s">
        <v>83</v>
      </c>
      <c r="W2" s="114" t="s">
        <v>84</v>
      </c>
      <c r="Y2" s="114" t="s">
        <v>85</v>
      </c>
      <c r="AA2" s="114" t="s">
        <v>86</v>
      </c>
    </row>
    <row r="3" spans="1:27" x14ac:dyDescent="0.3">
      <c r="A3" s="3" t="s">
        <v>87</v>
      </c>
      <c r="B3" s="122" t="s">
        <v>50</v>
      </c>
      <c r="C3" s="122"/>
      <c r="D3" s="122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7"/>
      <c r="U3" s="114"/>
      <c r="W3" s="114"/>
      <c r="Y3" s="114"/>
      <c r="AA3" s="114"/>
    </row>
    <row r="4" spans="1:27" ht="11.25" customHeight="1" x14ac:dyDescent="0.3">
      <c r="A4" s="3" t="s">
        <v>53</v>
      </c>
      <c r="B4" s="123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3"/>
      <c r="D4" s="123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7"/>
      <c r="U4" s="114"/>
      <c r="W4" s="114"/>
      <c r="Y4" s="114"/>
      <c r="AA4" s="114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7"/>
      <c r="U5" s="114"/>
      <c r="W5" s="114"/>
      <c r="Y5" s="114"/>
      <c r="AA5" s="114"/>
    </row>
    <row r="6" spans="1:27" x14ac:dyDescent="0.3">
      <c r="A6" s="3" t="s">
        <v>88</v>
      </c>
      <c r="B6" s="122" t="s">
        <v>89</v>
      </c>
      <c r="C6" s="122"/>
      <c r="D6" s="122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7"/>
      <c r="U6" s="114"/>
      <c r="W6" s="114"/>
      <c r="Y6" s="114"/>
      <c r="AA6" s="114"/>
    </row>
    <row r="7" spans="1:27" x14ac:dyDescent="0.3">
      <c r="A7" s="3" t="s">
        <v>90</v>
      </c>
      <c r="B7" s="122" t="s">
        <v>91</v>
      </c>
      <c r="C7" s="122"/>
      <c r="D7" s="122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7"/>
      <c r="U7" s="114"/>
      <c r="W7" s="114"/>
      <c r="Y7" s="114"/>
      <c r="AA7" s="114"/>
    </row>
    <row r="8" spans="1:27" x14ac:dyDescent="0.3">
      <c r="A8" s="3" t="s">
        <v>43</v>
      </c>
      <c r="B8" s="124">
        <v>0.95</v>
      </c>
      <c r="C8" s="124"/>
      <c r="D8" s="124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7"/>
      <c r="U8" s="114"/>
      <c r="W8" s="114"/>
      <c r="Y8" s="114"/>
      <c r="AA8" s="114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7"/>
      <c r="U9" s="114"/>
      <c r="W9" s="114"/>
      <c r="Y9" s="114"/>
      <c r="AA9" s="114"/>
    </row>
    <row r="10" spans="1:27" x14ac:dyDescent="0.3">
      <c r="A10" s="116" t="s">
        <v>58</v>
      </c>
      <c r="B10" s="116"/>
      <c r="C10" s="116"/>
      <c r="D10" s="116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7"/>
      <c r="U10" s="114"/>
      <c r="W10" s="114"/>
      <c r="Y10" s="114"/>
      <c r="AA10" s="114"/>
    </row>
    <row r="11" spans="1:27" x14ac:dyDescent="0.3">
      <c r="A11" s="3" t="str">
        <f>Subgroup_effect_size_measure</f>
        <v>Odds Ratio</v>
      </c>
      <c r="B11" s="125" t="e">
        <f>Calculations!EY9</f>
        <v>#DIV/0!</v>
      </c>
      <c r="C11" s="125"/>
      <c r="D11" s="125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7"/>
      <c r="U11" s="114"/>
      <c r="W11" s="114"/>
      <c r="Y11" s="114"/>
      <c r="AA11" s="114"/>
    </row>
    <row r="12" spans="1:27" x14ac:dyDescent="0.3">
      <c r="A12" s="3" t="s">
        <v>35</v>
      </c>
      <c r="B12" s="126" t="e">
        <f>Calculations!EY11</f>
        <v>#DIV/0!</v>
      </c>
      <c r="C12" s="126"/>
      <c r="D12" s="126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7"/>
      <c r="U12" s="114"/>
      <c r="W12" s="114"/>
      <c r="Y12" s="114"/>
      <c r="AA12" s="114"/>
    </row>
    <row r="13" spans="1:27" x14ac:dyDescent="0.3">
      <c r="A13" s="3" t="s">
        <v>36</v>
      </c>
      <c r="B13" s="126" t="e">
        <f>Calculations!EY12</f>
        <v>#DIV/0!</v>
      </c>
      <c r="C13" s="126"/>
      <c r="D13" s="126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7"/>
      <c r="U13" s="114"/>
      <c r="W13" s="114"/>
      <c r="Y13" s="114"/>
      <c r="AA13" s="114"/>
    </row>
    <row r="14" spans="1:27" x14ac:dyDescent="0.3">
      <c r="A14" s="3" t="s">
        <v>59</v>
      </c>
      <c r="B14" s="126" t="e">
        <f>Calculations!EY13</f>
        <v>#DIV/0!</v>
      </c>
      <c r="C14" s="126"/>
      <c r="D14" s="126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7"/>
      <c r="U14" s="114"/>
      <c r="W14" s="114"/>
      <c r="Y14" s="114"/>
      <c r="AA14" s="114"/>
    </row>
    <row r="15" spans="1:27" x14ac:dyDescent="0.3">
      <c r="A15" s="3" t="s">
        <v>60</v>
      </c>
      <c r="B15" s="126" t="e">
        <f>Calculations!EY14</f>
        <v>#DIV/0!</v>
      </c>
      <c r="C15" s="126"/>
      <c r="D15" s="126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7"/>
      <c r="U15" s="114"/>
      <c r="W15" s="114"/>
      <c r="Y15" s="114"/>
      <c r="AA15" s="114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7"/>
      <c r="U16" s="114"/>
      <c r="W16" s="114"/>
      <c r="Y16" s="114"/>
      <c r="AA16" s="114"/>
    </row>
    <row r="17" spans="1:27" x14ac:dyDescent="0.3">
      <c r="A17" s="3" t="s">
        <v>64</v>
      </c>
      <c r="B17" s="120">
        <f>SUMIF(Sufficient_data,"Yes",Number_of_subjects)</f>
        <v>66846</v>
      </c>
      <c r="C17" s="120"/>
      <c r="D17" s="120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7"/>
      <c r="U17" s="114"/>
      <c r="W17" s="114"/>
      <c r="Y17" s="114"/>
      <c r="AA17" s="114"/>
    </row>
    <row r="18" spans="1:27" x14ac:dyDescent="0.3">
      <c r="A18" s="3" t="s">
        <v>65</v>
      </c>
      <c r="B18" s="120">
        <f>COUNT(Subgroup_weightf)</f>
        <v>0</v>
      </c>
      <c r="C18" s="120"/>
      <c r="D18" s="120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7"/>
      <c r="U18" s="114"/>
      <c r="W18" s="114"/>
      <c r="Y18" s="114"/>
      <c r="AA18" s="114"/>
    </row>
    <row r="19" spans="1:27" x14ac:dyDescent="0.3">
      <c r="A19" s="3" t="s">
        <v>92</v>
      </c>
      <c r="B19" s="120">
        <f>COUNT(Calculations!DZ:DZ)</f>
        <v>0</v>
      </c>
      <c r="C19" s="120"/>
      <c r="D19" s="120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7"/>
      <c r="U19" s="114"/>
      <c r="W19" s="114"/>
      <c r="Y19" s="114"/>
      <c r="AA19" s="114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7"/>
      <c r="U20" s="114"/>
      <c r="W20" s="114"/>
      <c r="Y20" s="114"/>
      <c r="AA20" s="114"/>
    </row>
    <row r="21" spans="1:27" x14ac:dyDescent="0.3">
      <c r="A21" s="1" t="s">
        <v>93</v>
      </c>
      <c r="B21" s="1" t="str">
        <f>IF(Within_subgroup_weighting=Calculations!EX42,"Sum of squares (Q)","Sum of squares (Q*)")</f>
        <v>Sum of squares (Q*)</v>
      </c>
      <c r="C21" s="1" t="s">
        <v>94</v>
      </c>
      <c r="D21" s="1" t="s">
        <v>95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7"/>
      <c r="U21" s="114"/>
      <c r="W21" s="114"/>
      <c r="Y21" s="114"/>
      <c r="AA21" s="114"/>
    </row>
    <row r="22" spans="1:27" x14ac:dyDescent="0.3">
      <c r="A22" s="3" t="s">
        <v>96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7"/>
      <c r="U22" s="114"/>
      <c r="W22" s="114"/>
      <c r="Y22" s="114"/>
      <c r="AA22" s="114"/>
    </row>
    <row r="23" spans="1:27" x14ac:dyDescent="0.3">
      <c r="A23" s="3" t="s">
        <v>97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7"/>
      <c r="U23" s="114"/>
      <c r="W23" s="114"/>
      <c r="Y23" s="114"/>
      <c r="AA23" s="114"/>
    </row>
    <row r="24" spans="1:27" x14ac:dyDescent="0.3">
      <c r="A24" s="3" t="s">
        <v>16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7"/>
      <c r="U24" s="114"/>
      <c r="W24" s="114"/>
      <c r="Y24" s="114"/>
      <c r="AA24" s="114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7"/>
      <c r="U25" s="114"/>
      <c r="W25" s="114"/>
      <c r="Y25" s="114"/>
      <c r="AA25" s="114"/>
    </row>
    <row r="26" spans="1:27" ht="13.5" x14ac:dyDescent="0.3">
      <c r="A26" s="3" t="s">
        <v>98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7"/>
      <c r="U26" s="114"/>
      <c r="W26" s="114"/>
      <c r="Y26" s="114"/>
      <c r="AA26" s="114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7"/>
      <c r="U27" s="114"/>
      <c r="W27" s="114"/>
      <c r="Y27" s="114"/>
      <c r="AA27" s="114"/>
    </row>
    <row r="28" spans="1:27" x14ac:dyDescent="0.3">
      <c r="A28" s="116" t="s">
        <v>70</v>
      </c>
      <c r="B28" s="116"/>
      <c r="C28" s="116"/>
      <c r="D28" s="116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7"/>
      <c r="U28" s="114"/>
      <c r="W28" s="114"/>
      <c r="Y28" s="114"/>
      <c r="AA28" s="114"/>
    </row>
    <row r="29" spans="1:27" x14ac:dyDescent="0.3">
      <c r="A29" s="118" t="s">
        <v>81</v>
      </c>
      <c r="B29" s="118"/>
      <c r="C29" s="118"/>
      <c r="D29" s="118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7"/>
      <c r="U29" s="114"/>
      <c r="W29" s="114"/>
      <c r="Y29" s="114"/>
      <c r="AA29" s="114"/>
    </row>
    <row r="30" spans="1:27" x14ac:dyDescent="0.3">
      <c r="A30" s="119" t="s">
        <v>71</v>
      </c>
      <c r="B30" s="119"/>
      <c r="C30" s="119"/>
      <c r="D30" s="119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7"/>
      <c r="U30" s="114"/>
      <c r="W30" s="114"/>
      <c r="Y30" s="114"/>
      <c r="AA30" s="114"/>
    </row>
    <row r="31" spans="1:27" x14ac:dyDescent="0.3">
      <c r="A31" s="119" t="s">
        <v>72</v>
      </c>
      <c r="B31" s="119"/>
      <c r="C31" s="119"/>
      <c r="D31" s="119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7"/>
      <c r="U31" s="114"/>
      <c r="W31" s="114"/>
      <c r="Y31" s="114"/>
      <c r="AA31" s="114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7"/>
      <c r="U32" s="114"/>
      <c r="W32" s="114"/>
      <c r="Y32" s="114"/>
      <c r="AA32" s="114"/>
    </row>
    <row r="33" spans="1:27" x14ac:dyDescent="0.3">
      <c r="A33" s="116" t="s">
        <v>99</v>
      </c>
      <c r="B33" s="116"/>
      <c r="C33" s="116"/>
      <c r="D33" s="116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7"/>
      <c r="U33" s="114"/>
      <c r="W33" s="114"/>
      <c r="Y33" s="114"/>
      <c r="AA33" s="114"/>
    </row>
    <row r="34" spans="1:27" x14ac:dyDescent="0.3">
      <c r="A34" s="118" t="str">
        <f>IF(Subgroup_weighting_method="Peto","Peto Odds Ratio","Odds Ratio")</f>
        <v>Odds Ratio</v>
      </c>
      <c r="B34" s="118"/>
      <c r="C34" s="118"/>
      <c r="D34" s="118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7"/>
      <c r="U34" s="114"/>
      <c r="W34" s="114"/>
      <c r="Y34" s="114"/>
      <c r="AA34" s="114"/>
    </row>
    <row r="35" spans="1:27" x14ac:dyDescent="0.3">
      <c r="A35" s="119" t="str">
        <f>IF(Subgroup_weighting_method="Inverse variance","Risk Ratio","")</f>
        <v>Risk Ratio</v>
      </c>
      <c r="B35" s="119"/>
      <c r="C35" s="119"/>
      <c r="D35" s="119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7"/>
      <c r="U35" s="114"/>
      <c r="W35" s="114"/>
      <c r="Y35" s="114"/>
      <c r="AA35" s="114"/>
    </row>
    <row r="36" spans="1:27" x14ac:dyDescent="0.3">
      <c r="A36" s="119" t="str">
        <f>IF(Subgroup_weighting_method="Inverse Variance","Risk Difference","")</f>
        <v>Risk Difference</v>
      </c>
      <c r="B36" s="119"/>
      <c r="C36" s="119"/>
      <c r="D36" s="119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7"/>
      <c r="U36" s="114"/>
      <c r="W36" s="114"/>
      <c r="Y36" s="114"/>
      <c r="AA36" s="114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7"/>
      <c r="U37" s="114"/>
      <c r="W37" s="114"/>
      <c r="Y37" s="114"/>
      <c r="AA37" s="114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7"/>
      <c r="U38" s="114"/>
      <c r="W38" s="114"/>
      <c r="Y38" s="114"/>
      <c r="AA38" s="114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7"/>
      <c r="U39" s="114"/>
      <c r="W39" s="114"/>
      <c r="Y39" s="114"/>
      <c r="AA39" s="114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7"/>
      <c r="U40" s="114"/>
      <c r="W40" s="114"/>
      <c r="Y40" s="114"/>
      <c r="AA40" s="114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7"/>
      <c r="U41" s="114"/>
      <c r="W41" s="114"/>
      <c r="Y41" s="114"/>
      <c r="AA41" s="114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7"/>
      <c r="U42" s="114"/>
      <c r="W42" s="114"/>
      <c r="Y42" s="114"/>
      <c r="AA42" s="114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7"/>
      <c r="U43" s="114"/>
      <c r="W43" s="114"/>
      <c r="Y43" s="114"/>
      <c r="AA43" s="114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7"/>
      <c r="U44" s="114"/>
      <c r="W44" s="114"/>
      <c r="Y44" s="114"/>
      <c r="AA44" s="114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7"/>
      <c r="U45" s="114"/>
      <c r="W45" s="114"/>
      <c r="Y45" s="114"/>
      <c r="AA45" s="114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7"/>
      <c r="U46" s="114"/>
      <c r="W46" s="114"/>
      <c r="Y46" s="114"/>
      <c r="AA46" s="114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7"/>
      <c r="U47" s="114"/>
      <c r="W47" s="114"/>
      <c r="Y47" s="114"/>
      <c r="AA47" s="114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7"/>
      <c r="U48" s="114"/>
      <c r="W48" s="114"/>
      <c r="Y48" s="114"/>
      <c r="AA48" s="114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7"/>
      <c r="U49" s="114"/>
      <c r="W49" s="114"/>
      <c r="Y49" s="114"/>
      <c r="AA49" s="114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7"/>
      <c r="U50" s="114"/>
      <c r="W50" s="114"/>
      <c r="Y50" s="114"/>
      <c r="AA50" s="114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7"/>
      <c r="U51" s="114"/>
      <c r="W51" s="114"/>
      <c r="Y51" s="114"/>
      <c r="AA51" s="114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7"/>
      <c r="U52" s="114"/>
      <c r="W52" s="114"/>
      <c r="Y52" s="114"/>
      <c r="AA52" s="114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7"/>
      <c r="U53" s="114"/>
      <c r="W53" s="114"/>
      <c r="Y53" s="114"/>
      <c r="AA53" s="114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7"/>
      <c r="U54" s="114"/>
      <c r="W54" s="114"/>
      <c r="Y54" s="114"/>
      <c r="AA54" s="114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7"/>
      <c r="U55" s="114"/>
      <c r="W55" s="114"/>
      <c r="Y55" s="114"/>
      <c r="AA55" s="114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7"/>
      <c r="U56" s="114"/>
      <c r="W56" s="114"/>
      <c r="Y56" s="114"/>
      <c r="AA56" s="114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7"/>
      <c r="U57" s="114"/>
      <c r="W57" s="114"/>
      <c r="Y57" s="114"/>
      <c r="AA57" s="114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7"/>
      <c r="U58" s="114"/>
      <c r="W58" s="114"/>
      <c r="Y58" s="114"/>
      <c r="AA58" s="114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7"/>
      <c r="U59" s="114"/>
      <c r="W59" s="114"/>
      <c r="Y59" s="114"/>
      <c r="AA59" s="114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7"/>
      <c r="U60" s="114"/>
      <c r="W60" s="114"/>
      <c r="Y60" s="114"/>
      <c r="AA60" s="114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7"/>
      <c r="U61" s="114"/>
      <c r="W61" s="114"/>
      <c r="Y61" s="114"/>
      <c r="AA61" s="114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7"/>
      <c r="U62" s="114"/>
      <c r="W62" s="114"/>
      <c r="Y62" s="114"/>
      <c r="AA62" s="114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7"/>
      <c r="U63" s="114"/>
      <c r="W63" s="114"/>
      <c r="Y63" s="114"/>
      <c r="AA63" s="114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7"/>
      <c r="U64" s="114"/>
      <c r="W64" s="114"/>
      <c r="Y64" s="114"/>
      <c r="AA64" s="114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7"/>
      <c r="U65" s="114"/>
      <c r="W65" s="114"/>
      <c r="Y65" s="114"/>
      <c r="AA65" s="114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7"/>
      <c r="U66" s="114"/>
      <c r="W66" s="114"/>
      <c r="Y66" s="114"/>
      <c r="AA66" s="114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7"/>
      <c r="U67" s="114"/>
      <c r="W67" s="114"/>
      <c r="Y67" s="114"/>
      <c r="AA67" s="114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7"/>
      <c r="U68" s="114"/>
      <c r="W68" s="114"/>
      <c r="Y68" s="114"/>
      <c r="AA68" s="114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7"/>
      <c r="U69" s="114"/>
      <c r="W69" s="114"/>
      <c r="Y69" s="114"/>
      <c r="AA69" s="114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7"/>
      <c r="U70" s="114"/>
      <c r="W70" s="114"/>
      <c r="Y70" s="114"/>
      <c r="AA70" s="114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7"/>
      <c r="U71" s="114"/>
      <c r="W71" s="114"/>
      <c r="Y71" s="114"/>
      <c r="AA71" s="114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7"/>
      <c r="U72" s="114"/>
      <c r="W72" s="114"/>
      <c r="Y72" s="114"/>
      <c r="AA72" s="114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7"/>
      <c r="U73" s="114"/>
      <c r="W73" s="114"/>
      <c r="Y73" s="114"/>
      <c r="AA73" s="114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7"/>
      <c r="U74" s="114"/>
      <c r="W74" s="114"/>
      <c r="Y74" s="114"/>
      <c r="AA74" s="114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7"/>
      <c r="U75" s="114"/>
      <c r="W75" s="114"/>
      <c r="Y75" s="114"/>
      <c r="AA75" s="114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7"/>
      <c r="U76" s="114"/>
      <c r="W76" s="114"/>
      <c r="Y76" s="114"/>
      <c r="AA76" s="114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7"/>
      <c r="U77" s="114"/>
      <c r="W77" s="114"/>
      <c r="Y77" s="114"/>
      <c r="AA77" s="114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7"/>
      <c r="U78" s="114"/>
      <c r="W78" s="114"/>
      <c r="Y78" s="114"/>
      <c r="AA78" s="114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7"/>
      <c r="U79" s="114"/>
      <c r="W79" s="114"/>
      <c r="Y79" s="114"/>
      <c r="AA79" s="114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7"/>
      <c r="U80" s="114"/>
      <c r="W80" s="114"/>
      <c r="Y80" s="114"/>
      <c r="AA80" s="114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7"/>
      <c r="U81" s="114"/>
      <c r="W81" s="114"/>
      <c r="Y81" s="114"/>
      <c r="AA81" s="114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7"/>
      <c r="U82" s="114"/>
      <c r="W82" s="114"/>
      <c r="Y82" s="114"/>
      <c r="AA82" s="114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7"/>
      <c r="U83" s="114"/>
      <c r="W83" s="114"/>
      <c r="Y83" s="114"/>
      <c r="AA83" s="114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7"/>
      <c r="U84" s="114"/>
      <c r="W84" s="114"/>
      <c r="Y84" s="114"/>
      <c r="AA84" s="114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7"/>
      <c r="U85" s="114"/>
      <c r="W85" s="114"/>
      <c r="Y85" s="114"/>
      <c r="AA85" s="114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7"/>
      <c r="U86" s="114"/>
      <c r="W86" s="114"/>
      <c r="Y86" s="114"/>
      <c r="AA86" s="114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7"/>
      <c r="U87" s="114"/>
      <c r="W87" s="114"/>
      <c r="Y87" s="114"/>
      <c r="AA87" s="114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7"/>
      <c r="U88" s="114"/>
      <c r="W88" s="114"/>
      <c r="Y88" s="114"/>
      <c r="AA88" s="114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7"/>
      <c r="U89" s="114"/>
      <c r="W89" s="114"/>
      <c r="Y89" s="114"/>
      <c r="AA89" s="114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7"/>
      <c r="U90" s="114"/>
      <c r="W90" s="114"/>
      <c r="Y90" s="114"/>
      <c r="AA90" s="114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7"/>
      <c r="U91" s="114"/>
      <c r="W91" s="114"/>
      <c r="Y91" s="114"/>
      <c r="AA91" s="114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7"/>
      <c r="U92" s="114"/>
      <c r="W92" s="114"/>
      <c r="Y92" s="114"/>
      <c r="AA92" s="114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7"/>
      <c r="U93" s="114"/>
      <c r="W93" s="114"/>
      <c r="Y93" s="114"/>
      <c r="AA93" s="114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7"/>
      <c r="U94" s="114"/>
      <c r="W94" s="114"/>
      <c r="Y94" s="114"/>
      <c r="AA94" s="114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7"/>
      <c r="U95" s="114"/>
      <c r="W95" s="114"/>
      <c r="Y95" s="114"/>
      <c r="AA95" s="114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7"/>
      <c r="U96" s="114"/>
      <c r="W96" s="114"/>
      <c r="Y96" s="114"/>
      <c r="AA96" s="114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7"/>
      <c r="U97" s="114"/>
      <c r="W97" s="114"/>
      <c r="Y97" s="114"/>
      <c r="AA97" s="114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7"/>
      <c r="U98" s="114"/>
      <c r="W98" s="114"/>
      <c r="Y98" s="114"/>
      <c r="AA98" s="114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7"/>
      <c r="U99" s="114"/>
      <c r="W99" s="114"/>
      <c r="Y99" s="114"/>
      <c r="AA99" s="114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7"/>
      <c r="U100" s="114"/>
      <c r="W100" s="114"/>
      <c r="Y100" s="114"/>
      <c r="AA100" s="114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7"/>
      <c r="U101" s="114"/>
      <c r="W101" s="114"/>
      <c r="Y101" s="114"/>
      <c r="AA101" s="114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7"/>
      <c r="U102" s="114"/>
      <c r="W102" s="114"/>
      <c r="Y102" s="114"/>
      <c r="AA102" s="114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7"/>
      <c r="U103" s="114"/>
      <c r="W103" s="114"/>
      <c r="Y103" s="114"/>
      <c r="AA103" s="114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7"/>
      <c r="U104" s="114"/>
      <c r="W104" s="114"/>
      <c r="Y104" s="114"/>
      <c r="AA104" s="114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7"/>
      <c r="U105" s="114"/>
      <c r="W105" s="114"/>
      <c r="Y105" s="114"/>
      <c r="AA105" s="114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7"/>
      <c r="U106" s="114"/>
      <c r="W106" s="114"/>
      <c r="Y106" s="114"/>
      <c r="AA106" s="114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7"/>
      <c r="U107" s="114"/>
      <c r="W107" s="114"/>
      <c r="Y107" s="114"/>
      <c r="AA107" s="114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7"/>
      <c r="U108" s="114"/>
      <c r="W108" s="114"/>
      <c r="Y108" s="114"/>
      <c r="AA108" s="114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7"/>
      <c r="U109" s="114"/>
      <c r="W109" s="114"/>
      <c r="Y109" s="114"/>
      <c r="AA109" s="114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7"/>
      <c r="U110" s="114"/>
      <c r="W110" s="114"/>
      <c r="Y110" s="114"/>
      <c r="AA110" s="114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7"/>
      <c r="U111" s="114"/>
      <c r="W111" s="114"/>
      <c r="Y111" s="114"/>
      <c r="AA111" s="114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7"/>
      <c r="U112" s="114"/>
      <c r="W112" s="114"/>
      <c r="Y112" s="114"/>
      <c r="AA112" s="114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7"/>
      <c r="U113" s="114"/>
      <c r="W113" s="114"/>
      <c r="Y113" s="114"/>
      <c r="AA113" s="114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7"/>
      <c r="U114" s="114"/>
      <c r="W114" s="114"/>
      <c r="Y114" s="114"/>
      <c r="AA114" s="114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7"/>
      <c r="U115" s="114"/>
      <c r="W115" s="114"/>
      <c r="Y115" s="114"/>
      <c r="AA115" s="114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7"/>
      <c r="U116" s="114"/>
      <c r="W116" s="114"/>
      <c r="Y116" s="114"/>
      <c r="AA116" s="114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7"/>
      <c r="U117" s="114"/>
      <c r="W117" s="114"/>
      <c r="Y117" s="114"/>
      <c r="AA117" s="114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7"/>
      <c r="U118" s="114"/>
      <c r="W118" s="114"/>
      <c r="Y118" s="114"/>
      <c r="AA118" s="114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7"/>
      <c r="U119" s="114"/>
      <c r="W119" s="114"/>
      <c r="Y119" s="114"/>
      <c r="AA119" s="114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7"/>
      <c r="U120" s="114"/>
      <c r="W120" s="114"/>
      <c r="Y120" s="114"/>
      <c r="AA120" s="114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7"/>
      <c r="U121" s="114"/>
      <c r="W121" s="114"/>
      <c r="Y121" s="114"/>
      <c r="AA121" s="114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7"/>
      <c r="U122" s="114"/>
      <c r="W122" s="114"/>
      <c r="Y122" s="114"/>
      <c r="AA122" s="114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7"/>
      <c r="U123" s="114"/>
      <c r="W123" s="114"/>
      <c r="Y123" s="114"/>
      <c r="AA123" s="114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7"/>
      <c r="U124" s="114"/>
      <c r="W124" s="114"/>
      <c r="Y124" s="114"/>
      <c r="AA124" s="114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7"/>
      <c r="U125" s="114"/>
      <c r="W125" s="114"/>
      <c r="Y125" s="114"/>
      <c r="AA125" s="114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7"/>
      <c r="U126" s="114"/>
      <c r="W126" s="114"/>
      <c r="Y126" s="114"/>
      <c r="AA126" s="114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7"/>
      <c r="U127" s="114"/>
      <c r="W127" s="114"/>
      <c r="Y127" s="114"/>
      <c r="AA127" s="114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7"/>
      <c r="U128" s="114"/>
      <c r="W128" s="114"/>
      <c r="Y128" s="114"/>
      <c r="AA128" s="114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7"/>
      <c r="U129" s="114"/>
      <c r="W129" s="114"/>
      <c r="Y129" s="114"/>
      <c r="AA129" s="114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7"/>
      <c r="U130" s="114"/>
      <c r="W130" s="114"/>
      <c r="Y130" s="114"/>
      <c r="AA130" s="114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7"/>
      <c r="U131" s="114"/>
      <c r="W131" s="114"/>
      <c r="Y131" s="114"/>
      <c r="AA131" s="114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7"/>
      <c r="U132" s="114"/>
      <c r="W132" s="114"/>
      <c r="Y132" s="114"/>
      <c r="AA132" s="114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7"/>
      <c r="U133" s="114"/>
      <c r="W133" s="114"/>
      <c r="Y133" s="114"/>
      <c r="AA133" s="114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7"/>
      <c r="U134" s="114"/>
      <c r="W134" s="114"/>
      <c r="Y134" s="114"/>
      <c r="AA134" s="114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7"/>
      <c r="U135" s="114"/>
      <c r="W135" s="114"/>
      <c r="Y135" s="114"/>
      <c r="AA135" s="114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7"/>
      <c r="U136" s="114"/>
      <c r="W136" s="114"/>
      <c r="Y136" s="114"/>
      <c r="AA136" s="114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7"/>
      <c r="U137" s="114"/>
      <c r="W137" s="114"/>
      <c r="Y137" s="114"/>
      <c r="AA137" s="114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7"/>
      <c r="U138" s="114"/>
      <c r="W138" s="114"/>
      <c r="Y138" s="114"/>
      <c r="AA138" s="114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7"/>
      <c r="U139" s="114"/>
      <c r="W139" s="114"/>
      <c r="Y139" s="114"/>
      <c r="AA139" s="114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7"/>
      <c r="U140" s="114"/>
      <c r="W140" s="114"/>
      <c r="Y140" s="114"/>
      <c r="AA140" s="114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7"/>
      <c r="U141" s="114"/>
      <c r="W141" s="114"/>
      <c r="Y141" s="114"/>
      <c r="AA141" s="114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7"/>
      <c r="U142" s="114"/>
      <c r="W142" s="114"/>
      <c r="Y142" s="114"/>
      <c r="AA142" s="114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7"/>
      <c r="U143" s="114"/>
      <c r="W143" s="114"/>
      <c r="Y143" s="114"/>
      <c r="AA143" s="114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7"/>
      <c r="U144" s="114"/>
      <c r="W144" s="114"/>
      <c r="Y144" s="114"/>
      <c r="AA144" s="114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7"/>
      <c r="U145" s="114"/>
      <c r="W145" s="114"/>
      <c r="Y145" s="114"/>
      <c r="AA145" s="114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7"/>
      <c r="U146" s="114"/>
      <c r="W146" s="114"/>
      <c r="Y146" s="114"/>
      <c r="AA146" s="114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7"/>
      <c r="U147" s="114"/>
      <c r="W147" s="114"/>
      <c r="Y147" s="114"/>
      <c r="AA147" s="114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7"/>
      <c r="U148" s="114"/>
      <c r="W148" s="114"/>
      <c r="Y148" s="114"/>
      <c r="AA148" s="114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7"/>
      <c r="U149" s="114"/>
      <c r="W149" s="114"/>
      <c r="Y149" s="114"/>
      <c r="AA149" s="114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7"/>
      <c r="U150" s="114"/>
      <c r="W150" s="114"/>
      <c r="Y150" s="114"/>
      <c r="AA150" s="114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7"/>
      <c r="U151" s="114"/>
      <c r="W151" s="114"/>
      <c r="Y151" s="114"/>
      <c r="AA151" s="114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7"/>
      <c r="U152" s="114"/>
      <c r="W152" s="114"/>
      <c r="Y152" s="114"/>
      <c r="AA152" s="114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7"/>
      <c r="U153" s="114"/>
      <c r="W153" s="114"/>
      <c r="Y153" s="114"/>
      <c r="AA153" s="114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7"/>
      <c r="U154" s="114"/>
      <c r="W154" s="114"/>
      <c r="Y154" s="114"/>
      <c r="AA154" s="114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7"/>
      <c r="U155" s="114"/>
      <c r="W155" s="114"/>
      <c r="Y155" s="114"/>
      <c r="AA155" s="114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7"/>
      <c r="U156" s="114"/>
      <c r="W156" s="114"/>
      <c r="Y156" s="114"/>
      <c r="AA156" s="114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7"/>
      <c r="U157" s="114"/>
      <c r="W157" s="114"/>
      <c r="Y157" s="114"/>
      <c r="AA157" s="114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7"/>
      <c r="U158" s="114"/>
      <c r="W158" s="114"/>
      <c r="Y158" s="114"/>
      <c r="AA158" s="114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7"/>
      <c r="U159" s="114"/>
      <c r="W159" s="114"/>
      <c r="Y159" s="114"/>
      <c r="AA159" s="114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7"/>
      <c r="U160" s="114"/>
      <c r="W160" s="114"/>
      <c r="Y160" s="114"/>
      <c r="AA160" s="114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7"/>
      <c r="U161" s="114"/>
      <c r="W161" s="114"/>
      <c r="Y161" s="114"/>
      <c r="AA161" s="114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7"/>
      <c r="U162" s="114"/>
      <c r="W162" s="114"/>
      <c r="Y162" s="114"/>
      <c r="AA162" s="114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7"/>
      <c r="U163" s="114"/>
      <c r="W163" s="114"/>
      <c r="Y163" s="114"/>
      <c r="AA163" s="114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7"/>
      <c r="U164" s="114"/>
      <c r="W164" s="114"/>
      <c r="Y164" s="114"/>
      <c r="AA164" s="114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7"/>
      <c r="U165" s="114"/>
      <c r="W165" s="114"/>
      <c r="Y165" s="114"/>
      <c r="AA165" s="114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7"/>
      <c r="U166" s="114"/>
      <c r="W166" s="114"/>
      <c r="Y166" s="114"/>
      <c r="AA166" s="114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7"/>
      <c r="U167" s="114"/>
      <c r="W167" s="114"/>
      <c r="Y167" s="114"/>
      <c r="AA167" s="114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7"/>
      <c r="U168" s="114"/>
      <c r="W168" s="114"/>
      <c r="Y168" s="114"/>
      <c r="AA168" s="114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7"/>
      <c r="U169" s="114"/>
      <c r="W169" s="114"/>
      <c r="Y169" s="114"/>
      <c r="AA169" s="114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7"/>
      <c r="U170" s="114"/>
      <c r="W170" s="114"/>
      <c r="Y170" s="114"/>
      <c r="AA170" s="114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7"/>
      <c r="U171" s="114"/>
      <c r="W171" s="114"/>
      <c r="Y171" s="114"/>
      <c r="AA171" s="114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7"/>
      <c r="U172" s="114"/>
      <c r="W172" s="114"/>
      <c r="Y172" s="114"/>
      <c r="AA172" s="114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7"/>
      <c r="U173" s="114"/>
      <c r="W173" s="114"/>
      <c r="Y173" s="114"/>
      <c r="AA173" s="114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7"/>
      <c r="U174" s="114"/>
      <c r="W174" s="114"/>
      <c r="Y174" s="114"/>
      <c r="AA174" s="114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7"/>
      <c r="U175" s="114"/>
      <c r="W175" s="114"/>
      <c r="Y175" s="114"/>
      <c r="AA175" s="114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7"/>
      <c r="U176" s="114"/>
      <c r="W176" s="114"/>
      <c r="Y176" s="114"/>
      <c r="AA176" s="114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7"/>
      <c r="U177" s="114"/>
      <c r="W177" s="114"/>
      <c r="Y177" s="114"/>
      <c r="AA177" s="114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7"/>
      <c r="U178" s="114"/>
      <c r="W178" s="114"/>
      <c r="Y178" s="114"/>
      <c r="AA178" s="114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7"/>
      <c r="U179" s="114"/>
      <c r="W179" s="114"/>
      <c r="Y179" s="114"/>
      <c r="AA179" s="114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7"/>
      <c r="U180" s="114"/>
      <c r="W180" s="114"/>
      <c r="Y180" s="114"/>
      <c r="AA180" s="114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7"/>
      <c r="U181" s="114"/>
      <c r="W181" s="114"/>
      <c r="Y181" s="114"/>
      <c r="AA181" s="114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7"/>
      <c r="U182" s="114"/>
      <c r="W182" s="114"/>
      <c r="Y182" s="114"/>
      <c r="AA182" s="114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7"/>
      <c r="U183" s="114"/>
      <c r="W183" s="114"/>
      <c r="Y183" s="114"/>
      <c r="AA183" s="114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7"/>
      <c r="U184" s="114"/>
      <c r="W184" s="114"/>
      <c r="Y184" s="114"/>
      <c r="AA184" s="114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7"/>
      <c r="U185" s="114"/>
      <c r="W185" s="114"/>
      <c r="Y185" s="114"/>
      <c r="AA185" s="114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7"/>
      <c r="U186" s="114"/>
      <c r="W186" s="114"/>
      <c r="Y186" s="114"/>
      <c r="AA186" s="114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7"/>
      <c r="U187" s="114"/>
      <c r="W187" s="114"/>
      <c r="Y187" s="114"/>
      <c r="AA187" s="114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7"/>
      <c r="U188" s="114"/>
      <c r="W188" s="114"/>
      <c r="Y188" s="114"/>
      <c r="AA188" s="114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7"/>
      <c r="U189" s="114"/>
      <c r="W189" s="114"/>
      <c r="Y189" s="114"/>
      <c r="AA189" s="114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7"/>
      <c r="U190" s="114"/>
      <c r="W190" s="114"/>
      <c r="Y190" s="114"/>
      <c r="AA190" s="114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7"/>
      <c r="U191" s="114"/>
      <c r="W191" s="114"/>
      <c r="Y191" s="114"/>
      <c r="AA191" s="114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7"/>
      <c r="U192" s="114"/>
      <c r="W192" s="114"/>
      <c r="Y192" s="114"/>
      <c r="AA192" s="114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7"/>
      <c r="U193" s="114"/>
      <c r="W193" s="114"/>
      <c r="Y193" s="114"/>
      <c r="AA193" s="114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7"/>
      <c r="U194" s="114"/>
      <c r="W194" s="114"/>
      <c r="Y194" s="114"/>
      <c r="AA194" s="114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7"/>
      <c r="U195" s="114"/>
      <c r="W195" s="114"/>
      <c r="Y195" s="114"/>
      <c r="AA195" s="114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7"/>
      <c r="U196" s="114"/>
      <c r="W196" s="114"/>
      <c r="Y196" s="114"/>
      <c r="AA196" s="114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7"/>
      <c r="U197" s="114"/>
      <c r="W197" s="114"/>
      <c r="Y197" s="114"/>
      <c r="AA197" s="114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7"/>
      <c r="U198" s="114"/>
      <c r="W198" s="114"/>
      <c r="Y198" s="114"/>
      <c r="AA198" s="114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7"/>
      <c r="U199" s="114"/>
      <c r="W199" s="114"/>
      <c r="Y199" s="114"/>
      <c r="AA199" s="114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7"/>
      <c r="U200" s="114"/>
      <c r="W200" s="114"/>
      <c r="Y200" s="114"/>
      <c r="AA200" s="114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28"/>
      <c r="U201" s="115"/>
      <c r="W201" s="115"/>
      <c r="Y201" s="115"/>
      <c r="AA201" s="115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6" t="s">
        <v>33</v>
      </c>
      <c r="B1" s="116"/>
      <c r="D1" s="1" t="s">
        <v>1</v>
      </c>
      <c r="E1" s="1" t="s">
        <v>11</v>
      </c>
      <c r="F1" s="1" t="str">
        <f>Moderator_effect_size_measure</f>
        <v>Log Odds Ratio</v>
      </c>
      <c r="G1" s="1" t="s">
        <v>37</v>
      </c>
    </row>
    <row r="2" spans="1:7" x14ac:dyDescent="0.3">
      <c r="A2" s="3" t="s">
        <v>46</v>
      </c>
      <c r="B2" s="5" t="s">
        <v>81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87</v>
      </c>
      <c r="B3" s="5" t="s">
        <v>100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53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38</v>
      </c>
      <c r="B6" s="5" t="s">
        <v>101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43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6" t="s">
        <v>70</v>
      </c>
      <c r="B9" s="116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8" t="s">
        <v>81</v>
      </c>
      <c r="B10" s="118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9" t="s">
        <v>71</v>
      </c>
      <c r="B11" s="119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9" t="s">
        <v>72</v>
      </c>
      <c r="B12" s="119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6" t="s">
        <v>99</v>
      </c>
      <c r="B14" s="116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18" t="str">
        <f>IF(Moderator_weighting_method="Peto","Log Peto Odds Ratio","Log Odds Ratio")</f>
        <v>Log Odds Ratio</v>
      </c>
      <c r="B15" s="118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9" t="str">
        <f>IF(Moderator_weighting_method="Inverse variance","Log Risk Ratio","")</f>
        <v>Log Risk Ratio</v>
      </c>
      <c r="B16" s="119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9" t="str">
        <f>IF(Moderator_weighting_method="Inverse Variance","Risk Difference","")</f>
        <v>Risk Difference</v>
      </c>
      <c r="B17" s="119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102</v>
      </c>
      <c r="K28" s="1" t="s">
        <v>103</v>
      </c>
      <c r="L28" s="1" t="s">
        <v>104</v>
      </c>
      <c r="M28" s="1" t="s">
        <v>105</v>
      </c>
      <c r="N28" s="25" t="s">
        <v>106</v>
      </c>
      <c r="O28" s="1" t="s">
        <v>61</v>
      </c>
      <c r="P28" s="1" t="s">
        <v>107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108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93</v>
      </c>
      <c r="J32" s="1" t="str">
        <f>IF(Moderator_model="Fixed effect","Sum of squares (Q)","Sum of squares (Q*)")</f>
        <v>Sum of squares (Q)</v>
      </c>
      <c r="K32" s="1" t="s">
        <v>94</v>
      </c>
      <c r="L32" s="1" t="s">
        <v>95</v>
      </c>
      <c r="N32" s="1" t="s">
        <v>109</v>
      </c>
      <c r="O32" s="1" t="s">
        <v>110</v>
      </c>
      <c r="P32" s="1" t="s">
        <v>107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38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111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112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113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114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70" zoomScaleNormal="70" workbookViewId="0">
      <pane ySplit="1" topLeftCell="A2" activePane="bottomLeft" state="frozen"/>
      <selection pane="bottomLeft" activeCell="D10" sqref="D10:F17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33</v>
      </c>
      <c r="B1" s="1"/>
      <c r="D1" s="1" t="s">
        <v>1</v>
      </c>
      <c r="E1" s="1" t="str">
        <f>Additional_effect_size_measure</f>
        <v>Log Odds Ratio</v>
      </c>
      <c r="F1" s="1" t="s">
        <v>115</v>
      </c>
      <c r="M1" s="85"/>
      <c r="O1" s="116" t="s">
        <v>116</v>
      </c>
      <c r="P1" s="116"/>
      <c r="Q1" s="116"/>
      <c r="R1" s="116"/>
      <c r="S1" s="28"/>
      <c r="T1" s="85"/>
      <c r="V1" s="1" t="s">
        <v>1</v>
      </c>
      <c r="W1" s="1" t="s">
        <v>117</v>
      </c>
      <c r="AE1" s="85"/>
      <c r="AG1" s="1" t="s">
        <v>1</v>
      </c>
      <c r="AH1" s="1" t="s">
        <v>118</v>
      </c>
      <c r="AI1" s="1" t="s">
        <v>119</v>
      </c>
      <c r="AR1" s="85"/>
      <c r="AT1" s="1" t="s">
        <v>1</v>
      </c>
      <c r="AU1" s="1" t="s">
        <v>120</v>
      </c>
      <c r="AV1" s="1" t="s">
        <v>121</v>
      </c>
      <c r="BC1" s="85"/>
      <c r="BE1" s="1" t="s">
        <v>1</v>
      </c>
      <c r="BF1" s="75" t="s">
        <v>122</v>
      </c>
      <c r="BG1" s="1" t="s">
        <v>123</v>
      </c>
      <c r="BP1" s="85"/>
      <c r="BR1" s="1" t="s">
        <v>124</v>
      </c>
      <c r="BS1" s="1"/>
      <c r="BT1" s="85"/>
    </row>
    <row r="2" spans="1:72" x14ac:dyDescent="0.3">
      <c r="A2" s="3" t="s">
        <v>46</v>
      </c>
      <c r="B2" s="5" t="s">
        <v>81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14" t="s">
        <v>125</v>
      </c>
      <c r="O2" s="3"/>
      <c r="P2" s="3" t="s">
        <v>126</v>
      </c>
      <c r="Q2" s="3" t="s">
        <v>103</v>
      </c>
      <c r="R2" s="3" t="s">
        <v>104</v>
      </c>
      <c r="S2" s="3" t="s">
        <v>105</v>
      </c>
      <c r="T2" s="114" t="s">
        <v>127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14" t="s">
        <v>128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14" t="s">
        <v>129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14" t="s">
        <v>130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14" t="s">
        <v>131</v>
      </c>
      <c r="BR2" s="131" t="s">
        <v>132</v>
      </c>
      <c r="BS2" s="131"/>
      <c r="BT2" s="114" t="s">
        <v>133</v>
      </c>
    </row>
    <row r="3" spans="1:72" x14ac:dyDescent="0.3">
      <c r="A3" s="3" t="s">
        <v>87</v>
      </c>
      <c r="B3" s="5" t="s">
        <v>100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14"/>
      <c r="O3" s="3" t="s">
        <v>108</v>
      </c>
      <c r="P3" s="4">
        <f>IF(Additional_valid_options="Yes",INTERCEPT(Z_score,Inverse_standard_error),NA())</f>
        <v>1.1588161680216436</v>
      </c>
      <c r="Q3" s="4">
        <f>IF(Additional_valid_options="Yes",Q4*SQRT(1/k_*SUMPRODUCT(Inverse_standard_error,Inverse_standard_error)),NA())</f>
        <v>6.737008571378313</v>
      </c>
      <c r="R3" s="4">
        <f>P3-ABS(TINV((1-Additional_confidence_level),k_-1))*Q3</f>
        <v>-15.326049946549183</v>
      </c>
      <c r="S3" s="4">
        <f>P3+ABS(TINV((1-Additional_confidence_level),k_-1))*Q3</f>
        <v>17.643682282592472</v>
      </c>
      <c r="T3" s="114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14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14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14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14"/>
      <c r="BR3" s="3" t="s">
        <v>134</v>
      </c>
      <c r="BS3" s="4">
        <f>SUM(Calculations!JH:JH)/SQRT(k_)</f>
        <v>0.43768107099131948</v>
      </c>
      <c r="BT3" s="114"/>
    </row>
    <row r="4" spans="1:72" x14ac:dyDescent="0.3">
      <c r="A4" s="3" t="s">
        <v>53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14"/>
      <c r="O4" s="3" t="s">
        <v>135</v>
      </c>
      <c r="P4" s="4">
        <f>IF(Additional_valid_options="Yes",SLOPE(Z_score,Inverse_standard_error),NA())</f>
        <v>-0.18104317455433527</v>
      </c>
      <c r="Q4" s="4">
        <f>IF(Additional_valid_options="Yes",SQRT(((1/(k_-2))*SUMPRODUCT(Calculations!HM:HM,Calculations!HM:HM))/SUMPRODUCT(Calculations!HL:HL,Calculations!HL:HL)),NA())</f>
        <v>1.2252157065011509</v>
      </c>
      <c r="R4" s="4">
        <f>P4-ABS(TINV((1-Additional_confidence_level),k_-1))*Q4</f>
        <v>-3.179038007000957</v>
      </c>
      <c r="S4" s="4">
        <f>P4+ABS(TINV((1-Additional_confidence_level),k_-1))*Q4</f>
        <v>2.8169516578922864</v>
      </c>
      <c r="T4" s="114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14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14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14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14"/>
      <c r="BR4" s="3" t="s">
        <v>136</v>
      </c>
      <c r="BS4" s="7">
        <f>MAX(0,ROUNDUP(k_*(BS3/NORMSINV((1-Additional_confidence_level)))^2-k_,0))</f>
        <v>0</v>
      </c>
      <c r="BT4" s="114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4"/>
      <c r="T5" s="114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4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4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4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4"/>
      <c r="BR5" s="3" t="s">
        <v>137</v>
      </c>
      <c r="BS5" s="4" t="b">
        <f>BS4&lt;5*k_+10</f>
        <v>1</v>
      </c>
      <c r="BT5" s="114"/>
    </row>
    <row r="6" spans="1:72" x14ac:dyDescent="0.3">
      <c r="A6" s="3" t="s">
        <v>38</v>
      </c>
      <c r="B6" s="5" t="s">
        <v>101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4"/>
      <c r="O6" s="3" t="s">
        <v>138</v>
      </c>
      <c r="P6" s="4">
        <f>P3/Q3</f>
        <v>0.17200752466677705</v>
      </c>
      <c r="T6" s="114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4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4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4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4"/>
      <c r="BT6" s="114"/>
    </row>
    <row r="7" spans="1:72" x14ac:dyDescent="0.3">
      <c r="A7" s="3" t="s">
        <v>43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4"/>
      <c r="O7" s="3" t="s">
        <v>107</v>
      </c>
      <c r="P7" s="26">
        <f>TDIST(ABS(P6),k_-2,2)</f>
        <v>0.87017688213880251</v>
      </c>
      <c r="T7" s="114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4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4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4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4"/>
      <c r="BR7" s="116" t="s">
        <v>139</v>
      </c>
      <c r="BS7" s="116"/>
      <c r="BT7" s="114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4"/>
      <c r="T8" s="114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4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4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4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4"/>
      <c r="BR8" s="3" t="s">
        <v>140</v>
      </c>
      <c r="BS8" s="7">
        <f>MAX(0,ROUNDUP((k_*(1-MAX(Calculations!JI:JI))-1)/MAX(Calculations!JI:JI),0))</f>
        <v>9</v>
      </c>
      <c r="BT8" s="114"/>
    </row>
    <row r="9" spans="1:72" x14ac:dyDescent="0.3">
      <c r="A9" s="116" t="s">
        <v>70</v>
      </c>
      <c r="B9" s="116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4"/>
      <c r="O9" s="116" t="s">
        <v>141</v>
      </c>
      <c r="P9" s="116"/>
      <c r="T9" s="114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4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4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4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4"/>
      <c r="BT9" s="114"/>
    </row>
    <row r="10" spans="1:72" ht="13" x14ac:dyDescent="0.35">
      <c r="A10" s="118" t="s">
        <v>81</v>
      </c>
      <c r="B10" s="118"/>
      <c r="D10" s="44" t="str">
        <f t="shared" si="0"/>
        <v>Lubis et al.</v>
      </c>
      <c r="E10" s="3">
        <f t="shared" si="1"/>
        <v>-0.14261099029953303</v>
      </c>
      <c r="F10" s="3">
        <f t="shared" si="2"/>
        <v>0.21223096455742627</v>
      </c>
      <c r="M10" s="114"/>
      <c r="O10" s="3" t="s">
        <v>142</v>
      </c>
      <c r="P10" s="4">
        <f>IF(Additional_valid_options="Yes",SUM(Calculations!HT:HT)/2-SUM(Calculations!HU:HU)/2,NA())</f>
        <v>5</v>
      </c>
      <c r="T10" s="114"/>
      <c r="V10" s="76" t="str">
        <f t="shared" si="3"/>
        <v>Lubis et al.</v>
      </c>
      <c r="W10" s="35">
        <f>IF(AND(Include_study?="Yes",Sufficient_data="Yes"),((E:E-I$29)*SQRT(Calculations!FU:FU))/SQRT(1-Calculations!FU:FU/SUM(Calculations!FU:FU)),"")</f>
        <v>-0.8559605814649659</v>
      </c>
      <c r="AE10" s="114"/>
      <c r="AG10" s="76" t="str">
        <f t="shared" si="4"/>
        <v>Lubis et al.</v>
      </c>
      <c r="AH10" s="3">
        <f t="shared" si="5"/>
        <v>6.8005354752342706E-2</v>
      </c>
      <c r="AI10" s="35">
        <f t="shared" si="6"/>
        <v>5.9504685408299868E-2</v>
      </c>
      <c r="AR10" s="114"/>
      <c r="AT10" s="76" t="str">
        <f t="shared" si="7"/>
        <v>Lubis et al.</v>
      </c>
      <c r="AU10" s="3">
        <f t="shared" si="8"/>
        <v>4.7118477837828241</v>
      </c>
      <c r="AV10" s="35">
        <f t="shared" si="9"/>
        <v>-0.67196127858592847</v>
      </c>
      <c r="BC10" s="114"/>
      <c r="BE10" s="76" t="str">
        <f t="shared" si="10"/>
        <v>Lubis et al.</v>
      </c>
      <c r="BF10" s="3">
        <f>IF(AND(Include_study?="Yes",Sufficient_data="Yes"),NORMSINV(Calculations!IW10),"")</f>
        <v>-0.74785859476330196</v>
      </c>
      <c r="BG10" s="35">
        <f t="shared" si="11"/>
        <v>-0.67196127858592847</v>
      </c>
      <c r="BP10" s="114"/>
      <c r="BR10" s="116" t="s">
        <v>143</v>
      </c>
      <c r="BS10" s="116"/>
      <c r="BT10" s="114"/>
    </row>
    <row r="11" spans="1:72" x14ac:dyDescent="0.3">
      <c r="A11" s="119" t="s">
        <v>71</v>
      </c>
      <c r="B11" s="119"/>
      <c r="D11" s="44" t="str">
        <f t="shared" si="0"/>
        <v>Lu et al.</v>
      </c>
      <c r="E11" s="3">
        <f t="shared" si="1"/>
        <v>0.28596639416660785</v>
      </c>
      <c r="F11" s="3">
        <f t="shared" si="2"/>
        <v>0.18463112904062717</v>
      </c>
      <c r="M11" s="114"/>
      <c r="O11" s="3" t="s">
        <v>144</v>
      </c>
      <c r="P11" s="4">
        <f>IF(Additional_valid_options="Yes",(SUM(Calculations!HT:HT)/2-SUM(Calculations!HU:HU)/2)/(1/2*k_*(k_-1)),NA())</f>
        <v>0.23809523809523808</v>
      </c>
      <c r="T11" s="114"/>
      <c r="V11" s="76" t="str">
        <f t="shared" si="3"/>
        <v>Lu et al.</v>
      </c>
      <c r="W11" s="35">
        <f>IF(AND(Include_study?="Yes",Sufficient_data="Yes"),((E:E-I$29)*SQRT(Calculations!FU:FU))/SQRT(1-Calculations!FU:FU/SUM(Calculations!FU:FU)),"")</f>
        <v>1.4980757906778293</v>
      </c>
      <c r="AE11" s="114"/>
      <c r="AG11" s="76" t="str">
        <f t="shared" si="4"/>
        <v>Lu et al.</v>
      </c>
      <c r="AH11" s="3">
        <f t="shared" si="5"/>
        <v>9.3896713615023476E-3</v>
      </c>
      <c r="AI11" s="35">
        <f t="shared" si="6"/>
        <v>1.2459371614301192E-2</v>
      </c>
      <c r="AR11" s="114"/>
      <c r="AT11" s="76" t="str">
        <f t="shared" si="7"/>
        <v>Lu et al.</v>
      </c>
      <c r="AU11" s="3">
        <f t="shared" si="8"/>
        <v>5.416204760249042</v>
      </c>
      <c r="AV11" s="35">
        <f t="shared" si="9"/>
        <v>1.5488525453564352</v>
      </c>
      <c r="BC11" s="114"/>
      <c r="BE11" s="76" t="str">
        <f t="shared" si="10"/>
        <v>Lu et al.</v>
      </c>
      <c r="BF11" s="3">
        <f>IF(AND(Include_study?="Yes",Sufficient_data="Yes"),NORMSINV(Calculations!IW11),"")</f>
        <v>1.3351777361189372</v>
      </c>
      <c r="BG11" s="35">
        <f t="shared" si="11"/>
        <v>1.5488525453564352</v>
      </c>
      <c r="BP11" s="114"/>
      <c r="BR11" s="3" t="s">
        <v>112</v>
      </c>
      <c r="BS11" s="4">
        <f>I29</f>
        <v>2.9258305734742408E-2</v>
      </c>
      <c r="BT11" s="114"/>
    </row>
    <row r="12" spans="1:72" ht="13" x14ac:dyDescent="0.35">
      <c r="A12" s="119" t="s">
        <v>72</v>
      </c>
      <c r="B12" s="119"/>
      <c r="D12" s="44" t="str">
        <f t="shared" si="0"/>
        <v>Lu et al.</v>
      </c>
      <c r="E12" s="3">
        <f t="shared" si="1"/>
        <v>0.20712413200567595</v>
      </c>
      <c r="F12" s="3">
        <f t="shared" si="2"/>
        <v>0.18643319615454887</v>
      </c>
      <c r="M12" s="114"/>
      <c r="O12" s="3" t="s">
        <v>145</v>
      </c>
      <c r="P12" s="4">
        <f>P10/SQRT((k_*(k_-1)*(2*k_+5)/18))</f>
        <v>0.75093926148263823</v>
      </c>
      <c r="T12" s="114"/>
      <c r="V12" s="76" t="str">
        <f t="shared" si="3"/>
        <v>Lu et al.</v>
      </c>
      <c r="W12" s="35">
        <f>IF(AND(Include_study?="Yes",Sufficient_data="Yes"),((E:E-I$29)*SQRT(Calculations!FU:FU))/SQRT(1-Calculations!FU:FU/SUM(Calculations!FU:FU)),"")</f>
        <v>1.0263541653551451</v>
      </c>
      <c r="AE12" s="114"/>
      <c r="AG12" s="76" t="str">
        <f t="shared" si="4"/>
        <v>Lu et al.</v>
      </c>
      <c r="AH12" s="3">
        <f t="shared" si="5"/>
        <v>1.3180800795821936E-2</v>
      </c>
      <c r="AI12" s="35">
        <f t="shared" si="6"/>
        <v>1.6165133051479732E-2</v>
      </c>
      <c r="AR12" s="114"/>
      <c r="AT12" s="76" t="str">
        <f t="shared" si="7"/>
        <v>Lu et al.</v>
      </c>
      <c r="AU12" s="3">
        <f t="shared" si="8"/>
        <v>5.3638516134810175</v>
      </c>
      <c r="AV12" s="35">
        <f t="shared" si="9"/>
        <v>1.1109831096495002</v>
      </c>
      <c r="BC12" s="114"/>
      <c r="BE12" s="76" t="str">
        <f t="shared" si="10"/>
        <v>Lu et al.</v>
      </c>
      <c r="BF12" s="3">
        <f>IF(AND(Include_study?="Yes",Sufficient_data="Yes"),NORMSINV(Calculations!IW12),"")</f>
        <v>0.7478585947633023</v>
      </c>
      <c r="BG12" s="35">
        <f t="shared" si="11"/>
        <v>1.1109831096495002</v>
      </c>
      <c r="BP12" s="114"/>
      <c r="BR12" s="3" t="s">
        <v>146</v>
      </c>
      <c r="BS12" s="5">
        <v>0</v>
      </c>
      <c r="BT12" s="114"/>
    </row>
    <row r="13" spans="1:72" ht="13" x14ac:dyDescent="0.35">
      <c r="D13" s="44" t="str">
        <f t="shared" si="0"/>
        <v>Seo et al.</v>
      </c>
      <c r="E13" s="3">
        <f t="shared" si="1"/>
        <v>0.13926596481592882</v>
      </c>
      <c r="F13" s="3">
        <f t="shared" si="2"/>
        <v>0.17619483771616601</v>
      </c>
      <c r="M13" s="114"/>
      <c r="O13" s="3" t="s">
        <v>95</v>
      </c>
      <c r="P13" s="26">
        <f>2*(1-NORMSDIST(ABS(P12)))</f>
        <v>0.45268921045840571</v>
      </c>
      <c r="T13" s="114"/>
      <c r="V13" s="76" t="str">
        <f t="shared" si="3"/>
        <v>Seo et al.</v>
      </c>
      <c r="W13" s="35">
        <f>IF(AND(Include_study?="Yes",Sufficient_data="Yes"),((E:E-I$29)*SQRT(Calculations!FU:FU))/SQRT(1-Calculations!FU:FU/SUM(Calculations!FU:FU)),"")</f>
        <v>0.67808214103147779</v>
      </c>
      <c r="AE13" s="114"/>
      <c r="AG13" s="76" t="str">
        <f t="shared" si="4"/>
        <v>Seo et al.</v>
      </c>
      <c r="AH13" s="3">
        <f t="shared" si="5"/>
        <v>1.1014806789454677E-2</v>
      </c>
      <c r="AI13" s="35">
        <f t="shared" si="6"/>
        <v>1.2639942217407007E-2</v>
      </c>
      <c r="AR13" s="114"/>
      <c r="AT13" s="76" t="str">
        <f t="shared" si="7"/>
        <v>Seo et al.</v>
      </c>
      <c r="AU13" s="3">
        <f t="shared" si="8"/>
        <v>5.6755351800426173</v>
      </c>
      <c r="AV13" s="35">
        <f t="shared" si="9"/>
        <v>0.79040888269538134</v>
      </c>
      <c r="BC13" s="114"/>
      <c r="BE13" s="76" t="str">
        <f t="shared" si="10"/>
        <v>Seo et al.</v>
      </c>
      <c r="BF13" s="3">
        <f>IF(AND(Include_study?="Yes",Sufficient_data="Yes"),NORMSINV(Calculations!IW13),"")</f>
        <v>0.34875569551704505</v>
      </c>
      <c r="BG13" s="35">
        <f t="shared" si="11"/>
        <v>0.79040888269538134</v>
      </c>
      <c r="BP13" s="114"/>
      <c r="BR13" s="3" t="s">
        <v>147</v>
      </c>
      <c r="BS13" s="5">
        <v>-0.69</v>
      </c>
      <c r="BT13" s="114"/>
    </row>
    <row r="14" spans="1:72" x14ac:dyDescent="0.3">
      <c r="A14" s="116" t="s">
        <v>99</v>
      </c>
      <c r="B14" s="116"/>
      <c r="D14" s="44" t="str">
        <f t="shared" si="0"/>
        <v>Law et al.</v>
      </c>
      <c r="E14" s="3">
        <f t="shared" si="1"/>
        <v>-0.23540031375603082</v>
      </c>
      <c r="F14" s="3">
        <f t="shared" si="2"/>
        <v>0.17230510855134057</v>
      </c>
      <c r="M14" s="114"/>
      <c r="T14" s="114"/>
      <c r="V14" s="76" t="str">
        <f t="shared" si="3"/>
        <v>Law et al.</v>
      </c>
      <c r="W14" s="35">
        <f>IF(AND(Include_study?="Yes",Sufficient_data="Yes"),((E:E-I$29)*SQRT(Calculations!FU:FU))/SQRT(1-Calculations!FU:FU/SUM(Calculations!FU:FU)),"")</f>
        <v>-1.6750495980659135</v>
      </c>
      <c r="AE14" s="114"/>
      <c r="AG14" s="76" t="str">
        <f t="shared" si="4"/>
        <v>Law et al.</v>
      </c>
      <c r="AH14" s="3">
        <f t="shared" si="5"/>
        <v>1.1755725190839695E-2</v>
      </c>
      <c r="AI14" s="35">
        <f t="shared" si="6"/>
        <v>9.3129770992366415E-3</v>
      </c>
      <c r="AR14" s="114"/>
      <c r="AT14" s="76" t="str">
        <f t="shared" si="7"/>
        <v>Law et al.</v>
      </c>
      <c r="AU14" s="3">
        <f t="shared" si="8"/>
        <v>5.8036584545143466</v>
      </c>
      <c r="AV14" s="35">
        <f t="shared" si="9"/>
        <v>-1.3661830211255181</v>
      </c>
      <c r="BC14" s="114"/>
      <c r="BE14" s="76" t="str">
        <f t="shared" si="10"/>
        <v>Law et al.</v>
      </c>
      <c r="BF14" s="3">
        <f>IF(AND(Include_study?="Yes",Sufficient_data="Yes"),NORMSINV(Calculations!IW14),"")</f>
        <v>-1.3351777361189361</v>
      </c>
      <c r="BG14" s="35">
        <f t="shared" si="11"/>
        <v>-1.3661830211255181</v>
      </c>
      <c r="BP14" s="114"/>
      <c r="BR14" s="3" t="s">
        <v>136</v>
      </c>
      <c r="BS14" s="7">
        <f>MAX(0,ROUNDUP(k_*(BS11-BS12)/(BS12-BS13),0))</f>
        <v>1</v>
      </c>
      <c r="BT14" s="114"/>
    </row>
    <row r="15" spans="1:72" x14ac:dyDescent="0.3">
      <c r="A15" s="118" t="str">
        <f>IF(Additional_weighting_method="Peto","Log Peto Odds Ratio","Log Odds Ratio")</f>
        <v>Log Odds Ratio</v>
      </c>
      <c r="B15" s="118"/>
      <c r="D15" s="44" t="str">
        <f t="shared" si="0"/>
        <v>Latif et al.</v>
      </c>
      <c r="E15" s="3">
        <f t="shared" si="1"/>
        <v>4.7801581709305027E-2</v>
      </c>
      <c r="F15" s="3">
        <f t="shared" si="2"/>
        <v>0.17854816035701551</v>
      </c>
      <c r="M15" s="114"/>
      <c r="T15" s="114"/>
      <c r="V15" s="76" t="str">
        <f t="shared" si="3"/>
        <v>Latif et al.</v>
      </c>
      <c r="W15" s="35">
        <f>IF(AND(Include_study?="Yes",Sufficient_data="Yes"),((E:E-I$29)*SQRT(Calculations!FU:FU))/SQRT(1-Calculations!FU:FU/SUM(Calculations!FU:FU)),"")</f>
        <v>0.1125291954932171</v>
      </c>
      <c r="AE15" s="114"/>
      <c r="AG15" s="76" t="str">
        <f t="shared" si="4"/>
        <v>Latif et al.</v>
      </c>
      <c r="AH15" s="3">
        <f t="shared" si="5"/>
        <v>1.1209546194178268E-2</v>
      </c>
      <c r="AI15" s="35">
        <f t="shared" si="6"/>
        <v>1.1751943590670765E-2</v>
      </c>
      <c r="AR15" s="114"/>
      <c r="AT15" s="76" t="str">
        <f t="shared" si="7"/>
        <v>Latif et al.</v>
      </c>
      <c r="AU15" s="3">
        <f t="shared" si="8"/>
        <v>5.6007297862966077</v>
      </c>
      <c r="AV15" s="35">
        <f t="shared" si="9"/>
        <v>0.2677237425113958</v>
      </c>
      <c r="BC15" s="114"/>
      <c r="BE15" s="76" t="str">
        <f t="shared" si="10"/>
        <v>Latif et al.</v>
      </c>
      <c r="BF15" s="3">
        <f>IF(AND(Include_study?="Yes",Sufficient_data="Yes"),NORMSINV(Calculations!IW15),"")</f>
        <v>0</v>
      </c>
      <c r="BG15" s="35">
        <f t="shared" si="11"/>
        <v>0.2677237425113958</v>
      </c>
      <c r="BP15" s="114"/>
      <c r="BT15" s="114"/>
    </row>
    <row r="16" spans="1:72" x14ac:dyDescent="0.3">
      <c r="A16" s="119" t="str">
        <f>IF(Additional_weighting_method="Inverse variance","Log Risk Ratio","")</f>
        <v>Log Risk Ratio</v>
      </c>
      <c r="B16" s="119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4"/>
      <c r="T16" s="11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4"/>
      <c r="BR16" s="116" t="s">
        <v>148</v>
      </c>
      <c r="BS16" s="116"/>
      <c r="BT16" s="114"/>
    </row>
    <row r="17" spans="1:72" x14ac:dyDescent="0.3">
      <c r="A17" s="119" t="str">
        <f>IF(Additional_weighting_method="Inverse Variance","Risk Difference","")</f>
        <v>Risk Difference</v>
      </c>
      <c r="B17" s="119"/>
      <c r="D17" s="44" t="str">
        <f t="shared" si="0"/>
        <v>Hazarika et al. (A)</v>
      </c>
      <c r="E17" s="3">
        <f t="shared" si="1"/>
        <v>-8.9394925710100992E-2</v>
      </c>
      <c r="F17" s="3">
        <f t="shared" si="2"/>
        <v>0.17131086018515415</v>
      </c>
      <c r="M17" s="114"/>
      <c r="T17" s="114"/>
      <c r="V17" s="76" t="str">
        <f t="shared" si="3"/>
        <v>Hazarika et al. (A)</v>
      </c>
      <c r="W17" s="35">
        <f>IF(AND(Include_study?="Yes",Sufficient_data="Yes"),((E:E-I$29)*SQRT(Calculations!FU:FU))/SQRT(1-Calculations!FU:FU/SUM(Calculations!FU:FU)),"")</f>
        <v>-0.75615952296480227</v>
      </c>
      <c r="AE17" s="114"/>
      <c r="AG17" s="76" t="str">
        <f t="shared" si="4"/>
        <v>Hazarika et al. (A)</v>
      </c>
      <c r="AH17" s="3">
        <f t="shared" si="5"/>
        <v>1.3132048017460896E-2</v>
      </c>
      <c r="AI17" s="35">
        <f t="shared" si="6"/>
        <v>1.2022553655874863E-2</v>
      </c>
      <c r="AR17" s="114"/>
      <c r="AT17" s="76" t="str">
        <f t="shared" si="7"/>
        <v>Hazarika et al. (A)</v>
      </c>
      <c r="AU17" s="3">
        <f t="shared" si="8"/>
        <v>5.8373415375954094</v>
      </c>
      <c r="AV17" s="35">
        <f t="shared" si="9"/>
        <v>-0.5218287130978283</v>
      </c>
      <c r="BC17" s="114"/>
      <c r="BE17" s="76" t="str">
        <f t="shared" si="10"/>
        <v>Hazarika et al. (A)</v>
      </c>
      <c r="BF17" s="3">
        <f>IF(AND(Include_study?="Yes",Sufficient_data="Yes"),NORMSINV(Calculations!IW17),"")</f>
        <v>-0.34875569551704472</v>
      </c>
      <c r="BG17" s="35">
        <f t="shared" si="11"/>
        <v>-0.5218287130978283</v>
      </c>
      <c r="BP17" s="114"/>
      <c r="BR17" s="3" t="s">
        <v>136</v>
      </c>
      <c r="BS17" s="7">
        <f>MAX(0,ROUNDUP(-2*SUM(Calculations!JJ:JJ),0))</f>
        <v>25</v>
      </c>
      <c r="BT17" s="114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4"/>
      <c r="T18" s="11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4"/>
      <c r="BR18" s="3" t="s">
        <v>149</v>
      </c>
      <c r="BS18" s="26">
        <f>CHIDIST(BS17,k_*2)</f>
        <v>3.4567393577248834E-2</v>
      </c>
      <c r="BT18" s="114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4"/>
      <c r="T19" s="11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4"/>
      <c r="BT19" s="114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4"/>
      <c r="T20" s="11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4"/>
      <c r="BT20" s="114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4"/>
      <c r="T21" s="11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4"/>
      <c r="BT21" s="114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4"/>
      <c r="T22" s="11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4"/>
      <c r="BT22" s="114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4"/>
      <c r="T23" s="11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4"/>
      <c r="BT23" s="114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4"/>
      <c r="T24" s="11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4"/>
      <c r="BT24" s="114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4"/>
      <c r="T25" s="11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4"/>
      <c r="BT25" s="114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4"/>
      <c r="T26" s="11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4"/>
      <c r="BT26" s="114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4"/>
      <c r="T27" s="11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4"/>
      <c r="BT27" s="114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112</v>
      </c>
      <c r="I28" s="28" t="s">
        <v>150</v>
      </c>
      <c r="K28" s="116" t="s">
        <v>66</v>
      </c>
      <c r="L28" s="116"/>
      <c r="M28" s="114"/>
      <c r="T28" s="11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9" t="s">
        <v>151</v>
      </c>
      <c r="AY28" s="129"/>
      <c r="AZ28" s="129"/>
      <c r="BA28" s="129"/>
      <c r="BB28" s="132"/>
      <c r="BC28" s="11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9" t="s">
        <v>151</v>
      </c>
      <c r="BJ28" s="129"/>
      <c r="BK28" s="129"/>
      <c r="BL28" s="129"/>
      <c r="BM28" s="129"/>
      <c r="BP28" s="114"/>
      <c r="BT28" s="114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2.9258305734742408E-2</v>
      </c>
      <c r="K29" s="3" t="s">
        <v>67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6.7387650880213741</v>
      </c>
      <c r="M29" s="114"/>
      <c r="T29" s="11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152</v>
      </c>
      <c r="Z29" s="1" t="s">
        <v>153</v>
      </c>
      <c r="AA29" s="1" t="s">
        <v>154</v>
      </c>
      <c r="AE29" s="11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126</v>
      </c>
      <c r="AZ29" s="3" t="s">
        <v>103</v>
      </c>
      <c r="BA29" s="3" t="s">
        <v>104</v>
      </c>
      <c r="BB29" s="3" t="s">
        <v>105</v>
      </c>
      <c r="BC29" s="11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126</v>
      </c>
      <c r="BK29" s="3" t="s">
        <v>103</v>
      </c>
      <c r="BL29" s="3" t="s">
        <v>104</v>
      </c>
      <c r="BM29" s="3" t="s">
        <v>105</v>
      </c>
      <c r="BP29" s="114"/>
      <c r="BT29" s="114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6.8737927809344179E-2</v>
      </c>
      <c r="K30" s="3" t="s">
        <v>68</v>
      </c>
      <c r="L30" s="26">
        <f>IF(Additional_valid_options="Yes",CHIDIST(L29,k_-1+IF(Trim_and_fill="On",L39,0)),"")</f>
        <v>0.3456831432015483</v>
      </c>
      <c r="M30" s="114"/>
      <c r="T30" s="11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108</v>
      </c>
      <c r="AY30" s="4">
        <v>0</v>
      </c>
      <c r="AZ30" s="4"/>
      <c r="BA30" s="4"/>
      <c r="BB30" s="4"/>
      <c r="BC30" s="11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108</v>
      </c>
      <c r="BJ30" s="4">
        <f>INTERCEPT(BG:BG,BF:BF)</f>
        <v>0.16542789534334795</v>
      </c>
      <c r="BK30" s="4">
        <f>BK31*SQRT(1/k_*SUMPRODUCT(BF:BF,BF:BF))</f>
        <v>7.0386909385695348E-2</v>
      </c>
      <c r="BL30" s="4">
        <f>BJ30-ABS(TINV((1-Additional_confidence_level),k_-1))*BK30</f>
        <v>-6.8026673979770247E-3</v>
      </c>
      <c r="BM30" s="4">
        <f>BJ30+ABS(TINV((1-Additional_confidence_level),k_-1))*BK30</f>
        <v>0.33765845808467293</v>
      </c>
      <c r="BP30" s="114"/>
      <c r="BT30" s="114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35</v>
      </c>
      <c r="I31" s="4">
        <f>IF(Additional_valid_options="Yes",I29-ABS(TINV((1-Additional_confidence_level),k_-1))*I30,"")</f>
        <v>-0.13893734444508918</v>
      </c>
      <c r="K31" s="3" t="s">
        <v>69</v>
      </c>
      <c r="L31" s="8">
        <f>IF(Additional_valid_options="Yes",IF(L29-(k_-1+IF(Trim_and_fill="On",L39,0))&lt;=0,0,(L29-(k_-1+IF(Trim_and_fill="On",L39,0)))/L29),"")</f>
        <v>0.10962914990679534</v>
      </c>
      <c r="M31" s="114"/>
      <c r="T31" s="11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-1.4</v>
      </c>
      <c r="Z31" s="4">
        <f t="array" ref="Z31:Z39">FREQUENCY(W:W,Calculations!HZ2:HZ10)/k_</f>
        <v>0.14285714285714285</v>
      </c>
      <c r="AA31" s="4">
        <f>NORMSDIST(Calculations!HZ2)</f>
        <v>8.0756659233771053E-2</v>
      </c>
      <c r="AE31" s="11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135</v>
      </c>
      <c r="AY31" s="4">
        <f>I29</f>
        <v>2.9258305734742408E-2</v>
      </c>
      <c r="AZ31" s="4">
        <f>I30</f>
        <v>6.8737927809344179E-2</v>
      </c>
      <c r="BA31" s="4">
        <f>AY31-ABS(TINV((1-Additional_confidence_level),k_-1))*AZ31</f>
        <v>-0.13893734444508918</v>
      </c>
      <c r="BB31" s="4">
        <f>AY31+ABS(TINV((1-Additional_confidence_level),k_-1))*AZ31</f>
        <v>0.19745395591457401</v>
      </c>
      <c r="BC31" s="11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135</v>
      </c>
      <c r="BJ31" s="4">
        <f>SLOPE(BG:BG,BF:BF)</f>
        <v>1.1534094565906068</v>
      </c>
      <c r="BK31" s="4">
        <f>SQRT(((1/(k_-2))*SUMPRODUCT(Calculations!JA:JA,Calculations!JA:JA))/SUMPRODUCT(Calculations!IZ:IZ,Calculations!IZ:IZ))</f>
        <v>8.3895531290872363E-2</v>
      </c>
      <c r="BL31" s="4">
        <f>BJ31-ABS(TINV((1-Additional_confidence_level),k_-1))*BK31</f>
        <v>0.94812448681686767</v>
      </c>
      <c r="BM31" s="4">
        <f>BJ31+ABS(TINV((1-Additional_confidence_level),k_-1))*BK31</f>
        <v>1.3586944263643459</v>
      </c>
      <c r="BP31" s="114"/>
      <c r="BT31" s="114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36</v>
      </c>
      <c r="I32" s="4">
        <f>IF(Additional_valid_options="Yes",I29+ABS(TINV((1-Additional_confidence_level),k_-1))*I30,"")</f>
        <v>0.19745395591457401</v>
      </c>
      <c r="K32" s="3" t="s">
        <v>155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4.082919340311221E-3</v>
      </c>
      <c r="M32" s="114"/>
      <c r="T32" s="11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-1.4; -1</v>
      </c>
      <c r="Z32" s="4">
        <v>0</v>
      </c>
      <c r="AA32" s="4">
        <f>NORMSDIST(Calculations!HZ3)-(SUM(AA$31:AA31))</f>
        <v>7.7898594697685938E-2</v>
      </c>
      <c r="AE32" s="11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9" t="s">
        <v>112</v>
      </c>
      <c r="AL32" s="129"/>
      <c r="AM32" s="129"/>
      <c r="AR32" s="11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4"/>
      <c r="BT32" s="114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59</v>
      </c>
      <c r="I33" s="4">
        <f>IF(Additional_valid_options="Yes",I29-ABS(TINV((1-Additional_confidence_level),k_-1))*SQRT(I30^2+Calculations!GH12),"")</f>
        <v>-0.20038436575707849</v>
      </c>
      <c r="K33" s="3" t="s">
        <v>79</v>
      </c>
      <c r="L33" s="4">
        <f>IF(Additional_valid_options="Yes",SQRT(L32),"")</f>
        <v>6.3897725627061419E-2</v>
      </c>
      <c r="M33" s="114"/>
      <c r="T33" s="11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-1; -0.6</v>
      </c>
      <c r="Z33" s="4">
        <v>0.2857142857142857</v>
      </c>
      <c r="AA33" s="4">
        <f>NORMSDIST(Calculations!HZ4)-(SUM(AA$31:AA32))</f>
        <v>0.11559786381861656</v>
      </c>
      <c r="AE33" s="11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0" t="s">
        <v>156</v>
      </c>
      <c r="AL33" s="130"/>
      <c r="AM33" s="130"/>
      <c r="AR33" s="11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157</v>
      </c>
      <c r="BJ33" s="5" t="s">
        <v>158</v>
      </c>
      <c r="BP33" s="114"/>
      <c r="BT33" s="114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60</v>
      </c>
      <c r="I34" s="4">
        <f>IF(Additional_valid_options="Yes",I29+ABS(TINV((1-Additional_confidence_level),k_-1))*SQRT(I30^2+Calculations!GH12),"")</f>
        <v>0.2589009772265633</v>
      </c>
      <c r="M34" s="114"/>
      <c r="T34" s="11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-0.6; -0.2</v>
      </c>
      <c r="Z34" s="4">
        <v>0</v>
      </c>
      <c r="AA34" s="4">
        <f>NORMSDIST(Calculations!HZ5)-(SUM(AA$31:AA33))</f>
        <v>0.14648717281082341</v>
      </c>
      <c r="AE34" s="11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159</v>
      </c>
      <c r="AL34" s="3"/>
      <c r="AM34" s="4">
        <f>EXP(SUMPRODUCT(LogRiskRatio,Calculations!IE:IE)/SUM(Calculations!IE:IE))</f>
        <v>1.0282234215125632</v>
      </c>
      <c r="AR34" s="11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4"/>
      <c r="BT34" s="114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4"/>
      <c r="T35" s="11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-0.2; 0.2</v>
      </c>
      <c r="Z35" s="4">
        <v>0.14285714285714285</v>
      </c>
      <c r="AA35" s="4">
        <f>NORMSDIST(Calculations!HZ6)-(SUM(AA$31:AA34))</f>
        <v>0.15851941887820603</v>
      </c>
      <c r="AE35" s="11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4"/>
      <c r="BT35" s="114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112</v>
      </c>
      <c r="I36" s="90" t="s">
        <v>160</v>
      </c>
      <c r="K36" s="1" t="s">
        <v>161</v>
      </c>
      <c r="L36" s="5" t="s">
        <v>162</v>
      </c>
      <c r="M36" s="114"/>
      <c r="T36" s="11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0.2; 0.6</v>
      </c>
      <c r="Z36" s="4">
        <v>0</v>
      </c>
      <c r="AA36" s="4">
        <f>NORMSDIST(Calculations!HZ7)-(SUM(AA$31:AA35))</f>
        <v>0.14648717281082346</v>
      </c>
      <c r="AE36" s="11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4"/>
      <c r="BT36" s="114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2.9258305734742408E-2</v>
      </c>
      <c r="K37" s="3" t="s">
        <v>163</v>
      </c>
      <c r="L37" s="5" t="s">
        <v>164</v>
      </c>
      <c r="M37" s="114"/>
      <c r="T37" s="11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0.6; 1</v>
      </c>
      <c r="Z37" s="4">
        <v>0.14285714285714285</v>
      </c>
      <c r="AA37" s="4">
        <f>NORMSDIST(Calculations!HZ8)-(SUM(AA$31:AA36))</f>
        <v>0.11559786381861659</v>
      </c>
      <c r="AE37" s="11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4"/>
      <c r="BT37" s="114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6.8737927809344179E-2</v>
      </c>
      <c r="K38" s="3" t="s">
        <v>165</v>
      </c>
      <c r="L38" s="91" t="str">
        <f>IF(Trim_and_fill="Off","",IF(I29&gt;0,"Left",IF(I29&lt;0,"Right","NA")))</f>
        <v>Left</v>
      </c>
      <c r="M38" s="114"/>
      <c r="T38" s="11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1; 1.4</v>
      </c>
      <c r="Z38" s="4">
        <v>0.14285714285714285</v>
      </c>
      <c r="AA38" s="4">
        <f>NORMSDIST(Calculations!HZ9)-(SUM(AA$31:AA37))</f>
        <v>7.7898594697685897E-2</v>
      </c>
      <c r="AE38" s="11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4"/>
      <c r="BT38" s="114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35</v>
      </c>
      <c r="I39" s="4">
        <f>IF(AND(Trim_and_fill="On",Additional_valid_options="Yes",L38&lt;&gt;""),I37-ABS(TINV((1-Additional_confidence_level),k_+L39-1))*I38,"")</f>
        <v>-0.13893734444508918</v>
      </c>
      <c r="K39" s="3" t="s">
        <v>166</v>
      </c>
      <c r="L39" s="7">
        <f>IF(L38&lt;&gt;"",Calculations!GW21,"")</f>
        <v>0</v>
      </c>
      <c r="M39" s="114"/>
      <c r="T39" s="11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1.4; ∞</v>
      </c>
      <c r="Z39" s="4">
        <v>0.14285714285714285</v>
      </c>
      <c r="AA39" s="4">
        <f>1-(SUM(AA31:AA38))</f>
        <v>8.0756659233771066E-2</v>
      </c>
      <c r="AE39" s="11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4"/>
      <c r="BT39" s="114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36</v>
      </c>
      <c r="I40" s="4">
        <f>IF(AND(Trim_and_fill="On",Additional_valid_options="Yes",L38&lt;&gt;""),I37+ABS(TINV((1-Additional_confidence_level),k_+L39-1))*I38,"")</f>
        <v>0.19745395591457401</v>
      </c>
      <c r="M40" s="114"/>
      <c r="T40" s="11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4"/>
      <c r="BT40" s="114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59</v>
      </c>
      <c r="I41" s="4">
        <f>IF(AND(Trim_and_fill="On",Additional_valid_options="Yes",L38&lt;&gt;""),I37-ABS(TINV((1-Additional_confidence_level),k_+L39-1))*SQRT(I38^2+L32),"")</f>
        <v>-0.20038436575707849</v>
      </c>
      <c r="M41" s="114"/>
      <c r="T41" s="11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167</v>
      </c>
      <c r="AE41" s="11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4"/>
      <c r="BT41" s="114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60</v>
      </c>
      <c r="I42" s="4">
        <f>IF(AND(Trim_and_fill="On",Additional_valid_options="Yes",L38&lt;&gt;""),I37+ABS(TINV((1-Additional_confidence_level),k_+L39-1))*SQRT(I38^2+L32),"")</f>
        <v>0.2589009772265633</v>
      </c>
      <c r="M42" s="114"/>
      <c r="T42" s="11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4"/>
      <c r="BT42" s="114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4"/>
      <c r="T43" s="11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4"/>
      <c r="BT43" s="114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4"/>
      <c r="T44" s="11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4"/>
      <c r="BT44" s="114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4"/>
      <c r="T45" s="11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4"/>
      <c r="BT45" s="114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4"/>
      <c r="T46" s="11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4"/>
      <c r="BT46" s="114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4"/>
      <c r="T47" s="11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4"/>
      <c r="BT47" s="114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4"/>
      <c r="T48" s="11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4"/>
      <c r="BT48" s="114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4"/>
      <c r="T49" s="11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4"/>
      <c r="BT49" s="114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4"/>
      <c r="T50" s="11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4"/>
      <c r="BT50" s="114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4"/>
      <c r="T51" s="11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4"/>
      <c r="BT51" s="114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4"/>
      <c r="T52" s="11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4"/>
      <c r="BT52" s="114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4"/>
      <c r="T53" s="11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4"/>
      <c r="BT53" s="114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4"/>
      <c r="T54" s="11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4"/>
      <c r="BT54" s="114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4"/>
      <c r="T55" s="11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4"/>
      <c r="BT55" s="114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4"/>
      <c r="T56" s="11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4"/>
      <c r="BT56" s="114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4"/>
      <c r="T57" s="11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4"/>
      <c r="BT57" s="114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4"/>
      <c r="T58" s="11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4"/>
      <c r="BT58" s="114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4"/>
      <c r="T59" s="11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4"/>
      <c r="BT59" s="114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4"/>
      <c r="T60" s="11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4"/>
      <c r="BT60" s="114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4"/>
      <c r="T61" s="11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4"/>
      <c r="BT61" s="114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4"/>
      <c r="T62" s="11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4"/>
      <c r="BT62" s="114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4"/>
      <c r="T63" s="11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4"/>
      <c r="BT63" s="114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4"/>
      <c r="T64" s="11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4"/>
      <c r="BT64" s="114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4"/>
      <c r="T65" s="11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4"/>
      <c r="BT65" s="114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4"/>
      <c r="T66" s="11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4"/>
      <c r="BT66" s="114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4"/>
      <c r="T67" s="11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4"/>
      <c r="BT67" s="114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4"/>
      <c r="T68" s="11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4"/>
      <c r="BT68" s="114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4"/>
      <c r="T69" s="11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4"/>
      <c r="BT69" s="114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4"/>
      <c r="T70" s="11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4"/>
      <c r="BT70" s="114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4"/>
      <c r="T71" s="11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4"/>
      <c r="BT71" s="114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4"/>
      <c r="T72" s="11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4"/>
      <c r="BT72" s="114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4"/>
      <c r="T73" s="11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4"/>
      <c r="BT73" s="114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4"/>
      <c r="T74" s="11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4"/>
      <c r="BT74" s="114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4"/>
      <c r="T75" s="11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4"/>
      <c r="BT75" s="114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4"/>
      <c r="T76" s="11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4"/>
      <c r="BT76" s="114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4"/>
      <c r="T77" s="11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4"/>
      <c r="BT77" s="114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4"/>
      <c r="T78" s="11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4"/>
      <c r="BT78" s="114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4"/>
      <c r="T79" s="11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4"/>
      <c r="BT79" s="114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4"/>
      <c r="T80" s="11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4"/>
      <c r="BT80" s="114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4"/>
      <c r="T81" s="11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4"/>
      <c r="BT81" s="114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4"/>
      <c r="T82" s="11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4"/>
      <c r="BT82" s="114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4"/>
      <c r="T83" s="11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4"/>
      <c r="BT83" s="114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4"/>
      <c r="T84" s="11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4"/>
      <c r="BT84" s="114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4"/>
      <c r="T85" s="11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4"/>
      <c r="BT85" s="114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4"/>
      <c r="T86" s="11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4"/>
      <c r="BT86" s="114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4"/>
      <c r="T87" s="11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4"/>
      <c r="BT87" s="114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4"/>
      <c r="T88" s="11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4"/>
      <c r="BT88" s="114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4"/>
      <c r="T89" s="11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4"/>
      <c r="BT89" s="114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4"/>
      <c r="T90" s="11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4"/>
      <c r="BT90" s="114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4"/>
      <c r="T91" s="11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4"/>
      <c r="BT91" s="114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4"/>
      <c r="T92" s="11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4"/>
      <c r="BT92" s="114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4"/>
      <c r="T93" s="11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4"/>
      <c r="BT93" s="114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4"/>
      <c r="T94" s="11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4"/>
      <c r="BT94" s="114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4"/>
      <c r="T95" s="11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4"/>
      <c r="BT95" s="114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4"/>
      <c r="T96" s="11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4"/>
      <c r="BT96" s="114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4"/>
      <c r="T97" s="11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4"/>
      <c r="BT97" s="114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4"/>
      <c r="T98" s="11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4"/>
      <c r="BT98" s="114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4"/>
      <c r="T99" s="11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4"/>
      <c r="BT99" s="114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4"/>
      <c r="T100" s="11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4"/>
      <c r="BT100" s="114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4"/>
      <c r="T101" s="11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4"/>
      <c r="BT101" s="114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4"/>
      <c r="T102" s="11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4"/>
      <c r="BT102" s="114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4"/>
      <c r="T103" s="11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4"/>
      <c r="BT103" s="114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4"/>
      <c r="T104" s="11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4"/>
      <c r="BT104" s="114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4"/>
      <c r="T105" s="11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4"/>
      <c r="BT105" s="114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4"/>
      <c r="T106" s="11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4"/>
      <c r="BT106" s="114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4"/>
      <c r="T107" s="11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4"/>
      <c r="BT107" s="114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4"/>
      <c r="T108" s="11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4"/>
      <c r="BT108" s="114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4"/>
      <c r="T109" s="11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4"/>
      <c r="BT109" s="114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4"/>
      <c r="T110" s="11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4"/>
      <c r="BT110" s="114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4"/>
      <c r="T111" s="11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4"/>
      <c r="BT111" s="114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4"/>
      <c r="T112" s="11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4"/>
      <c r="BT112" s="114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4"/>
      <c r="T113" s="11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4"/>
      <c r="BT113" s="114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4"/>
      <c r="T114" s="11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4"/>
      <c r="BT114" s="114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4"/>
      <c r="T115" s="11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4"/>
      <c r="BT115" s="114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4"/>
      <c r="T116" s="11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4"/>
      <c r="BT116" s="114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4"/>
      <c r="T117" s="11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4"/>
      <c r="BT117" s="114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4"/>
      <c r="T118" s="11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4"/>
      <c r="BT118" s="114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4"/>
      <c r="T119" s="11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4"/>
      <c r="BT119" s="114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4"/>
      <c r="T120" s="11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4"/>
      <c r="BT120" s="114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4"/>
      <c r="T121" s="11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4"/>
      <c r="BT121" s="114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4"/>
      <c r="T122" s="11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4"/>
      <c r="BT122" s="114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4"/>
      <c r="T123" s="11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4"/>
      <c r="BT123" s="114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4"/>
      <c r="T124" s="11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4"/>
      <c r="BT124" s="114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4"/>
      <c r="T125" s="11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4"/>
      <c r="BT125" s="114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4"/>
      <c r="T126" s="11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4"/>
      <c r="BT126" s="114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4"/>
      <c r="T127" s="11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4"/>
      <c r="BT127" s="114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4"/>
      <c r="T128" s="11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4"/>
      <c r="BT128" s="114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4"/>
      <c r="T129" s="11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4"/>
      <c r="BT129" s="114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4"/>
      <c r="T130" s="11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4"/>
      <c r="BT130" s="114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4"/>
      <c r="T131" s="11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4"/>
      <c r="BT131" s="114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4"/>
      <c r="T132" s="11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4"/>
      <c r="BT132" s="114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4"/>
      <c r="T133" s="11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4"/>
      <c r="BT133" s="114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4"/>
      <c r="T134" s="11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4"/>
      <c r="BT134" s="114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4"/>
      <c r="T135" s="11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4"/>
      <c r="BT135" s="114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4"/>
      <c r="T136" s="11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4"/>
      <c r="BT136" s="114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4"/>
      <c r="T137" s="11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4"/>
      <c r="BT137" s="114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4"/>
      <c r="T138" s="11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4"/>
      <c r="BT138" s="114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4"/>
      <c r="T139" s="11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4"/>
      <c r="BT139" s="114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4"/>
      <c r="T140" s="11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4"/>
      <c r="BT140" s="114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4"/>
      <c r="T141" s="11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4"/>
      <c r="BT141" s="114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4"/>
      <c r="T142" s="11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4"/>
      <c r="BT142" s="114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4"/>
      <c r="T143" s="11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4"/>
      <c r="BT143" s="114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4"/>
      <c r="T144" s="11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4"/>
      <c r="BT144" s="114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4"/>
      <c r="T145" s="11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4"/>
      <c r="BT145" s="114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4"/>
      <c r="T146" s="11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4"/>
      <c r="BT146" s="114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4"/>
      <c r="T147" s="11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4"/>
      <c r="BT147" s="114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4"/>
      <c r="T148" s="11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4"/>
      <c r="BT148" s="114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4"/>
      <c r="T149" s="11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4"/>
      <c r="BT149" s="114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4"/>
      <c r="T150" s="11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4"/>
      <c r="BT150" s="114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4"/>
      <c r="T151" s="11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4"/>
      <c r="BT151" s="114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4"/>
      <c r="T152" s="11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4"/>
      <c r="BT152" s="114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4"/>
      <c r="T153" s="11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4"/>
      <c r="BT153" s="114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4"/>
      <c r="T154" s="11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4"/>
      <c r="BT154" s="114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4"/>
      <c r="T155" s="11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4"/>
      <c r="BT155" s="114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4"/>
      <c r="T156" s="11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4"/>
      <c r="BT156" s="114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4"/>
      <c r="T157" s="11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4"/>
      <c r="BT157" s="114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4"/>
      <c r="T158" s="11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4"/>
      <c r="BT158" s="114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4"/>
      <c r="T159" s="11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4"/>
      <c r="BT159" s="114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4"/>
      <c r="T160" s="11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4"/>
      <c r="BT160" s="114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4"/>
      <c r="T161" s="11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4"/>
      <c r="BT161" s="114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4"/>
      <c r="T162" s="11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4"/>
      <c r="BT162" s="114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4"/>
      <c r="T163" s="11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4"/>
      <c r="BT163" s="114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4"/>
      <c r="T164" s="11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4"/>
      <c r="BT164" s="114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4"/>
      <c r="T165" s="11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4"/>
      <c r="BT165" s="114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4"/>
      <c r="T166" s="11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4"/>
      <c r="BT166" s="114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4"/>
      <c r="T167" s="11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4"/>
      <c r="BT167" s="114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4"/>
      <c r="T168" s="11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4"/>
      <c r="BT168" s="114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4"/>
      <c r="T169" s="11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4"/>
      <c r="BT169" s="114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4"/>
      <c r="T170" s="11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4"/>
      <c r="BT170" s="114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4"/>
      <c r="T171" s="11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4"/>
      <c r="BT171" s="114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4"/>
      <c r="T172" s="11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4"/>
      <c r="BT172" s="114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4"/>
      <c r="T173" s="11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4"/>
      <c r="BT173" s="114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4"/>
      <c r="T174" s="11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4"/>
      <c r="BT174" s="114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4"/>
      <c r="T175" s="11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4"/>
      <c r="BT175" s="114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4"/>
      <c r="T176" s="11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4"/>
      <c r="BT176" s="114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4"/>
      <c r="T177" s="11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4"/>
      <c r="BT177" s="114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4"/>
      <c r="T178" s="11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4"/>
      <c r="BT178" s="114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4"/>
      <c r="T179" s="11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4"/>
      <c r="BT179" s="114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4"/>
      <c r="T180" s="11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4"/>
      <c r="BT180" s="114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4"/>
      <c r="T181" s="11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4"/>
      <c r="BT181" s="114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4"/>
      <c r="T182" s="11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4"/>
      <c r="BT182" s="114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4"/>
      <c r="T183" s="11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4"/>
      <c r="BT183" s="114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4"/>
      <c r="T184" s="11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4"/>
      <c r="BT184" s="114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4"/>
      <c r="T185" s="11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4"/>
      <c r="BT185" s="114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4"/>
      <c r="T186" s="11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4"/>
      <c r="BT186" s="114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4"/>
      <c r="T187" s="11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4"/>
      <c r="BT187" s="114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4"/>
      <c r="T188" s="11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4"/>
      <c r="BT188" s="114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4"/>
      <c r="T189" s="11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4"/>
      <c r="BT189" s="114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4"/>
      <c r="T190" s="11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4"/>
      <c r="BT190" s="114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4"/>
      <c r="T191" s="11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4"/>
      <c r="BT191" s="114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4"/>
      <c r="T192" s="11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4"/>
      <c r="BT192" s="114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4"/>
      <c r="T193" s="11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4"/>
      <c r="BT193" s="114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4"/>
      <c r="T194" s="11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4"/>
      <c r="BT194" s="114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4"/>
      <c r="T195" s="11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4"/>
      <c r="BT195" s="114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4"/>
      <c r="T196" s="11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4"/>
      <c r="BT196" s="114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4"/>
      <c r="T197" s="11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4"/>
      <c r="BT197" s="114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4"/>
      <c r="T198" s="11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4"/>
      <c r="BT198" s="114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4"/>
      <c r="T199" s="11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4"/>
      <c r="BT199" s="114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4"/>
      <c r="T200" s="11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4"/>
      <c r="BT200" s="114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5"/>
      <c r="T201" s="11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5"/>
      <c r="BT201" s="115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34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168</v>
      </c>
      <c r="H1" s="87"/>
      <c r="I1" s="88"/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P1" s="85"/>
      <c r="Q1" s="1" t="s">
        <v>174</v>
      </c>
      <c r="R1" s="1" t="s">
        <v>175</v>
      </c>
      <c r="S1" s="1" t="s">
        <v>176</v>
      </c>
      <c r="T1" s="1" t="s">
        <v>177</v>
      </c>
      <c r="V1" s="85"/>
      <c r="W1" s="1" t="s">
        <v>178</v>
      </c>
      <c r="X1" s="1" t="s">
        <v>179</v>
      </c>
      <c r="Y1" s="1" t="s">
        <v>180</v>
      </c>
      <c r="Z1" s="1" t="s">
        <v>181</v>
      </c>
      <c r="AB1" s="85"/>
      <c r="AC1" s="1" t="s">
        <v>159</v>
      </c>
      <c r="AD1" s="1" t="s">
        <v>182</v>
      </c>
      <c r="AE1" s="1" t="s">
        <v>183</v>
      </c>
      <c r="AF1" s="1" t="s">
        <v>184</v>
      </c>
      <c r="AG1" s="1" t="s">
        <v>185</v>
      </c>
      <c r="AI1" s="87"/>
      <c r="AJ1" s="116" t="s">
        <v>186</v>
      </c>
      <c r="AK1" s="116"/>
      <c r="AL1" s="1" t="s">
        <v>40</v>
      </c>
      <c r="AM1" s="1" t="s">
        <v>1</v>
      </c>
      <c r="AN1" s="1" t="s">
        <v>44</v>
      </c>
      <c r="AO1" s="1" t="str">
        <f>Present_Effect_size_measure</f>
        <v>Odds Ratio</v>
      </c>
      <c r="AP1" s="1" t="s">
        <v>48</v>
      </c>
      <c r="AQ1" s="1" t="s">
        <v>51</v>
      </c>
      <c r="AR1" s="1" t="str">
        <f>IF(Present_Effect_size_measure="Risk Difference","Standard error","Standard error log")</f>
        <v>Standard error log</v>
      </c>
      <c r="AS1" s="1" t="s">
        <v>35</v>
      </c>
      <c r="AT1" s="1" t="s">
        <v>36</v>
      </c>
      <c r="AU1" s="1" t="s">
        <v>37</v>
      </c>
      <c r="AW1" s="1" t="str">
        <f>Present_Effect_size_measure</f>
        <v>Odds Ratio</v>
      </c>
      <c r="AX1" s="1" t="s">
        <v>187</v>
      </c>
      <c r="AY1" s="1" t="s">
        <v>188</v>
      </c>
      <c r="BA1" s="116" t="s">
        <v>189</v>
      </c>
      <c r="BB1" s="116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103</v>
      </c>
      <c r="BH1" s="1" t="s">
        <v>48</v>
      </c>
      <c r="BI1" s="1" t="s">
        <v>51</v>
      </c>
      <c r="BJ1" s="1" t="s">
        <v>111</v>
      </c>
      <c r="BL1" s="116" t="s">
        <v>58</v>
      </c>
      <c r="BM1" s="116"/>
      <c r="BO1" s="85"/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48</v>
      </c>
      <c r="BW1" s="1" t="s">
        <v>196</v>
      </c>
      <c r="BX1" s="1" t="s">
        <v>51</v>
      </c>
      <c r="BY1" s="1" t="s">
        <v>111</v>
      </c>
      <c r="BZ1" s="11"/>
      <c r="CA1" s="116" t="s">
        <v>58</v>
      </c>
      <c r="CB1" s="116"/>
      <c r="CD1" s="85"/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48</v>
      </c>
      <c r="CJ1" s="1" t="s">
        <v>51</v>
      </c>
      <c r="CK1" s="1" t="s">
        <v>111</v>
      </c>
      <c r="CM1" s="116" t="s">
        <v>58</v>
      </c>
      <c r="CN1" s="116"/>
      <c r="CP1" s="85"/>
      <c r="CQ1" s="1" t="s">
        <v>201</v>
      </c>
      <c r="CS1" s="116" t="s">
        <v>50</v>
      </c>
      <c r="CT1" s="116"/>
      <c r="CU1" s="116"/>
      <c r="CV1" s="116"/>
      <c r="CX1" s="87"/>
      <c r="CY1" s="1" t="s">
        <v>202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48</v>
      </c>
      <c r="DE1" s="1" t="s">
        <v>203</v>
      </c>
      <c r="DF1" s="1" t="s">
        <v>204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205</v>
      </c>
      <c r="DI1" s="1" t="s">
        <v>206</v>
      </c>
      <c r="DJ1" s="1" t="s">
        <v>111</v>
      </c>
      <c r="DL1" s="1" t="str">
        <f>Subgroup_effect_size_measure</f>
        <v>Odds Ratio</v>
      </c>
      <c r="DM1" s="1" t="s">
        <v>187</v>
      </c>
      <c r="DN1" s="1" t="s">
        <v>188</v>
      </c>
      <c r="DP1" s="1" t="s">
        <v>207</v>
      </c>
      <c r="DQ1" s="1" t="s">
        <v>10</v>
      </c>
      <c r="DR1" s="1" t="s">
        <v>34</v>
      </c>
      <c r="DS1" s="1" t="s">
        <v>208</v>
      </c>
      <c r="DT1" s="1" t="s">
        <v>67</v>
      </c>
      <c r="DU1" s="1" t="s">
        <v>76</v>
      </c>
      <c r="DV1" s="1" t="s">
        <v>77</v>
      </c>
      <c r="DW1" s="1" t="s">
        <v>209</v>
      </c>
      <c r="DX1" s="1" t="s">
        <v>78</v>
      </c>
      <c r="DY1" s="1" t="s">
        <v>79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210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211</v>
      </c>
      <c r="EI1" s="1" t="s">
        <v>212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213</v>
      </c>
      <c r="EO1" s="1" t="s">
        <v>214</v>
      </c>
      <c r="EP1" s="1" t="str">
        <f>IF(Within_subgroup_weighting=EX38,"Sum of squares (Q)","Sum of squares (Q*)")</f>
        <v>Sum of squares (Q*)</v>
      </c>
      <c r="EQ1" s="1" t="s">
        <v>189</v>
      </c>
      <c r="ER1" s="18" t="s">
        <v>215</v>
      </c>
      <c r="ES1" s="1" t="s">
        <v>48</v>
      </c>
      <c r="ET1" s="1" t="s">
        <v>216</v>
      </c>
      <c r="EU1" s="1" t="s">
        <v>217</v>
      </c>
      <c r="EV1" s="1" t="s">
        <v>111</v>
      </c>
      <c r="EX1" s="1" t="s">
        <v>112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218</v>
      </c>
      <c r="FE1" s="1" t="s">
        <v>48</v>
      </c>
      <c r="FF1" s="1" t="s">
        <v>219</v>
      </c>
      <c r="FG1" s="1" t="s">
        <v>220</v>
      </c>
      <c r="FH1" s="1" t="s">
        <v>221</v>
      </c>
      <c r="FJ1" s="1" t="s">
        <v>37</v>
      </c>
      <c r="FK1" s="1" t="s">
        <v>222</v>
      </c>
      <c r="FL1" s="1" t="s">
        <v>220</v>
      </c>
      <c r="FM1" s="1" t="s">
        <v>223</v>
      </c>
      <c r="FO1" s="1" t="s">
        <v>156</v>
      </c>
      <c r="FP1" s="1"/>
      <c r="FR1" s="87"/>
      <c r="FS1" s="88"/>
      <c r="FT1" s="1" t="s">
        <v>48</v>
      </c>
      <c r="FU1" s="1" t="s">
        <v>37</v>
      </c>
      <c r="FV1" s="1" t="s">
        <v>224</v>
      </c>
      <c r="FW1" s="1" t="s">
        <v>225</v>
      </c>
      <c r="FX1" s="1" t="s">
        <v>226</v>
      </c>
      <c r="FY1" s="1" t="s">
        <v>61</v>
      </c>
      <c r="FZ1" s="1" t="s">
        <v>227</v>
      </c>
      <c r="GA1" s="1" t="s">
        <v>228</v>
      </c>
      <c r="GB1" s="1" t="s">
        <v>229</v>
      </c>
      <c r="GC1" s="1" t="s">
        <v>230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6" t="s">
        <v>231</v>
      </c>
      <c r="GH1" s="116"/>
      <c r="GI1" s="116"/>
      <c r="GK1" s="85"/>
      <c r="GL1" s="1" t="s">
        <v>232</v>
      </c>
      <c r="GM1" s="1" t="s">
        <v>233</v>
      </c>
      <c r="GN1" s="1" t="s">
        <v>234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V1" s="116" t="s">
        <v>241</v>
      </c>
      <c r="GW1" s="116"/>
      <c r="GY1" s="1" t="s">
        <v>242</v>
      </c>
      <c r="GZ1" s="1" t="s">
        <v>243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244</v>
      </c>
      <c r="HD1" s="1" t="s">
        <v>37</v>
      </c>
      <c r="HE1" s="1" t="s">
        <v>111</v>
      </c>
      <c r="HG1" s="1" t="s">
        <v>245</v>
      </c>
      <c r="HH1" s="1" t="str">
        <f>HA1</f>
        <v>Log Odds Ratio</v>
      </c>
      <c r="HI1" s="1" t="str">
        <f>HB1</f>
        <v>SE Log Odds Ratio</v>
      </c>
      <c r="HK1" s="85"/>
      <c r="HL1" s="1" t="s">
        <v>246</v>
      </c>
      <c r="HM1" s="1" t="s">
        <v>247</v>
      </c>
      <c r="HO1" s="85"/>
      <c r="HP1" s="1" t="s">
        <v>248</v>
      </c>
      <c r="HQ1" s="1" t="s">
        <v>249</v>
      </c>
      <c r="HR1" s="1" t="s">
        <v>250</v>
      </c>
      <c r="HS1" s="1" t="s">
        <v>251</v>
      </c>
      <c r="HT1" s="1" t="s">
        <v>252</v>
      </c>
      <c r="HU1" s="1" t="s">
        <v>253</v>
      </c>
      <c r="HW1" s="85"/>
      <c r="HX1" s="1" t="s">
        <v>254</v>
      </c>
      <c r="HY1" s="1" t="s">
        <v>255</v>
      </c>
      <c r="HZ1" s="1" t="s">
        <v>256</v>
      </c>
      <c r="IB1" s="85"/>
      <c r="IC1" s="1" t="s">
        <v>119</v>
      </c>
      <c r="ID1" s="1" t="s">
        <v>118</v>
      </c>
      <c r="IE1" s="1" t="s">
        <v>48</v>
      </c>
      <c r="IF1" s="1" t="s">
        <v>257</v>
      </c>
      <c r="IH1" s="116" t="s">
        <v>258</v>
      </c>
      <c r="II1" s="116"/>
      <c r="IK1" s="85"/>
      <c r="IL1" s="1" t="s">
        <v>259</v>
      </c>
      <c r="IM1" s="1" t="s">
        <v>260</v>
      </c>
      <c r="IN1" s="1" t="s">
        <v>246</v>
      </c>
      <c r="IO1" s="1" t="s">
        <v>247</v>
      </c>
      <c r="IQ1" s="116" t="s">
        <v>261</v>
      </c>
      <c r="IR1" s="116"/>
      <c r="IS1" s="116"/>
      <c r="IU1" s="85"/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247</v>
      </c>
      <c r="JC1" s="116" t="s">
        <v>261</v>
      </c>
      <c r="JD1" s="116"/>
      <c r="JE1" s="116"/>
      <c r="JG1" s="85"/>
      <c r="JH1" s="1" t="s">
        <v>121</v>
      </c>
      <c r="JI1" s="1" t="s">
        <v>107</v>
      </c>
      <c r="JJ1" s="1" t="s">
        <v>267</v>
      </c>
    </row>
    <row r="2" spans="1:270" ht="13.5" customHeight="1" x14ac:dyDescent="0.35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3" t="s">
        <v>268</v>
      </c>
      <c r="I2" s="127" t="s">
        <v>50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14" t="s">
        <v>269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14" t="s">
        <v>178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14" t="s">
        <v>159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3" t="s">
        <v>270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271</v>
      </c>
      <c r="BB2" s="3">
        <f>'Forest Plot'!$B$16</f>
        <v>1.0300590281572417</v>
      </c>
      <c r="BD2" s="133" t="s">
        <v>272</v>
      </c>
      <c r="BE2" s="127" t="s">
        <v>273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2.9616109489978643E-2</v>
      </c>
      <c r="BO2" s="114" t="s">
        <v>274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275</v>
      </c>
      <c r="CB2" s="3">
        <f>LN(CES_OddsRatio_MH)</f>
        <v>2.9618732637233674E-2</v>
      </c>
      <c r="CD2" s="114" t="s">
        <v>276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277</v>
      </c>
      <c r="CN2" s="3">
        <f>IF(Meta_analysis_model="Fixed effect model",SUMPRODUCT(Weightf_Peto,LogPetoOddsRatio)/SUM(Weightf_Peto),SUMPRODUCT(Weight_Peto,LogPetoOddsRatio)/SUM(Weight_Peto))</f>
        <v>2.9749410163502642E-2</v>
      </c>
      <c r="CP2" s="114" t="s">
        <v>278</v>
      </c>
      <c r="CQ2" s="51" t="str">
        <f t="shared" ref="CQ2:CQ33" si="52">IF(AND(Sufficient_data="Yes",Include_study?="Yes"),c_/(c_+d_),"")</f>
        <v/>
      </c>
      <c r="CS2" s="2"/>
      <c r="CT2" s="2" t="s">
        <v>47</v>
      </c>
      <c r="CU2" s="2" t="s">
        <v>71</v>
      </c>
      <c r="CV2" s="2" t="s">
        <v>72</v>
      </c>
      <c r="CX2" s="133" t="s">
        <v>279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3" t="s">
        <v>280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112</v>
      </c>
      <c r="FP2" s="3" t="e">
        <f>SUMPRODUCT('Moderator Analysis'!F:F,Calculations!FE:FE)/SUM(Calculations!FE:FE)</f>
        <v>#DIV/0!</v>
      </c>
      <c r="FR2" s="133" t="s">
        <v>281</v>
      </c>
      <c r="FS2" s="127" t="s">
        <v>125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282</v>
      </c>
      <c r="GH2" s="2" t="s">
        <v>252</v>
      </c>
      <c r="GI2" s="2" t="s">
        <v>253</v>
      </c>
      <c r="GK2" s="114" t="s">
        <v>283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31" t="s">
        <v>112</v>
      </c>
      <c r="GW2" s="131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4" t="s">
        <v>116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14" t="s">
        <v>284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14" t="s">
        <v>128</v>
      </c>
      <c r="HX2" s="20">
        <v>1</v>
      </c>
      <c r="HY2" s="3"/>
      <c r="HZ2" s="34">
        <f>HZ3-HY14</f>
        <v>-1.4</v>
      </c>
      <c r="IB2" s="114" t="s">
        <v>285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252</v>
      </c>
      <c r="II2" s="2" t="s">
        <v>253</v>
      </c>
      <c r="IK2" s="114" t="s">
        <v>130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286</v>
      </c>
      <c r="IR2" s="2" t="s">
        <v>252</v>
      </c>
      <c r="IS2" s="2" t="s">
        <v>253</v>
      </c>
      <c r="IU2" s="114" t="s">
        <v>131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287</v>
      </c>
      <c r="JD2" s="2" t="s">
        <v>252</v>
      </c>
      <c r="JE2" s="2" t="s">
        <v>253</v>
      </c>
      <c r="JG2" s="114" t="s">
        <v>133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3" x14ac:dyDescent="0.3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3"/>
      <c r="I3" s="127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14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14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14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3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288</v>
      </c>
      <c r="BB3" s="6">
        <f>IF(BB2&lt;&gt;"",MAX(Entry_number)+1,"")</f>
        <v>8</v>
      </c>
      <c r="BD3" s="133"/>
      <c r="BE3" s="127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7.286136711238908E-2</v>
      </c>
      <c r="BO3" s="114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289</v>
      </c>
      <c r="CB3" s="3">
        <f>IF(Meta_analysis_model="Fixed effect model",0.5*(SUM(BR:BR)/SUM(BP:BP)^2+(SUM(BS:BS)+SUM(BT:BT))/(SUM(BP:BP)*SUM(BQ:BQ))+SUM(BU:BU)/SUM(BQ:BQ)^2),SUMPRODUCT(Weight_MH,BY:BY,BY:BY)/((k_-1)*SUM(Weight_MH)))</f>
        <v>5.3087952731926845E-3</v>
      </c>
      <c r="CD3" s="114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289</v>
      </c>
      <c r="CN3" s="3">
        <f>IF(Meta_analysis_model="Fixed effect model",1/SUM(Weightf_Peto),SUMPRODUCT(Weight_Peto,CK:CK,CK:CK)/((k_-1)*SUM(Weight_Peto)))</f>
        <v>5.2839572132157816E-3</v>
      </c>
      <c r="CP3" s="114"/>
      <c r="CQ3" s="52" t="str">
        <f t="shared" si="52"/>
        <v/>
      </c>
      <c r="CS3" s="2" t="s">
        <v>290</v>
      </c>
      <c r="CT3" s="3">
        <f>IF(Weighting_method="Inverse variance",IF(Model_effect_size_measure="Odds Ratio",CES_IV,NA()),NA())</f>
        <v>1.0300590281572417</v>
      </c>
      <c r="CU3" s="3">
        <f>IF(Model_effect_size_measure="Odds Ratio",CES_OddsRatio_MH,NA())</f>
        <v>1.0300617301572979</v>
      </c>
      <c r="CV3" s="3" t="e">
        <f>IF(Model_effect_size_measure="Peto Odds Ratio",CES_PetoOddsRatio,NA())</f>
        <v>#N/A</v>
      </c>
      <c r="CX3" s="133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3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291</v>
      </c>
      <c r="FP3" s="3" t="str">
        <f>IF(SUM(Moderator)&lt;&gt;0,SUMPRODUCT(Moderator,FE:FE)/SUM(Calculations!FE:FE),"")</f>
        <v/>
      </c>
      <c r="FR3" s="133"/>
      <c r="FS3" s="127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292</v>
      </c>
      <c r="GH3" s="3">
        <f>IF(Additional_valid_options="Yes",IF(Trim_and_fill="Off",'Publication Bias Analysis'!I29,'Publication Bias Analysis'!I37)-ABS(TINV((1-Additional_confidence_level),k_-1))*GI3,"")</f>
        <v>-0.59391424909185053</v>
      </c>
      <c r="GI3" s="3">
        <f>IF(Trim_and_fill="Off",GH17,GH22)</f>
        <v>0.25467715746891151</v>
      </c>
      <c r="GK3" s="114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2.9258305734742408E-2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4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14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14"/>
      <c r="HX3" s="20">
        <v>2</v>
      </c>
      <c r="HY3" s="3">
        <f t="shared" ref="HY3:HY10" si="123">HZ2</f>
        <v>-1.4</v>
      </c>
      <c r="HZ3" s="35">
        <f>HZ4-HY14</f>
        <v>-1</v>
      </c>
      <c r="IB3" s="114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14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108</v>
      </c>
      <c r="IR3" s="3">
        <v>0</v>
      </c>
      <c r="IS3" s="3">
        <v>0</v>
      </c>
      <c r="IU3" s="114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255</v>
      </c>
      <c r="JD3" s="3">
        <f>MIN('Publication Bias Analysis'!BF:BF)</f>
        <v>-1.3351777361189361</v>
      </c>
      <c r="JE3" s="3">
        <f>'Publication Bias Analysis'!BJ$30+JD3*'Publication Bias Analysis'!BJ$31</f>
        <v>-1.3745787317254707</v>
      </c>
      <c r="JG3" s="114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3"/>
      <c r="I4" s="127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14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14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14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3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293</v>
      </c>
      <c r="BB4" s="3">
        <f>'Forest Plot'!$B$16-CES_CI_Lower_limit</f>
        <v>0.16820488765288122</v>
      </c>
      <c r="BD4" s="133"/>
      <c r="BE4" s="127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-0.14866923318795047</v>
      </c>
      <c r="BO4" s="114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294</v>
      </c>
      <c r="CB4" s="3">
        <f>SQRT(VarlnCES_MH)</f>
        <v>7.2861480037072296E-2</v>
      </c>
      <c r="CD4" s="114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294</v>
      </c>
      <c r="CN4" s="3">
        <f>SQRT(VarlnCES_Peto)</f>
        <v>7.2690833075538364E-2</v>
      </c>
      <c r="CP4" s="114"/>
      <c r="CQ4" s="52" t="str">
        <f t="shared" si="52"/>
        <v/>
      </c>
      <c r="CS4" s="2" t="s">
        <v>104</v>
      </c>
      <c r="CT4" s="3">
        <f>IF(Weighting_method="Inverse variance",IF(Model_effect_size_measure="Odds Ratio",CICES_LL,""),"")</f>
        <v>0.86185414050436049</v>
      </c>
      <c r="CU4" s="3">
        <f>IF(Model_effect_size_measure="Odds Ratio",CICES_LL_MH,"")</f>
        <v>0.86185616313232549</v>
      </c>
      <c r="CV4" s="3" t="str">
        <f>IF(Model_effect_size_measure="Peto Odds Ratio",CICES_LL_Peto,"")</f>
        <v/>
      </c>
      <c r="CX4" s="133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3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135</v>
      </c>
      <c r="FP4" s="3" t="str">
        <f>IF(FP3&lt;&gt;"",SUMPRODUCT(FF:FF,FG:FG,FE:FE)/SUMPRODUCT(FG:FG,FG:FG,FE:FE),"")</f>
        <v/>
      </c>
      <c r="FR4" s="133"/>
      <c r="FS4" s="127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286</v>
      </c>
      <c r="GH4" s="3">
        <f>IF(Trim_and_fill="Off",'Publication Bias Analysis'!I29,'Publication Bias Analysis'!I37)</f>
        <v>2.9258305734742408E-2</v>
      </c>
      <c r="GI4" s="3">
        <v>0</v>
      </c>
      <c r="GK4" s="114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6" t="s">
        <v>66</v>
      </c>
      <c r="GW4" s="116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4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14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14"/>
      <c r="HX4" s="20">
        <v>3</v>
      </c>
      <c r="HY4" s="3">
        <f t="shared" si="123"/>
        <v>-1</v>
      </c>
      <c r="HZ4" s="35">
        <f>HZ5-HY14</f>
        <v>-0.60000000000000009</v>
      </c>
      <c r="IB4" s="114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6.8005354752342706E-2</v>
      </c>
      <c r="II4" s="3">
        <f>MAX('Publication Bias Analysis'!AH:AH)</f>
        <v>6.8005354752342706E-2</v>
      </c>
      <c r="IK4" s="114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295</v>
      </c>
      <c r="IR4" s="3">
        <f>MAX(Inverse_standard_error)</f>
        <v>5.8373415375954094</v>
      </c>
      <c r="IS4" s="3">
        <f>IR4*'Publication Bias Analysis'!AY31</f>
        <v>0.17079072338507784</v>
      </c>
      <c r="IU4" s="114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256</v>
      </c>
      <c r="JD4" s="3">
        <f>MAX('Publication Bias Analysis'!BF:BF)</f>
        <v>1.3351777361189372</v>
      </c>
      <c r="JE4" s="3">
        <f>'Publication Bias Analysis'!BJ$30+JD4*'Publication Bias Analysis'!BJ$31</f>
        <v>1.7054345224121679</v>
      </c>
      <c r="JG4" s="114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33"/>
      <c r="I5" s="127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4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4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4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33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296</v>
      </c>
      <c r="BB5" s="3">
        <f>CES_CI_Upper_limit-'Forest Plot'!$B$16</f>
        <v>0.20103281398129846</v>
      </c>
      <c r="BD5" s="133"/>
      <c r="BE5" s="127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0.20790145216790776</v>
      </c>
      <c r="BO5" s="114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297</v>
      </c>
      <c r="CB5" s="3">
        <f>lnCES_OddsRatio_MH-ABS(TINV((1-Confidence_level),k_-1))*SElnCES_MH</f>
        <v>-0.1486668863574411</v>
      </c>
      <c r="CD5" s="114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297</v>
      </c>
      <c r="CN5" s="3">
        <f>lnCES_PetoOddsRatio-ABS(TINV((1-Confidence_level),k_-1))*SElnCES_Peto</f>
        <v>-0.14811865075863287</v>
      </c>
      <c r="CP5" s="114"/>
      <c r="CQ5" s="52" t="str">
        <f t="shared" si="52"/>
        <v/>
      </c>
      <c r="CS5" s="2" t="s">
        <v>105</v>
      </c>
      <c r="CT5" s="3">
        <f>IF(Weighting_method="Inverse variance",IF(Model_effect_size_measure="Odds Ratio",CICES_UL,""),"")</f>
        <v>1.2310918421385402</v>
      </c>
      <c r="CU5" s="3">
        <f>IF(Model_effect_size_measure="Odds Ratio",CICES_UL_MH,"")</f>
        <v>1.2310954116501927</v>
      </c>
      <c r="CV5" s="3" t="str">
        <f>IF(Model_effect_size_measure="Peto Odds Ratio",CICES_UL_Peto,"")</f>
        <v/>
      </c>
      <c r="CX5" s="133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3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108</v>
      </c>
      <c r="FP5" s="3" t="str">
        <f>IF(FP3&lt;&gt;"",FP2-FP3*FP4,"")</f>
        <v/>
      </c>
      <c r="FR5" s="133"/>
      <c r="FS5" s="127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298</v>
      </c>
      <c r="GH5" s="3">
        <f>IF(Additional_valid_options="Yes",IF(Trim_and_fill="Off",'Publication Bias Analysis'!I29,'Publication Bias Analysis'!I37)+ABS(TINV((1-Additional_confidence_level),k_-1))*GI3,"")</f>
        <v>0.65243086056133537</v>
      </c>
      <c r="GI5" s="3">
        <f>IF(Trim_and_fill="Off",GH17,GH22)</f>
        <v>0.25467715746891151</v>
      </c>
      <c r="GK5" s="114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67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6.7387650880213741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4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4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4"/>
      <c r="HX5" s="20">
        <v>4</v>
      </c>
      <c r="HY5" s="3">
        <f t="shared" si="123"/>
        <v>-0.60000000000000009</v>
      </c>
      <c r="HZ5" s="35">
        <f>HZ6-HY14</f>
        <v>-0.2</v>
      </c>
      <c r="IB5" s="114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6" t="s">
        <v>299</v>
      </c>
      <c r="II5" s="116"/>
      <c r="IK5" s="114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255</v>
      </c>
      <c r="IR5" s="2" t="s">
        <v>252</v>
      </c>
      <c r="IS5" s="2" t="s">
        <v>253</v>
      </c>
      <c r="IU5" s="114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300</v>
      </c>
      <c r="JD5" s="2" t="s">
        <v>252</v>
      </c>
      <c r="JE5" s="2" t="s">
        <v>253</v>
      </c>
      <c r="JG5" s="114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33"/>
      <c r="I6" s="127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4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4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4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33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301</v>
      </c>
      <c r="BB6" s="3">
        <f>'Forest Plot'!$B$16-CES_PI_Lower_limit</f>
        <v>0.217458798189191</v>
      </c>
      <c r="BD6" s="133"/>
      <c r="BE6" s="127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-0.20751601242578102</v>
      </c>
      <c r="BO6" s="114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302</v>
      </c>
      <c r="CB6" s="3">
        <f>lnCES_OddsRatio_MH+ABS(TINV((1-Confidence_level),k_-1))*SElnCES_MH</f>
        <v>0.20790435163190843</v>
      </c>
      <c r="CD6" s="114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302</v>
      </c>
      <c r="CN6" s="3">
        <f>lnCES_PetoOddsRatio+ABS(TINV((1-Confidence_level),k_-1))*SElnCES_Peto</f>
        <v>0.20761747108563813</v>
      </c>
      <c r="CP6" s="114"/>
      <c r="CQ6" s="52" t="str">
        <f t="shared" si="52"/>
        <v/>
      </c>
      <c r="CS6" s="2" t="s">
        <v>303</v>
      </c>
      <c r="CT6" s="3">
        <f>IF(Weighting_method="Inverse variance",IF(Model_effect_size_measure="Odds Ratio",PICES_LL,""),"")</f>
        <v>0.8126002299680507</v>
      </c>
      <c r="CU6" s="3">
        <f>IF(Model_effect_size_measure="Odds Ratio",PICES_LL_MH,"")</f>
        <v>0.81223233648423676</v>
      </c>
      <c r="CV6" s="3" t="str">
        <f>IF(Model_effect_size_measure="Peto Odds Ratio",PICES_LL_Peto,"")</f>
        <v/>
      </c>
      <c r="CX6" s="133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3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304</v>
      </c>
      <c r="FP6" s="3" t="str">
        <f>IF(FP3&lt;&gt;"",SUM(FH:FH),"")</f>
        <v/>
      </c>
      <c r="FR6" s="133"/>
      <c r="FS6" s="127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305</v>
      </c>
      <c r="GH6" s="2" t="s">
        <v>252</v>
      </c>
      <c r="GI6" s="2" t="s">
        <v>253</v>
      </c>
      <c r="GK6" s="114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155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4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4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4"/>
      <c r="HX6" s="20">
        <v>5</v>
      </c>
      <c r="HY6" s="3">
        <f t="shared" si="123"/>
        <v>-0.2</v>
      </c>
      <c r="HZ6" s="35">
        <f>1/2*HY14</f>
        <v>0.2</v>
      </c>
      <c r="IB6" s="114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4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108</v>
      </c>
      <c r="IR6" s="3">
        <v>0</v>
      </c>
      <c r="IS6" s="3">
        <f>ABS(TINV((1-Additional_confidence_level),k_-1))*-1</f>
        <v>-2.4469118511449688</v>
      </c>
      <c r="IU6" s="114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292</v>
      </c>
      <c r="JD6" s="3">
        <f>MIN('Publication Bias Analysis'!BF:BF)</f>
        <v>-1.3351777361189361</v>
      </c>
      <c r="JE6" s="3">
        <f>'Publication Bias Analysis'!BJ30</f>
        <v>0.16542789534334795</v>
      </c>
      <c r="JG6" s="114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3"/>
      <c r="I7" s="127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4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4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4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3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306</v>
      </c>
      <c r="BB7" s="3">
        <f>CES_PI_Upper_limit-'Forest Plot'!$B$16</f>
        <v>0.27565263959598796</v>
      </c>
      <c r="BD7" s="133"/>
      <c r="BE7" s="127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0.26674823140573833</v>
      </c>
      <c r="BO7" s="114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307</v>
      </c>
      <c r="CB7" s="3">
        <f>lnCES_OddsRatio_MH-ABS(TINV((1-Confidence_level),k_-1))*SQRT(T2_MH+SElnCES_MH^2)</f>
        <v>-0.20796885107229332</v>
      </c>
      <c r="CD7" s="114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307</v>
      </c>
      <c r="CN7" s="3">
        <f>lnCES_PetoOddsRatio-ABS(TINV((1-Confidence_level),k_-1))*SQRT(T2_Peto+SElnCES_Peto^2)</f>
        <v>-0.20845338853083062</v>
      </c>
      <c r="CP7" s="114"/>
      <c r="CQ7" s="52" t="str">
        <f t="shared" si="52"/>
        <v/>
      </c>
      <c r="CS7" s="2" t="s">
        <v>308</v>
      </c>
      <c r="CT7" s="3">
        <f>IF(Weighting_method="Inverse variance",IF(Model_effect_size_measure="Odds Ratio",PICES_UL,""),"")</f>
        <v>1.3057116677532297</v>
      </c>
      <c r="CU7" s="3">
        <f>IF(Model_effect_size_measure="Odds Ratio",PICES_UL_MH,"")</f>
        <v>1.3063099316229176</v>
      </c>
      <c r="CV7" s="3" t="str">
        <f>IF(Model_effect_size_measure="Peto Odds Ratio",PICES_UL_Peto,"")</f>
        <v/>
      </c>
      <c r="CX7" s="133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3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113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3"/>
      <c r="FS7" s="127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255</v>
      </c>
      <c r="GH7" s="3">
        <f>IF(Trim_and_fill="Off",'Publication Bias Analysis'!I29,'Publication Bias Analysis'!I37)</f>
        <v>2.9258305734742408E-2</v>
      </c>
      <c r="GI7" s="3">
        <v>0</v>
      </c>
      <c r="GK7" s="114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309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4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4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4"/>
      <c r="HX7" s="20">
        <v>6</v>
      </c>
      <c r="HY7" s="3">
        <f t="shared" si="123"/>
        <v>0.2</v>
      </c>
      <c r="HZ7" s="35">
        <f>HZ6+HY14</f>
        <v>0.60000000000000009</v>
      </c>
      <c r="IB7" s="114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6.8005354752342706E-2</v>
      </c>
      <c r="II7" s="3">
        <f>EXP(SUMPRODUCT(LogRiskRatio,IE:IE)/SUM(IE:IE))*MAX('Publication Bias Analysis'!AH:AH)</f>
        <v>6.992469854462946E-2</v>
      </c>
      <c r="IK7" s="114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295</v>
      </c>
      <c r="IR7" s="3">
        <f>MAX(Inverse_standard_error)</f>
        <v>5.8373415375954094</v>
      </c>
      <c r="IS7" s="3">
        <f>IR7*'Publication Bias Analysis'!AY31+IS6</f>
        <v>-2.2761211277598909</v>
      </c>
      <c r="IU7" s="114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298</v>
      </c>
      <c r="JD7" s="3">
        <f>MAX('Publication Bias Analysis'!BF:BF)</f>
        <v>1.3351777361189372</v>
      </c>
      <c r="JE7" s="3">
        <f>'Publication Bias Analysis'!BJ30</f>
        <v>0.16542789534334795</v>
      </c>
      <c r="JG7" s="114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3"/>
      <c r="I8" s="127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4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4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4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3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310</v>
      </c>
      <c r="BB8" s="9">
        <f>IF(BB2&lt;&gt;"",MAX(Weight_lookup),"")</f>
        <v>0.15902847448999977</v>
      </c>
      <c r="BD8" s="133"/>
      <c r="BE8" s="127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4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311</v>
      </c>
      <c r="CB8" s="3">
        <f>lnCES_OddsRatio_MH+ABS(TINV((1-Confidence_level),k_-1))*SQRT(T2_MH+SElnCES_MH^2)</f>
        <v>0.26720631634676068</v>
      </c>
      <c r="CD8" s="114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311</v>
      </c>
      <c r="CN8" s="3">
        <f>lnCES_PetoOddsRatio+ABS(TINV((1-Confidence_level),k_-1))*SQRT(T2_Peto+SElnCES_Peto^2)</f>
        <v>0.26795220885783588</v>
      </c>
      <c r="CP8" s="114"/>
      <c r="CQ8" s="52" t="str">
        <f t="shared" si="52"/>
        <v/>
      </c>
      <c r="CX8" s="133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3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312</v>
      </c>
      <c r="FP8" s="6">
        <f>COUNTIFS(Include_study?,"Yes",Sufficient_data,"Yes",Moderator,"&lt;&gt;")</f>
        <v>0</v>
      </c>
      <c r="FR8" s="133"/>
      <c r="FS8" s="127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256</v>
      </c>
      <c r="GH8" s="3">
        <f>IF(Trim_and_fill="Off",'Publication Bias Analysis'!I29,'Publication Bias Analysis'!I37)</f>
        <v>2.9258305734742408E-2</v>
      </c>
      <c r="GI8" s="3">
        <f>IF(Trim_and_fill="Off",GH17,GH22)</f>
        <v>0.25467715746891151</v>
      </c>
      <c r="GK8" s="114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4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4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4"/>
      <c r="HX8" s="20">
        <v>7</v>
      </c>
      <c r="HY8" s="3">
        <f t="shared" si="123"/>
        <v>0.60000000000000009</v>
      </c>
      <c r="HZ8" s="35">
        <f>HZ7+HY14</f>
        <v>1</v>
      </c>
      <c r="IB8" s="114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4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256</v>
      </c>
      <c r="IR8" s="2" t="s">
        <v>252</v>
      </c>
      <c r="IS8" s="2" t="s">
        <v>253</v>
      </c>
      <c r="IU8" s="114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4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3"/>
      <c r="I9" s="127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4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4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4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3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3"/>
      <c r="BE9" s="127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1.0300590281572417</v>
      </c>
      <c r="BO9" s="114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4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4"/>
      <c r="CQ9" s="52" t="str">
        <f t="shared" si="52"/>
        <v/>
      </c>
      <c r="CS9" s="116" t="s">
        <v>159</v>
      </c>
      <c r="CT9" s="116"/>
      <c r="CU9" s="116"/>
      <c r="CV9" s="116"/>
      <c r="CX9" s="133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3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3"/>
      <c r="FS9" s="127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4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6" t="s">
        <v>112</v>
      </c>
      <c r="GW9" s="116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4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4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4"/>
      <c r="HX9" s="20">
        <v>8</v>
      </c>
      <c r="HY9" s="3">
        <f t="shared" si="123"/>
        <v>1</v>
      </c>
      <c r="HZ9" s="35">
        <f>HZ8+HY14</f>
        <v>1.4</v>
      </c>
      <c r="IB9" s="114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4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108</v>
      </c>
      <c r="IR9" s="3">
        <v>0</v>
      </c>
      <c r="IS9" s="3">
        <f>ABS(TINV((1-Additional_confidence_level),k_-1))</f>
        <v>2.4469118511449688</v>
      </c>
      <c r="IU9" s="114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4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>
        <f t="shared" si="0"/>
        <v>1</v>
      </c>
      <c r="B10" s="6">
        <f>IF(AND(Include_study?="Yes",Sufficient_data="Yes"),IF(Input!a_&lt;&gt;"",Input!a_,Input!n1_-Input!b_),"")</f>
        <v>44.45</v>
      </c>
      <c r="C10" s="6">
        <f>IF(AND(Include_study?="Yes",Sufficient_data="Yes"),IF(Input!b_&lt;&gt;"",Input!b_,Input!n1_-Input!a_),"")</f>
        <v>702.55</v>
      </c>
      <c r="D10" s="6">
        <f>IF(AND(Include_study?="Yes",Sufficient_data="Yes"),IF(Input!c_&lt;&gt;"",Input!c_,Input!n2_-Input!d_),"")</f>
        <v>50.8</v>
      </c>
      <c r="E10" s="6">
        <f>IF(AND(Include_study?="Yes",Sufficient_data="Yes"),IF(Input!d_&lt;&gt;"",Input!d_,Input!n2_-Input!c_),"")</f>
        <v>696.2</v>
      </c>
      <c r="F10" s="35" t="str">
        <f t="shared" si="1"/>
        <v>No</v>
      </c>
      <c r="H10" s="133"/>
      <c r="I10" s="127"/>
      <c r="J10" s="76">
        <f t="shared" si="2"/>
        <v>0.86709131022703034</v>
      </c>
      <c r="K10" s="3">
        <f t="shared" si="3"/>
        <v>-0.14261099029953303</v>
      </c>
      <c r="L10" s="3">
        <f t="shared" si="4"/>
        <v>0.21223096455742627</v>
      </c>
      <c r="M10" s="3">
        <f t="shared" si="5"/>
        <v>0.57182987539406638</v>
      </c>
      <c r="N10" s="35">
        <f t="shared" si="6"/>
        <v>1.3148094785238458</v>
      </c>
      <c r="P10" s="114"/>
      <c r="Q10" s="76">
        <f t="shared" si="7"/>
        <v>0.86734579106185328</v>
      </c>
      <c r="R10" s="3">
        <f t="shared" si="8"/>
        <v>0.21171779272579308</v>
      </c>
      <c r="S10" s="3">
        <f t="shared" si="9"/>
        <v>0.5725737718612014</v>
      </c>
      <c r="T10" s="35">
        <f t="shared" si="10"/>
        <v>1.3138721300965834</v>
      </c>
      <c r="V10" s="114"/>
      <c r="W10" s="76">
        <f t="shared" si="11"/>
        <v>-8.5006693440428382E-3</v>
      </c>
      <c r="X10" s="3">
        <f t="shared" si="12"/>
        <v>1.2639820647361641E-2</v>
      </c>
      <c r="Y10" s="3">
        <f t="shared" si="13"/>
        <v>-3.3294375860620729E-2</v>
      </c>
      <c r="Z10" s="35">
        <f t="shared" si="14"/>
        <v>1.6293037172535049E-2</v>
      </c>
      <c r="AB10" s="114"/>
      <c r="AC10" s="76">
        <f t="shared" si="15"/>
        <v>0.875</v>
      </c>
      <c r="AD10" s="3">
        <f t="shared" si="16"/>
        <v>-0.13353139262452263</v>
      </c>
      <c r="AE10" s="3">
        <f t="shared" si="17"/>
        <v>0.19875827291019918</v>
      </c>
      <c r="AF10" s="3">
        <f t="shared" si="18"/>
        <v>0.5924986254989002</v>
      </c>
      <c r="AG10" s="35">
        <f t="shared" si="19"/>
        <v>1.2921970905085605</v>
      </c>
      <c r="AI10" s="133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0" s="6">
        <f>IF(AJ10&lt;&gt;"",IF(AJ10=0,COUNTIF(AJ$2:AJ9,0)+1,COUNTIF(AJ$2:AJ9,AJ10)+AJ10+COUNTIF(AJ:AJ,0)),"")</f>
        <v>1</v>
      </c>
      <c r="AL10" s="6">
        <f t="shared" si="20"/>
        <v>1</v>
      </c>
      <c r="AM10" s="3" t="str">
        <f>IF(AND(Include_study?="Yes",Sufficient_data="Yes",Input!Study_name&lt;&gt;""),Input!Study_name,"")</f>
        <v>Lubis et al.</v>
      </c>
      <c r="AN10" s="6">
        <f t="shared" si="21"/>
        <v>1494</v>
      </c>
      <c r="AO10" s="3">
        <f t="shared" si="22"/>
        <v>0.86709131022703034</v>
      </c>
      <c r="AP10" s="3">
        <f t="shared" si="23"/>
        <v>22.20150953753911</v>
      </c>
      <c r="AQ10" s="3">
        <f t="shared" si="24"/>
        <v>20.356274847660057</v>
      </c>
      <c r="AR10" s="3">
        <f t="shared" si="25"/>
        <v>0.21223096455742627</v>
      </c>
      <c r="AS10" s="3">
        <f t="shared" si="26"/>
        <v>0.57182987539406638</v>
      </c>
      <c r="AT10" s="3">
        <f t="shared" si="27"/>
        <v>1.3148094785238458</v>
      </c>
      <c r="AU10" s="80">
        <f t="shared" si="28"/>
        <v>0.10822157861532689</v>
      </c>
      <c r="AW10" s="44">
        <f t="shared" si="29"/>
        <v>0.86709131022703034</v>
      </c>
      <c r="AX10" s="3">
        <f t="shared" si="30"/>
        <v>0.29526143483296396</v>
      </c>
      <c r="AY10" s="35">
        <f t="shared" si="31"/>
        <v>0.44771816829681543</v>
      </c>
      <c r="BD10" s="133"/>
      <c r="BE10" s="127"/>
      <c r="BF10" s="3">
        <f t="shared" si="32"/>
        <v>-0.14261099029953303</v>
      </c>
      <c r="BG10" s="3">
        <f t="shared" si="33"/>
        <v>0.21223096455742627</v>
      </c>
      <c r="BH10" s="3">
        <f t="shared" si="34"/>
        <v>22.20150953753911</v>
      </c>
      <c r="BI10" s="3">
        <f t="shared" si="99"/>
        <v>20.356274847660057</v>
      </c>
      <c r="BJ10" s="35">
        <f t="shared" si="35"/>
        <v>-0.17222709978951167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4"/>
      <c r="BP10" s="3">
        <f t="shared" si="36"/>
        <v>20.713580990629186</v>
      </c>
      <c r="BQ10" s="3">
        <f t="shared" si="37"/>
        <v>23.88858099062918</v>
      </c>
      <c r="BR10" s="3">
        <f t="shared" si="38"/>
        <v>10.2687508438484</v>
      </c>
      <c r="BS10" s="3">
        <f>IF(AND(Sufficient_data="Yes",Include_study?="Yes"),IF(Add_0_5="Yes",(a_+d_+1)*(ab_+0.5)*(c_+0.5)/(Number_of_subjects+2)^2,(a_+d_)*b_*c_/Number_of_subjects^2),"")</f>
        <v>11.842756031264729</v>
      </c>
      <c r="BT10" s="3">
        <f t="shared" si="39"/>
        <v>10.444830146780788</v>
      </c>
      <c r="BU10" s="3">
        <f t="shared" si="40"/>
        <v>12.045824959364451</v>
      </c>
      <c r="BV10" s="3">
        <f t="shared" si="41"/>
        <v>23.88858099062918</v>
      </c>
      <c r="BW10" s="3">
        <f t="shared" si="42"/>
        <v>0.65701907878767118</v>
      </c>
      <c r="BX10" s="3">
        <f t="shared" si="43"/>
        <v>20.341328597790675</v>
      </c>
      <c r="BY10" s="35">
        <f t="shared" si="44"/>
        <v>-0.17222972293676669</v>
      </c>
      <c r="CA10" s="3" t="s">
        <v>313</v>
      </c>
      <c r="CB10" s="3">
        <f>IF(Meta_analysis_model="Fixed effect model",SUMPRODUCT(Weightf_MH,OddsRatio)/SUM(Weightf_MH),EXP(SUMPRODUCT(Weight_MH,LogOddsRatio)/SUM(Weight_MH)))</f>
        <v>1.0300617301572979</v>
      </c>
      <c r="CD10" s="114"/>
      <c r="CE10" s="76">
        <f t="shared" si="45"/>
        <v>47.625</v>
      </c>
      <c r="CF10" s="3">
        <f t="shared" si="46"/>
        <v>22.30926615874079</v>
      </c>
      <c r="CG10" s="3">
        <f t="shared" si="47"/>
        <v>-0.14231754542746486</v>
      </c>
      <c r="CH10" s="3">
        <f t="shared" si="48"/>
        <v>4.4824423756681886E-2</v>
      </c>
      <c r="CI10" s="3">
        <f t="shared" si="49"/>
        <v>22.30926615874079</v>
      </c>
      <c r="CJ10" s="3">
        <f t="shared" si="50"/>
        <v>20.401016582497743</v>
      </c>
      <c r="CK10" s="35">
        <f t="shared" si="51"/>
        <v>-0.17206695559096749</v>
      </c>
      <c r="CM10" s="3" t="s">
        <v>314</v>
      </c>
      <c r="CN10" s="3">
        <f>EXP(lnCES_PetoOddsRatio)</f>
        <v>1.0301963448714666</v>
      </c>
      <c r="CP10" s="114"/>
      <c r="CQ10" s="52">
        <f t="shared" si="52"/>
        <v>6.8005354752342706E-2</v>
      </c>
      <c r="CS10" s="2"/>
      <c r="CT10" s="2" t="s">
        <v>47</v>
      </c>
      <c r="CU10" s="2" t="s">
        <v>71</v>
      </c>
      <c r="CV10" s="2" t="s">
        <v>72</v>
      </c>
      <c r="CX10" s="133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3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315</v>
      </c>
      <c r="FP10" s="1"/>
      <c r="FR10" s="133"/>
      <c r="FS10" s="127"/>
      <c r="FT10" s="76">
        <f>IF(AND(Include_study?="Yes",Sufficient_data="Yes"),IF(Additional_weighting_method="Inverse Variance",1/'Publication Bias Analysis'!F:F^2,IF(Additional_weighting_method="Mantel-Haenszel",Weightf_MH,Weightf_Peto)),"")</f>
        <v>22.20150953753911</v>
      </c>
      <c r="FU10" s="3">
        <f>IF(AND(Include_study?="Yes",Sufficient_data="Yes"),1/('Publication Bias Analysis'!F:F^2+IF(Additional_model="Fixed effect",0,Calculations!GH$12)),"")</f>
        <v>22.20150953753911</v>
      </c>
      <c r="FV10" s="3">
        <f>IF(AND(Include_study?="Yes",Sufficient_data="Yes"),1/('Publication Bias Analysis'!F:F^2+IF(Additional_model="Fixed effect",0,'Publication Bias Analysis'!L$32)),"")</f>
        <v>22.20150953753911</v>
      </c>
      <c r="FW10" s="3">
        <f>IF(AND(Include_study?="Yes",Sufficient_data="Yes"),'Publication Bias Analysis'!E:E-'Publication Bias Analysis'!I$37,"")</f>
        <v>-0.17186929603427545</v>
      </c>
      <c r="FX10" s="3">
        <f>IF(AND(Include_study?="Yes",Sufficient_data="Yes"),IF(Additional_model="Fixed effect",1/'Publication Bias Analysis'!F:F,1/SQRT('Publication Bias Analysis'!F:F^2+GH$12)),"")</f>
        <v>4.7118477837828241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-0.67196127858592847</v>
      </c>
      <c r="FZ10" s="6">
        <f t="shared" si="80"/>
        <v>-4</v>
      </c>
      <c r="GA10" s="83">
        <f>IF(AND(Include_study?="Yes",Sufficient_data="Yes"),FZ:FZ+IF(GL:GL&lt;0,-1,1)*COUNTIF(FZ$2:FZ9,FZ:FZ),"")</f>
        <v>-4</v>
      </c>
      <c r="GB10" s="83">
        <f>IF(AND(Include_study?="Yes",Sufficient_data="Yes"),RANK(GP:GP,GP:GP,1)*IF(GO:GO&lt;0,-1,1)+IF(GO:GO&lt;0,-1,1)*COUNTIF(FZ$2:FZ9,FZ:FZ),"")</f>
        <v>-4</v>
      </c>
      <c r="GC10" s="83">
        <f>IF(AND(Include_study?="Yes",Sufficient_data="Yes"),RANK(GS:GS,GS:GS,1)*IF(GR:GR&lt;0,-1,1)+IF(GR:GR&lt;0,-1,1)*COUNTIF(FZ$2:FZ9,FZ:FZ),"")</f>
        <v>-4</v>
      </c>
      <c r="GD10" s="3">
        <f>IF(AND(Include_study?="Yes",Sufficient_data="Yes"),'Publication Bias Analysis'!E10,NA())</f>
        <v>-0.14261099029953303</v>
      </c>
      <c r="GE10" s="35">
        <f>IF(AND(Include_study?="Yes",Sufficient_data="Yes"),'Publication Bias Analysis'!F10,NA())</f>
        <v>0.21223096455742627</v>
      </c>
      <c r="GG10" s="116" t="s">
        <v>66</v>
      </c>
      <c r="GH10" s="116"/>
      <c r="GK10" s="114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-0.17186929603427545</v>
      </c>
      <c r="GM10" s="3">
        <f t="shared" si="81"/>
        <v>0.17186929603427545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22.20150953753911</v>
      </c>
      <c r="GO10" s="3">
        <f>IF(AND(Include_study?="Yes",Sufficient_data="Yes"),IF('Publication Bias Analysis'!L$38="Left",'Publication Bias Analysis'!E:E-GW$3,GW$3-'Publication Bias Analysis'!E:E),"")</f>
        <v>-0.17186929603427545</v>
      </c>
      <c r="GP10" s="3">
        <f t="shared" si="82"/>
        <v>0.17186929603427545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22.20150953753911</v>
      </c>
      <c r="GR10" s="3">
        <f>IF(AND(Include_study?="Yes",Sufficient_data="Yes"),IF('Publication Bias Analysis'!L$38="Left",'Publication Bias Analysis'!E:E-GW$10,GW$10-'Publication Bias Analysis'!E:E),"")</f>
        <v>-0.17186929603427545</v>
      </c>
      <c r="GS10" s="3">
        <f t="shared" si="83"/>
        <v>0.17186929603427545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22.20150953753911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2.9258305734742408E-2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4"/>
      <c r="HL10" s="3">
        <f t="shared" si="89"/>
        <v>-0.77517637564029851</v>
      </c>
      <c r="HM10" s="35">
        <f>IF(AND(Include_study?="Yes",Sufficient_data="Yes"),Z_score-('Publication Bias Analysis'!P$3+'Publication Bias Analysis'!P$4*Inverse_standard_error),"")</f>
        <v>-0.97772956581472037</v>
      </c>
      <c r="HO10" s="114"/>
      <c r="HP10" s="3">
        <f>IF(AND(Include_study?="Yes",Sufficient_data="Yes"),(GD:GD-SUMPRODUCT(Calculations!FT:FT,'Publication Bias Analysis'!E:E)/SUM(Calculations!FT:FT))/SQRT(Calculations!HQ:HQ),"")</f>
        <v>-0.8559605814649659</v>
      </c>
      <c r="HQ10" s="3">
        <f>IF(AND(Include_study?="Yes",Sufficient_data="Yes"),GE:GE^2-1/SUM(Calculations!FT:FT),"")</f>
        <v>4.0317079597452912E-2</v>
      </c>
      <c r="HR10" s="6">
        <f t="shared" si="90"/>
        <v>6</v>
      </c>
      <c r="HS10" s="6">
        <f t="shared" si="91"/>
        <v>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1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5</v>
      </c>
      <c r="HW10" s="114"/>
      <c r="HX10" s="54">
        <v>9</v>
      </c>
      <c r="HY10" s="32">
        <f t="shared" si="123"/>
        <v>1.4</v>
      </c>
      <c r="HZ10" s="39"/>
      <c r="IB10" s="114"/>
      <c r="IC10" s="76">
        <f t="shared" si="92"/>
        <v>5.9504685408299868E-2</v>
      </c>
      <c r="ID10" s="3">
        <f t="shared" si="93"/>
        <v>6.8005354752342706E-2</v>
      </c>
      <c r="IE10" s="3">
        <f t="shared" si="94"/>
        <v>25.313346928662643</v>
      </c>
      <c r="IF10" s="35">
        <f t="shared" si="95"/>
        <v>22.20150953753911</v>
      </c>
      <c r="IK10" s="114"/>
      <c r="IL10" s="3">
        <f>IF(AND(Include_study?="Yes",Sufficient_data="Yes"),'Publication Bias Analysis'!AV:AV,NA())</f>
        <v>-0.67196127858592847</v>
      </c>
      <c r="IM10" s="3">
        <f>IF(AND(Sufficient_data="Yes",Include_study?="Yes"),'Publication Bias Analysis'!AU:AU,NA())</f>
        <v>4.7118477837828241</v>
      </c>
      <c r="IN10" s="3">
        <f t="shared" si="96"/>
        <v>-0.77517637564029851</v>
      </c>
      <c r="IO10" s="35">
        <f>IF(AND(Include_study?="Yes",Sufficient_data="Yes"),Z_score-('Publication Bias Analysis'!AY$30+'Publication Bias Analysis'!AY$31*Inverse_standard_error),"")</f>
        <v>-0.80982196161941478</v>
      </c>
      <c r="IQ10" s="2" t="s">
        <v>295</v>
      </c>
      <c r="IR10" s="3">
        <f>MAX(Inverse_standard_error)</f>
        <v>5.8373415375954094</v>
      </c>
      <c r="IS10" s="3">
        <f>IR10*'Publication Bias Analysis'!AY31+IS9</f>
        <v>2.6177025745300466</v>
      </c>
      <c r="IU10" s="114"/>
      <c r="IV10" s="6">
        <f>IF('Publication Bias Analysis'!BG:BG&lt;&gt;"",RANK('Publication Bias Analysis'!BG:BG,'Publication Bias Analysis'!BG:BG,1)+COUNTIF('Publication Bias Analysis'!BG$2:BG9,'Publication Bias Analysis'!BG10),"")</f>
        <v>2</v>
      </c>
      <c r="IW10" s="3">
        <f t="shared" si="97"/>
        <v>0.22727272727272729</v>
      </c>
      <c r="IX10" s="3">
        <f>IF('Publication Bias Analysis'!BF10&lt;&gt;"",'Publication Bias Analysis'!BF10,NA())</f>
        <v>-0.74785859476330196</v>
      </c>
      <c r="IY10" s="3">
        <f>IF('Publication Bias Analysis'!BG10&lt;&gt;"",'Publication Bias Analysis'!BG10,NA())</f>
        <v>-0.67196127858592847</v>
      </c>
      <c r="IZ10" s="3">
        <f>IF(AND(Include_study?="Yes",Sufficient_data="Yes"),'Publication Bias Analysis'!BF:BF-AVERAGE('Publication Bias Analysis'!BF:BF),"")</f>
        <v>-0.74785859476330219</v>
      </c>
      <c r="JA10" s="35">
        <f>IF(AND(Include_study?="Yes",Sufficient_data="Yes"),'Publication Bias Analysis'!BG:BG-('Publication Bias Analysis'!BJ$30+'Publication Bias Analysis'!BJ$31*'Publication Bias Analysis'!BF:BF),"")</f>
        <v>2.5198001463278552E-2</v>
      </c>
      <c r="JG10" s="114"/>
      <c r="JH10" s="3">
        <f t="shared" si="98"/>
        <v>-0.67196127858592847</v>
      </c>
      <c r="JI10" s="10">
        <f t="shared" si="124"/>
        <v>0.25080417372125341</v>
      </c>
      <c r="JJ10" s="35">
        <f t="shared" si="125"/>
        <v>-1.3830828287300498</v>
      </c>
    </row>
    <row r="11" spans="1:270" ht="13.5" customHeight="1" x14ac:dyDescent="0.35">
      <c r="A11" s="2">
        <f t="shared" si="0"/>
        <v>2</v>
      </c>
      <c r="B11" s="6">
        <f>IF(AND(Include_study?="Yes",Sufficient_data="Yes"),IF(Input!a_&lt;&gt;"",Input!a_,Input!n1_-Input!b_),"")</f>
        <v>69</v>
      </c>
      <c r="C11" s="6">
        <f>IF(AND(Include_study?="Yes",Sufficient_data="Yes"),IF(Input!b_&lt;&gt;"",Input!b_,Input!n1_-Input!a_),"")</f>
        <v>5469</v>
      </c>
      <c r="D11" s="6">
        <f>IF(AND(Include_study?="Yes",Sufficient_data="Yes"),IF(Input!c_&lt;&gt;"",Input!c_,Input!n2_-Input!d_),"")</f>
        <v>52</v>
      </c>
      <c r="E11" s="6">
        <f>IF(AND(Include_study?="Yes",Sufficient_data="Yes"),IF(Input!d_&lt;&gt;"",Input!d_,Input!n2_-Input!c_),"")</f>
        <v>5486</v>
      </c>
      <c r="F11" s="35" t="str">
        <f t="shared" si="1"/>
        <v>No</v>
      </c>
      <c r="H11" s="133"/>
      <c r="I11" s="127"/>
      <c r="J11" s="76">
        <f t="shared" si="2"/>
        <v>1.3310477235326386</v>
      </c>
      <c r="K11" s="3">
        <f t="shared" si="3"/>
        <v>0.28596639416660785</v>
      </c>
      <c r="L11" s="3">
        <f t="shared" si="4"/>
        <v>0.18463112904062717</v>
      </c>
      <c r="M11" s="3">
        <f t="shared" si="5"/>
        <v>0.92686854989867828</v>
      </c>
      <c r="N11" s="35">
        <f t="shared" si="6"/>
        <v>1.9114771372004082</v>
      </c>
      <c r="P11" s="114"/>
      <c r="Q11" s="76">
        <f t="shared" si="7"/>
        <v>1.3285255145464048</v>
      </c>
      <c r="R11" s="3">
        <f t="shared" si="8"/>
        <v>0.18281127895540947</v>
      </c>
      <c r="S11" s="3">
        <f t="shared" si="9"/>
        <v>0.92841820369053751</v>
      </c>
      <c r="T11" s="35">
        <f t="shared" si="10"/>
        <v>1.9010614352291357</v>
      </c>
      <c r="V11" s="114"/>
      <c r="W11" s="76">
        <f t="shared" si="11"/>
        <v>3.0697002527988442E-3</v>
      </c>
      <c r="X11" s="3">
        <f t="shared" si="12"/>
        <v>1.9751819270864821E-3</v>
      </c>
      <c r="Y11" s="3">
        <f t="shared" si="13"/>
        <v>-8.0200835595330882E-4</v>
      </c>
      <c r="Z11" s="35">
        <f t="shared" si="14"/>
        <v>6.9414088615509968E-3</v>
      </c>
      <c r="AB11" s="114"/>
      <c r="AC11" s="76">
        <f t="shared" si="15"/>
        <v>1.3269230769230769</v>
      </c>
      <c r="AD11" s="3">
        <f t="shared" si="16"/>
        <v>0.28286278601583198</v>
      </c>
      <c r="AE11" s="3">
        <f t="shared" si="17"/>
        <v>0.18265372059650473</v>
      </c>
      <c r="AF11" s="3">
        <f t="shared" si="18"/>
        <v>0.92758479985716846</v>
      </c>
      <c r="AG11" s="35">
        <f t="shared" si="19"/>
        <v>1.8981820878717786</v>
      </c>
      <c r="AI11" s="133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11" s="6">
        <f>IF(AJ11&lt;&gt;"",IF(AJ11=0,COUNTIF(AJ$2:AJ10,0)+1,COUNTIF(AJ$2:AJ10,AJ11)+AJ11+COUNTIF(AJ:AJ,0)),"")</f>
        <v>2</v>
      </c>
      <c r="AL11" s="6">
        <f t="shared" si="20"/>
        <v>2</v>
      </c>
      <c r="AM11" s="3" t="str">
        <f>IF(AND(Include_study?="Yes",Sufficient_data="Yes",Input!Study_name&lt;&gt;""),Input!Study_name,"")</f>
        <v>Lu et al.</v>
      </c>
      <c r="AN11" s="6">
        <f t="shared" si="21"/>
        <v>11076</v>
      </c>
      <c r="AO11" s="3">
        <f t="shared" si="22"/>
        <v>1.3310477235326386</v>
      </c>
      <c r="AP11" s="3">
        <f t="shared" si="23"/>
        <v>29.335274004944381</v>
      </c>
      <c r="AQ11" s="3">
        <f t="shared" si="24"/>
        <v>26.197505563651383</v>
      </c>
      <c r="AR11" s="3">
        <f t="shared" si="25"/>
        <v>0.18463112904062717</v>
      </c>
      <c r="AS11" s="3">
        <f t="shared" si="26"/>
        <v>0.92686854989867828</v>
      </c>
      <c r="AT11" s="3">
        <f t="shared" si="27"/>
        <v>1.9114771372004082</v>
      </c>
      <c r="AU11" s="80">
        <f t="shared" si="28"/>
        <v>0.13927574809730275</v>
      </c>
      <c r="AW11" s="44">
        <f t="shared" si="29"/>
        <v>1.3310477235326386</v>
      </c>
      <c r="AX11" s="3">
        <f t="shared" si="30"/>
        <v>0.40417917363396028</v>
      </c>
      <c r="AY11" s="35">
        <f t="shared" si="31"/>
        <v>0.58042941366776968</v>
      </c>
      <c r="BD11" s="133"/>
      <c r="BE11" s="127"/>
      <c r="BF11" s="3">
        <f t="shared" si="32"/>
        <v>0.28596639416660785</v>
      </c>
      <c r="BG11" s="3">
        <f t="shared" si="33"/>
        <v>0.18463112904062717</v>
      </c>
      <c r="BH11" s="3">
        <f t="shared" si="34"/>
        <v>29.335274004944381</v>
      </c>
      <c r="BI11" s="3">
        <f t="shared" si="99"/>
        <v>26.197505563651383</v>
      </c>
      <c r="BJ11" s="35">
        <f t="shared" si="35"/>
        <v>0.25635028467662924</v>
      </c>
      <c r="BL11" s="3" t="s">
        <v>316</v>
      </c>
      <c r="BM11" s="3">
        <f>IF(Model_effect_size_measure="Risk Difference",CES_IV-ABS(TINV((1-Confidence_level),k_-1))*SECES_Risk_Difference,EXP(CIlnCES_LL))</f>
        <v>0.86185414050436049</v>
      </c>
      <c r="BO11" s="114"/>
      <c r="BP11" s="3">
        <f t="shared" si="36"/>
        <v>34.176056338028168</v>
      </c>
      <c r="BQ11" s="3">
        <f t="shared" si="37"/>
        <v>25.676056338028168</v>
      </c>
      <c r="BR11" s="3">
        <f t="shared" si="38"/>
        <v>17.140483293404341</v>
      </c>
      <c r="BS11" s="3">
        <f>IF(AND(Sufficient_data="Yes",Include_study?="Yes"),IF(Add_0_5="Yes",(a_+d_+1)*(ab_+0.5)*(c_+0.5)/(Number_of_subjects+2)^2,(a_+d_)*b_*c_/Number_of_subjects^2),"")</f>
        <v>12.877437067329947</v>
      </c>
      <c r="BT11" s="3">
        <f t="shared" si="39"/>
        <v>17.035573044623828</v>
      </c>
      <c r="BU11" s="3">
        <f t="shared" si="40"/>
        <v>12.798619270698223</v>
      </c>
      <c r="BV11" s="3">
        <f t="shared" si="41"/>
        <v>25.676056338028168</v>
      </c>
      <c r="BW11" s="3">
        <f t="shared" si="42"/>
        <v>1.930785297691243</v>
      </c>
      <c r="BX11" s="3">
        <f t="shared" si="43"/>
        <v>26.172756201086457</v>
      </c>
      <c r="BY11" s="35">
        <f t="shared" si="44"/>
        <v>0.25634766152937416</v>
      </c>
      <c r="CA11" s="3" t="s">
        <v>316</v>
      </c>
      <c r="CB11" s="3">
        <f>EXP(CIlnCES_LL_MH)</f>
        <v>0.86185616313232549</v>
      </c>
      <c r="CD11" s="114"/>
      <c r="CE11" s="76">
        <f t="shared" si="45"/>
        <v>60.5</v>
      </c>
      <c r="CF11" s="3">
        <f t="shared" si="46"/>
        <v>29.922234762979684</v>
      </c>
      <c r="CG11" s="3">
        <f t="shared" si="47"/>
        <v>0.28406969156315653</v>
      </c>
      <c r="CH11" s="3">
        <f t="shared" si="48"/>
        <v>3.3419963713312538E-2</v>
      </c>
      <c r="CI11" s="3">
        <f t="shared" si="49"/>
        <v>29.922234762979684</v>
      </c>
      <c r="CJ11" s="3">
        <f t="shared" si="50"/>
        <v>26.586760934365945</v>
      </c>
      <c r="CK11" s="35">
        <f t="shared" si="51"/>
        <v>0.2543202813996539</v>
      </c>
      <c r="CM11" s="3" t="s">
        <v>316</v>
      </c>
      <c r="CN11" s="3">
        <f>EXP(CIlnCES_LL_Peto)</f>
        <v>0.86232879290640263</v>
      </c>
      <c r="CP11" s="114"/>
      <c r="CQ11" s="52">
        <f t="shared" si="52"/>
        <v>9.3896713615023476E-3</v>
      </c>
      <c r="CS11" s="2" t="s">
        <v>290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1.0296951692292167</v>
      </c>
      <c r="CU11" s="3">
        <f>IF(Model_effect_size_measure="Odds Ratio",CES_OddsRatio_MH/(1-MEDIAN(Control_group_risk)+(MEDIAN(Control_group_risk)*CES_OddsRatio_MH)),NA())</f>
        <v>1.0296978375790784</v>
      </c>
      <c r="CV11" s="3" t="e">
        <f>IF(Model_effect_size_measure="Peto Odds Ratio",CES_PetoOddsRatio/(1-MEDIAN(Control_group_risk)+(MEDIAN(Control_group_risk)*CES_PetoOddsRatio)),NA())</f>
        <v>#N/A</v>
      </c>
      <c r="CX11" s="133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205</v>
      </c>
      <c r="EY11" s="3" t="e">
        <f>IF(Subgroup_valid_options="Yes",IF(Subgroup_effect_size_measure="Risk Difference",EY9-ABS(TINV((1-Subgroup_confidence_level),Subgroup_k-1))*EY10,EXP(EY4)),"")</f>
        <v>#DIV/0!</v>
      </c>
      <c r="FA11" s="133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252</v>
      </c>
      <c r="FP11" s="2" t="s">
        <v>253</v>
      </c>
      <c r="FR11" s="133"/>
      <c r="FS11" s="127"/>
      <c r="FT11" s="76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11" s="3">
        <f>IF(AND(Include_study?="Yes",Sufficient_data="Yes"),1/('Publication Bias Analysis'!F:F^2+IF(Additional_model="Fixed effect",0,Calculations!GH$12)),"")</f>
        <v>29.335274004944381</v>
      </c>
      <c r="FV11" s="3">
        <f>IF(AND(Include_study?="Yes",Sufficient_data="Yes"),1/('Publication Bias Analysis'!F:F^2+IF(Additional_model="Fixed effect",0,'Publication Bias Analysis'!L$32)),"")</f>
        <v>29.335274004944381</v>
      </c>
      <c r="FW11" s="3">
        <f>IF(AND(Include_study?="Yes",Sufficient_data="Yes"),'Publication Bias Analysis'!E:E-'Publication Bias Analysis'!I$37,"")</f>
        <v>0.25670808843186543</v>
      </c>
      <c r="FX11" s="3">
        <f>IF(AND(Include_study?="Yes",Sufficient_data="Yes"),IF(Additional_model="Fixed effect",1/'Publication Bias Analysis'!F:F,1/SQRT('Publication Bias Analysis'!F:F^2+GH$12)),"")</f>
        <v>5.416204760249042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11" s="6">
        <f t="shared" si="80"/>
        <v>6</v>
      </c>
      <c r="GA11" s="83">
        <f>IF(AND(Include_study?="Yes",Sufficient_data="Yes"),FZ:FZ+IF(GL:GL&lt;0,-1,1)*COUNTIF(FZ$2:FZ10,FZ:FZ),"")</f>
        <v>6</v>
      </c>
      <c r="GB11" s="83">
        <f>IF(AND(Include_study?="Yes",Sufficient_data="Yes"),RANK(GP:GP,GP:GP,1)*IF(GO:GO&lt;0,-1,1)+IF(GO:GO&lt;0,-1,1)*COUNTIF(FZ$2:FZ10,FZ:FZ),"")</f>
        <v>6</v>
      </c>
      <c r="GC11" s="83">
        <f>IF(AND(Include_study?="Yes",Sufficient_data="Yes"),RANK(GS:GS,GS:GS,1)*IF(GR:GR&lt;0,-1,1)+IF(GR:GR&lt;0,-1,1)*COUNTIF(FZ$2:FZ10,FZ:FZ),"")</f>
        <v>6</v>
      </c>
      <c r="GD11" s="3">
        <f>IF(AND(Include_study?="Yes",Sufficient_data="Yes"),'Publication Bias Analysis'!E11,NA())</f>
        <v>0.28596639416660785</v>
      </c>
      <c r="GE11" s="35">
        <f>IF(AND(Include_study?="Yes",Sufficient_data="Yes"),'Publication Bias Analysis'!F11,NA())</f>
        <v>0.18463112904062717</v>
      </c>
      <c r="GG11" s="2" t="s">
        <v>67</v>
      </c>
      <c r="GH11" s="3">
        <f>SUMPRODUCT(Calculations!FT:FT,'Publication Bias Analysis'!E:E,'Publication Bias Analysis'!E:E)-SUMPRODUCT(Calculations!FT:FT,'Publication Bias Analysis'!E:E)^2/SUM(Calculations!FT:FT)</f>
        <v>6.7387650880213741</v>
      </c>
      <c r="GK11" s="114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0.25670808843186543</v>
      </c>
      <c r="GM11" s="3">
        <f t="shared" si="81"/>
        <v>0.25670808843186543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11" s="3">
        <f>IF(AND(Include_study?="Yes",Sufficient_data="Yes"),IF('Publication Bias Analysis'!L$38="Left",'Publication Bias Analysis'!E:E-GW$3,GW$3-'Publication Bias Analysis'!E:E),"")</f>
        <v>0.25670808843186543</v>
      </c>
      <c r="GP11" s="3">
        <f t="shared" si="82"/>
        <v>0.25670808843186543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11" s="3">
        <f>IF(AND(Include_study?="Yes",Sufficient_data="Yes"),IF('Publication Bias Analysis'!L$38="Left",'Publication Bias Analysis'!E:E-GW$10,GW$10-'Publication Bias Analysis'!E:E),"")</f>
        <v>0.25670808843186543</v>
      </c>
      <c r="GS11" s="3">
        <f t="shared" si="83"/>
        <v>0.25670808843186543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11" s="116" t="s">
        <v>66</v>
      </c>
      <c r="GW11" s="116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4"/>
      <c r="HL11" s="3">
        <f t="shared" si="89"/>
        <v>-7.0819399174080644E-2</v>
      </c>
      <c r="HM11" s="35">
        <f>IF(AND(Include_study?="Yes",Sufficient_data="Yes"),Z_score-('Publication Bias Analysis'!P$3+'Publication Bias Analysis'!P$4*Inverse_standard_error),"")</f>
        <v>1.3706032811665807</v>
      </c>
      <c r="HO11" s="114"/>
      <c r="HP11" s="3">
        <f>IF(AND(Include_study?="Yes",Sufficient_data="Yes"),(GD:GD-SUMPRODUCT(Calculations!FT:FT,'Publication Bias Analysis'!E:E)/SUM(Calculations!FT:FT))/SQRT(Calculations!HQ:HQ),"")</f>
        <v>1.498075790677829</v>
      </c>
      <c r="HQ11" s="3">
        <f>IF(AND(Include_study?="Yes",Sufficient_data="Yes"),GE:GE^2-1/SUM(Calculations!FT:FT),"")</f>
        <v>2.9363751091294112E-2</v>
      </c>
      <c r="HR11" s="6">
        <f t="shared" si="90"/>
        <v>1</v>
      </c>
      <c r="HS11" s="6">
        <f t="shared" si="91"/>
        <v>3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4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2</v>
      </c>
      <c r="HW11" s="114"/>
      <c r="IB11" s="114"/>
      <c r="IC11" s="76">
        <f t="shared" si="92"/>
        <v>1.2459371614301192E-2</v>
      </c>
      <c r="ID11" s="3">
        <f t="shared" si="93"/>
        <v>9.3896713615023476E-3</v>
      </c>
      <c r="IE11" s="3">
        <f t="shared" si="94"/>
        <v>29.97387927991528</v>
      </c>
      <c r="IF11" s="35">
        <f t="shared" si="95"/>
        <v>29.335274004944381</v>
      </c>
      <c r="IK11" s="114"/>
      <c r="IL11" s="3">
        <f>IF(AND(Include_study?="Yes",Sufficient_data="Yes"),'Publication Bias Analysis'!AV:AV,NA())</f>
        <v>1.5488525453564352</v>
      </c>
      <c r="IM11" s="3">
        <f>IF(AND(Sufficient_data="Yes",Include_study?="Yes"),'Publication Bias Analysis'!AU:AU,NA())</f>
        <v>5.416204760249042</v>
      </c>
      <c r="IN11" s="3">
        <f t="shared" si="96"/>
        <v>-7.0819399174080644E-2</v>
      </c>
      <c r="IO11" s="35">
        <f>IF(AND(Include_study?="Yes",Sufficient_data="Yes"),Z_score-('Publication Bias Analysis'!AY$30+'Publication Bias Analysis'!AY$31*Inverse_standard_error),"")</f>
        <v>1.3903835705591017</v>
      </c>
      <c r="IU11" s="114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0.90909090909090917</v>
      </c>
      <c r="IX11" s="3">
        <f>IF('Publication Bias Analysis'!BF11&lt;&gt;"",'Publication Bias Analysis'!BF11,NA())</f>
        <v>1.3351777361189372</v>
      </c>
      <c r="IY11" s="3">
        <f>IF('Publication Bias Analysis'!BG11&lt;&gt;"",'Publication Bias Analysis'!BG11,NA())</f>
        <v>1.5488525453564352</v>
      </c>
      <c r="IZ11" s="3">
        <f>IF(AND(Include_study?="Yes",Sufficient_data="Yes"),'Publication Bias Analysis'!BF:BF-AVERAGE('Publication Bias Analysis'!BF:BF),"")</f>
        <v>1.335177736118937</v>
      </c>
      <c r="JA11" s="35">
        <f>IF(AND(Include_study?="Yes",Sufficient_data="Yes"),'Publication Bias Analysis'!BG:BG-('Publication Bias Analysis'!BJ$30+'Publication Bias Analysis'!BJ$31*'Publication Bias Analysis'!BF:BF),"")</f>
        <v>-0.15658197705573262</v>
      </c>
      <c r="JG11" s="114"/>
      <c r="JH11" s="3">
        <f t="shared" si="98"/>
        <v>1.5488525453564352</v>
      </c>
      <c r="JI11" s="10">
        <f t="shared" si="124"/>
        <v>6.0708585387386549E-2</v>
      </c>
      <c r="JJ11" s="35">
        <f t="shared" si="125"/>
        <v>-2.8016701512579258</v>
      </c>
    </row>
    <row r="12" spans="1:270" ht="14" x14ac:dyDescent="0.35">
      <c r="A12" s="2">
        <f t="shared" si="0"/>
        <v>3</v>
      </c>
      <c r="B12" s="6">
        <f>IF(AND(Include_study?="Yes",Sufficient_data="Yes"),IF(Input!a_&lt;&gt;"",Input!a_,Input!n1_-Input!b_),"")</f>
        <v>65</v>
      </c>
      <c r="C12" s="6">
        <f>IF(AND(Include_study?="Yes",Sufficient_data="Yes"),IF(Input!b_&lt;&gt;"",Input!b_,Input!n1_-Input!a_),"")</f>
        <v>3956</v>
      </c>
      <c r="D12" s="6">
        <f>IF(AND(Include_study?="Yes",Sufficient_data="Yes"),IF(Input!c_&lt;&gt;"",Input!c_,Input!n2_-Input!d_),"")</f>
        <v>53</v>
      </c>
      <c r="E12" s="6">
        <f>IF(AND(Include_study?="Yes",Sufficient_data="Yes"),IF(Input!d_&lt;&gt;"",Input!d_,Input!n2_-Input!c_),"")</f>
        <v>3968</v>
      </c>
      <c r="F12" s="35" t="str">
        <f t="shared" si="1"/>
        <v>No</v>
      </c>
      <c r="H12" s="133"/>
      <c r="I12" s="127"/>
      <c r="J12" s="76">
        <f t="shared" si="2"/>
        <v>1.2301352614609764</v>
      </c>
      <c r="K12" s="3">
        <f t="shared" si="3"/>
        <v>0.20712413200567595</v>
      </c>
      <c r="L12" s="3">
        <f t="shared" si="4"/>
        <v>0.18643319615454887</v>
      </c>
      <c r="M12" s="3">
        <f t="shared" si="5"/>
        <v>0.85356529687486082</v>
      </c>
      <c r="N12" s="35">
        <f t="shared" si="6"/>
        <v>1.7728377278575282</v>
      </c>
      <c r="P12" s="114"/>
      <c r="Q12" s="76">
        <f t="shared" si="7"/>
        <v>1.2292361205854105</v>
      </c>
      <c r="R12" s="3">
        <f t="shared" si="8"/>
        <v>0.18546919613264334</v>
      </c>
      <c r="S12" s="3">
        <f t="shared" si="9"/>
        <v>0.8545547202293482</v>
      </c>
      <c r="T12" s="35">
        <f t="shared" si="10"/>
        <v>1.7681974066521298</v>
      </c>
      <c r="V12" s="114"/>
      <c r="W12" s="76">
        <f t="shared" si="11"/>
        <v>2.9843322556577963E-3</v>
      </c>
      <c r="X12" s="3">
        <f t="shared" si="12"/>
        <v>2.6814128430539047E-3</v>
      </c>
      <c r="Y12" s="3">
        <f t="shared" si="13"/>
        <v>-2.2719316354535488E-3</v>
      </c>
      <c r="Z12" s="35">
        <f t="shared" si="14"/>
        <v>8.2405961467691413E-3</v>
      </c>
      <c r="AB12" s="114"/>
      <c r="AC12" s="76">
        <f t="shared" si="15"/>
        <v>1.2264150943396226</v>
      </c>
      <c r="AD12" s="3">
        <f t="shared" si="16"/>
        <v>0.20409535634351522</v>
      </c>
      <c r="AE12" s="3">
        <f t="shared" si="17"/>
        <v>0.18372574997435981</v>
      </c>
      <c r="AF12" s="3">
        <f t="shared" si="18"/>
        <v>0.85551238013565345</v>
      </c>
      <c r="AG12" s="35">
        <f t="shared" si="19"/>
        <v>1.7581206520770278</v>
      </c>
      <c r="AI12" s="133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12" s="6">
        <f>IF(AJ12&lt;&gt;"",IF(AJ12=0,COUNTIF(AJ$2:AJ11,0)+1,COUNTIF(AJ$2:AJ11,AJ12)+AJ12+COUNTIF(AJ:AJ,0)),"")</f>
        <v>3</v>
      </c>
      <c r="AL12" s="6">
        <f t="shared" si="20"/>
        <v>3</v>
      </c>
      <c r="AM12" s="3" t="str">
        <f>IF(AND(Include_study?="Yes",Sufficient_data="Yes",Input!Study_name&lt;&gt;""),Input!Study_name,"")</f>
        <v>Lu et al.</v>
      </c>
      <c r="AN12" s="6">
        <f t="shared" si="21"/>
        <v>8042</v>
      </c>
      <c r="AO12" s="3">
        <f t="shared" si="22"/>
        <v>1.2301352614609764</v>
      </c>
      <c r="AP12" s="3">
        <f t="shared" si="23"/>
        <v>28.770904131442915</v>
      </c>
      <c r="AQ12" s="3">
        <f t="shared" si="24"/>
        <v>25.746483257102199</v>
      </c>
      <c r="AR12" s="3">
        <f t="shared" si="25"/>
        <v>0.18643319615454887</v>
      </c>
      <c r="AS12" s="3">
        <f t="shared" si="26"/>
        <v>0.85356529687486082</v>
      </c>
      <c r="AT12" s="3">
        <f t="shared" si="27"/>
        <v>1.7728377278575282</v>
      </c>
      <c r="AU12" s="80">
        <f t="shared" si="28"/>
        <v>0.13687794464992548</v>
      </c>
      <c r="AW12" s="44">
        <f t="shared" si="29"/>
        <v>1.2301352614609764</v>
      </c>
      <c r="AX12" s="3">
        <f t="shared" si="30"/>
        <v>0.37656996458611558</v>
      </c>
      <c r="AY12" s="35">
        <f t="shared" si="31"/>
        <v>0.54270246639655184</v>
      </c>
      <c r="BD12" s="133"/>
      <c r="BE12" s="127"/>
      <c r="BF12" s="3">
        <f t="shared" si="32"/>
        <v>0.20712413200567595</v>
      </c>
      <c r="BG12" s="3">
        <f t="shared" si="33"/>
        <v>0.18643319615454887</v>
      </c>
      <c r="BH12" s="3">
        <f t="shared" si="34"/>
        <v>28.770904131442915</v>
      </c>
      <c r="BI12" s="3">
        <f t="shared" si="99"/>
        <v>25.746483257102199</v>
      </c>
      <c r="BJ12" s="35">
        <f t="shared" si="35"/>
        <v>0.17750802251569731</v>
      </c>
      <c r="BL12" s="3" t="s">
        <v>317</v>
      </c>
      <c r="BM12" s="3">
        <f>IF(Model_effect_size_measure="Risk Difference",CES_IV+ABS(TINV((1-Confidence_level),k_-1))*SECES_Risk_Difference,EXP(CIlnCES_UL))</f>
        <v>1.2310918421385402</v>
      </c>
      <c r="BO12" s="114"/>
      <c r="BP12" s="3">
        <f t="shared" si="36"/>
        <v>32.07162397413579</v>
      </c>
      <c r="BQ12" s="3">
        <f t="shared" si="37"/>
        <v>26.071623974135786</v>
      </c>
      <c r="BR12" s="3">
        <f t="shared" si="38"/>
        <v>16.083668178026564</v>
      </c>
      <c r="BS12" s="3">
        <f>IF(AND(Sufficient_data="Yes",Include_study?="Yes"),IF(Add_0_5="Yes",(a_+d_+1)*(ab_+0.5)*(c_+0.5)/(Number_of_subjects+2)^2,(a_+d_)*b_*c_/Number_of_subjects^2),"")</f>
        <v>13.074715181259592</v>
      </c>
      <c r="BT12" s="3">
        <f t="shared" si="39"/>
        <v>15.987955796109222</v>
      </c>
      <c r="BU12" s="3">
        <f t="shared" si="40"/>
        <v>12.996908792876196</v>
      </c>
      <c r="BV12" s="3">
        <f t="shared" si="41"/>
        <v>26.071623974135786</v>
      </c>
      <c r="BW12" s="3">
        <f t="shared" si="42"/>
        <v>0.90858568994664091</v>
      </c>
      <c r="BX12" s="3">
        <f t="shared" si="43"/>
        <v>25.722578351542438</v>
      </c>
      <c r="BY12" s="35">
        <f t="shared" si="44"/>
        <v>0.17750539936844228</v>
      </c>
      <c r="CA12" s="3" t="s">
        <v>317</v>
      </c>
      <c r="CB12" s="3">
        <f>EXP(CIlnCES_UL_MH)</f>
        <v>1.2310954116501927</v>
      </c>
      <c r="CD12" s="114"/>
      <c r="CE12" s="76">
        <f t="shared" si="45"/>
        <v>59</v>
      </c>
      <c r="CF12" s="3">
        <f t="shared" si="46"/>
        <v>29.070762342992165</v>
      </c>
      <c r="CG12" s="3">
        <f t="shared" si="47"/>
        <v>0.20639293628453359</v>
      </c>
      <c r="CH12" s="3">
        <f t="shared" si="48"/>
        <v>3.4398822714088929E-2</v>
      </c>
      <c r="CI12" s="3">
        <f t="shared" si="49"/>
        <v>29.070762342992165</v>
      </c>
      <c r="CJ12" s="3">
        <f t="shared" si="50"/>
        <v>25.912398782618673</v>
      </c>
      <c r="CK12" s="35">
        <f t="shared" si="51"/>
        <v>0.17664352612103096</v>
      </c>
      <c r="CM12" s="3" t="s">
        <v>317</v>
      </c>
      <c r="CN12" s="3">
        <f>EXP(CIlnCES_UL_Peto)</f>
        <v>1.2307422849809955</v>
      </c>
      <c r="CP12" s="114"/>
      <c r="CQ12" s="52">
        <f t="shared" si="52"/>
        <v>1.3180800795821936E-2</v>
      </c>
      <c r="CS12" s="2" t="s">
        <v>104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0.86325607247557679</v>
      </c>
      <c r="CU12" s="3">
        <f>IF(Model_effect_size_measure="Odds Ratio",CICES_LL_MH/(1-MEDIAN(Control_group_risk)+(MEDIAN(Control_group_risk)*CICES_LL_MH)),"")</f>
        <v>0.86325807783417052</v>
      </c>
      <c r="CV12" s="3" t="str">
        <f>IF(Model_effect_size_measure="Peto Odds Ratio",CICES_LL_Peto/(1-MEDIAN(Control_group_risk)+(MEDIAN(Control_group_risk)*CICES_LL_Peto)),"")</f>
        <v/>
      </c>
      <c r="CX12" s="133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206</v>
      </c>
      <c r="EY12" s="3" t="e">
        <f>IF(Subgroup_valid_options="Yes",IF(Subgroup_effect_size_measure="Risk Difference",EY9+ABS(TINV((1-Subgroup_confidence_level),Subgroup_k-1))*EY10,EXP(EY5)),"")</f>
        <v>#DIV/0!</v>
      </c>
      <c r="FA12" s="133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3"/>
      <c r="FS12" s="127"/>
      <c r="FT12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12" s="3">
        <f>IF(AND(Include_study?="Yes",Sufficient_data="Yes"),1/('Publication Bias Analysis'!F:F^2+IF(Additional_model="Fixed effect",0,Calculations!GH$12)),"")</f>
        <v>28.770904131442915</v>
      </c>
      <c r="FV12" s="3">
        <f>IF(AND(Include_study?="Yes",Sufficient_data="Yes"),1/('Publication Bias Analysis'!F:F^2+IF(Additional_model="Fixed effect",0,'Publication Bias Analysis'!L$32)),"")</f>
        <v>28.770904131442915</v>
      </c>
      <c r="FW12" s="3">
        <f>IF(AND(Include_study?="Yes",Sufficient_data="Yes"),'Publication Bias Analysis'!E:E-'Publication Bias Analysis'!I$37,"")</f>
        <v>0.17786582627093353</v>
      </c>
      <c r="FX12" s="3">
        <f>IF(AND(Include_study?="Yes",Sufficient_data="Yes"),IF(Additional_model="Fixed effect",1/'Publication Bias Analysis'!F:F,1/SQRT('Publication Bias Analysis'!F:F^2+GH$12)),"")</f>
        <v>5.3638516134810175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12" s="6">
        <f t="shared" si="80"/>
        <v>5</v>
      </c>
      <c r="GA12" s="83">
        <f>IF(AND(Include_study?="Yes",Sufficient_data="Yes"),FZ:FZ+IF(GL:GL&lt;0,-1,1)*COUNTIF(FZ$2:FZ11,FZ:FZ),"")</f>
        <v>5</v>
      </c>
      <c r="GB12" s="83">
        <f>IF(AND(Include_study?="Yes",Sufficient_data="Yes"),RANK(GP:GP,GP:GP,1)*IF(GO:GO&lt;0,-1,1)+IF(GO:GO&lt;0,-1,1)*COUNTIF(FZ$2:FZ11,FZ:FZ),"")</f>
        <v>5</v>
      </c>
      <c r="GC12" s="83">
        <f>IF(AND(Include_study?="Yes",Sufficient_data="Yes"),RANK(GS:GS,GS:GS,1)*IF(GR:GR&lt;0,-1,1)+IF(GR:GR&lt;0,-1,1)*COUNTIF(FZ$2:FZ11,FZ:FZ),"")</f>
        <v>5</v>
      </c>
      <c r="GD12" s="3">
        <f>IF(AND(Include_study?="Yes",Sufficient_data="Yes"),'Publication Bias Analysis'!E12,NA())</f>
        <v>0.20712413200567595</v>
      </c>
      <c r="GE12" s="35">
        <f>IF(AND(Include_study?="Yes",Sufficient_data="Yes"),'Publication Bias Analysis'!F12,NA())</f>
        <v>0.18643319615454887</v>
      </c>
      <c r="GG12" s="2" t="s">
        <v>155</v>
      </c>
      <c r="GH12" s="3">
        <f>MAX(0,(GH11-(k_-1))/((SUM(Calculations!FT:FT))-SUMPRODUCT(Calculations!FT:FT,Calculations!FT:FT)/SUM(Calculations!FT:FT)))</f>
        <v>4.082919340311221E-3</v>
      </c>
      <c r="GK12" s="114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0.17786582627093353</v>
      </c>
      <c r="GM12" s="3">
        <f t="shared" si="81"/>
        <v>0.17786582627093353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12" s="3">
        <f>IF(AND(Include_study?="Yes",Sufficient_data="Yes"),IF('Publication Bias Analysis'!L$38="Left",'Publication Bias Analysis'!E:E-GW$3,GW$3-'Publication Bias Analysis'!E:E),"")</f>
        <v>0.17786582627093353</v>
      </c>
      <c r="GP12" s="3">
        <f t="shared" si="82"/>
        <v>0.17786582627093353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12" s="3">
        <f>IF(AND(Include_study?="Yes",Sufficient_data="Yes"),IF('Publication Bias Analysis'!L$38="Left",'Publication Bias Analysis'!E:E-GW$10,GW$10-'Publication Bias Analysis'!E:E),"")</f>
        <v>0.17786582627093353</v>
      </c>
      <c r="GS12" s="3">
        <f t="shared" si="83"/>
        <v>0.17786582627093353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12" s="2" t="s">
        <v>67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6.7387650880213741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4"/>
      <c r="HL12" s="3">
        <f t="shared" si="89"/>
        <v>-0.12317254594210514</v>
      </c>
      <c r="HM12" s="35">
        <f>IF(AND(Include_study?="Yes",Sufficient_data="Yes"),Z_score-('Publication Bias Analysis'!P$3+'Publication Bias Analysis'!P$4*Inverse_standard_error),"")</f>
        <v>0.92325566557085337</v>
      </c>
      <c r="HO12" s="114"/>
      <c r="HP12" s="3">
        <f>IF(AND(Include_study?="Yes",Sufficient_data="Yes"),(GD:GD-SUMPRODUCT(Calculations!FT:FT,'Publication Bias Analysis'!E:E)/SUM(Calculations!FT:FT))/SQRT(Calculations!HQ:HQ),"")</f>
        <v>1.0263541653551451</v>
      </c>
      <c r="HQ12" s="3">
        <f>IF(AND(Include_study?="Yes",Sufficient_data="Yes"),GE:GE^2-1/SUM(Calculations!FT:FT),"")</f>
        <v>3.0032433908877887E-2</v>
      </c>
      <c r="HR12" s="6">
        <f t="shared" si="90"/>
        <v>2</v>
      </c>
      <c r="HS12" s="6">
        <f t="shared" si="91"/>
        <v>2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4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2</v>
      </c>
      <c r="HW12" s="114"/>
      <c r="HX12" s="135" t="s">
        <v>318</v>
      </c>
      <c r="HY12" s="116"/>
      <c r="IB12" s="114"/>
      <c r="IC12" s="76">
        <f t="shared" si="92"/>
        <v>1.6165133051479732E-2</v>
      </c>
      <c r="ID12" s="3">
        <f t="shared" si="93"/>
        <v>1.3180800795821936E-2</v>
      </c>
      <c r="IE12" s="3">
        <f t="shared" si="94"/>
        <v>29.625108001060759</v>
      </c>
      <c r="IF12" s="35">
        <f t="shared" si="95"/>
        <v>28.770904131442915</v>
      </c>
      <c r="IK12" s="114"/>
      <c r="IL12" s="3">
        <f>IF(AND(Include_study?="Yes",Sufficient_data="Yes"),'Publication Bias Analysis'!AV:AV,NA())</f>
        <v>1.1109831096495002</v>
      </c>
      <c r="IM12" s="3">
        <f>IF(AND(Sufficient_data="Yes",Include_study?="Yes"),'Publication Bias Analysis'!AU:AU,NA())</f>
        <v>5.3638516134810175</v>
      </c>
      <c r="IN12" s="3">
        <f t="shared" si="96"/>
        <v>-0.12317254594210514</v>
      </c>
      <c r="IO12" s="35">
        <f>IF(AND(Include_study?="Yes",Sufficient_data="Yes"),Z_score-('Publication Bias Analysis'!AY$30+'Publication Bias Analysis'!AY$31*Inverse_standard_error),"")</f>
        <v>0.9540458992264812</v>
      </c>
      <c r="IU12" s="114"/>
      <c r="IV12" s="6">
        <f>IF('Publication Bias Analysis'!BG:BG&lt;&gt;"",RANK('Publication Bias Analysis'!BG:BG,'Publication Bias Analysis'!BG:BG,1)+COUNTIF('Publication Bias Analysis'!BG$2:BG11,'Publication Bias Analysis'!BG12),"")</f>
        <v>6</v>
      </c>
      <c r="IW12" s="3">
        <f t="shared" si="97"/>
        <v>0.77272727272727282</v>
      </c>
      <c r="IX12" s="3">
        <f>IF('Publication Bias Analysis'!BF12&lt;&gt;"",'Publication Bias Analysis'!BF12,NA())</f>
        <v>0.7478585947633023</v>
      </c>
      <c r="IY12" s="3">
        <f>IF('Publication Bias Analysis'!BG12&lt;&gt;"",'Publication Bias Analysis'!BG12,NA())</f>
        <v>1.1109831096495002</v>
      </c>
      <c r="IZ12" s="3">
        <f>IF(AND(Include_study?="Yes",Sufficient_data="Yes"),'Publication Bias Analysis'!BF:BF-AVERAGE('Publication Bias Analysis'!BF:BF),"")</f>
        <v>0.74785859476330208</v>
      </c>
      <c r="JA12" s="35">
        <f>IF(AND(Include_study?="Yes",Sufficient_data="Yes"),'Publication Bias Analysis'!BG:BG-('Publication Bias Analysis'!BJ$30+'Publication Bias Analysis'!BJ$31*'Publication Bias Analysis'!BF:BF),"")</f>
        <v>8.2968038913596942E-2</v>
      </c>
      <c r="JG12" s="114"/>
      <c r="JH12" s="3">
        <f t="shared" si="98"/>
        <v>1.1109831096495002</v>
      </c>
      <c r="JI12" s="10">
        <f t="shared" si="124"/>
        <v>0.13328780981083344</v>
      </c>
      <c r="JJ12" s="35">
        <f t="shared" si="125"/>
        <v>-2.0152445052602839</v>
      </c>
    </row>
    <row r="13" spans="1:270" ht="14" x14ac:dyDescent="0.35">
      <c r="A13" s="2">
        <f t="shared" si="0"/>
        <v>4</v>
      </c>
      <c r="B13" s="6">
        <f>IF(AND(Include_study?="Yes",Sufficient_data="Yes"),IF(Input!a_&lt;&gt;"",Input!a_,Input!n1_-Input!b_),"")</f>
        <v>70</v>
      </c>
      <c r="C13" s="6">
        <f>IF(AND(Include_study?="Yes",Sufficient_data="Yes"),IF(Input!b_&lt;&gt;"",Input!b_,Input!n1_-Input!a_),"")</f>
        <v>5468</v>
      </c>
      <c r="D13" s="6">
        <f>IF(AND(Include_study?="Yes",Sufficient_data="Yes"),IF(Input!c_&lt;&gt;"",Input!c_,Input!n2_-Input!d_),"")</f>
        <v>61</v>
      </c>
      <c r="E13" s="6">
        <f>IF(AND(Include_study?="Yes",Sufficient_data="Yes"),IF(Input!d_&lt;&gt;"",Input!d_,Input!n2_-Input!c_),"")</f>
        <v>5477</v>
      </c>
      <c r="F13" s="35" t="str">
        <f t="shared" si="1"/>
        <v>No</v>
      </c>
      <c r="H13" s="133"/>
      <c r="I13" s="127"/>
      <c r="J13" s="76">
        <f t="shared" si="2"/>
        <v>1.1494297672299039</v>
      </c>
      <c r="K13" s="3">
        <f t="shared" si="3"/>
        <v>0.13926596481592882</v>
      </c>
      <c r="L13" s="3">
        <f t="shared" si="4"/>
        <v>0.17619483771616601</v>
      </c>
      <c r="M13" s="3">
        <f t="shared" si="5"/>
        <v>0.81374574051227822</v>
      </c>
      <c r="N13" s="35">
        <f t="shared" si="6"/>
        <v>1.6235891925682604</v>
      </c>
      <c r="P13" s="114"/>
      <c r="Q13" s="76">
        <f t="shared" si="7"/>
        <v>1.1491661732246303</v>
      </c>
      <c r="R13" s="3">
        <f t="shared" si="8"/>
        <v>0.1757754960965412</v>
      </c>
      <c r="S13" s="3">
        <f t="shared" si="9"/>
        <v>0.8142281353049915</v>
      </c>
      <c r="T13" s="35">
        <f t="shared" si="10"/>
        <v>1.6218831509538545</v>
      </c>
      <c r="V13" s="114"/>
      <c r="W13" s="76">
        <f t="shared" si="11"/>
        <v>1.6251354279523296E-3</v>
      </c>
      <c r="X13" s="3">
        <f t="shared" si="12"/>
        <v>2.0544086647739756E-3</v>
      </c>
      <c r="Y13" s="3">
        <f t="shared" si="13"/>
        <v>-2.4018717070477232E-3</v>
      </c>
      <c r="Z13" s="35">
        <f t="shared" si="14"/>
        <v>5.6521425629523824E-3</v>
      </c>
      <c r="AB13" s="114"/>
      <c r="AC13" s="76">
        <f t="shared" si="15"/>
        <v>1.1475409836065573</v>
      </c>
      <c r="AD13" s="3">
        <f t="shared" si="16"/>
        <v>0.1376213778760477</v>
      </c>
      <c r="AE13" s="3">
        <f t="shared" si="17"/>
        <v>0.17412069291860022</v>
      </c>
      <c r="AF13" s="3">
        <f t="shared" si="18"/>
        <v>0.8157182925565305</v>
      </c>
      <c r="AG13" s="35">
        <f t="shared" si="19"/>
        <v>1.6143444631229051</v>
      </c>
      <c r="AI13" s="133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13" s="6">
        <f>IF(AJ13&lt;&gt;"",IF(AJ13=0,COUNTIF(AJ$2:AJ12,0)+1,COUNTIF(AJ$2:AJ12,AJ13)+AJ13+COUNTIF(AJ:AJ,0)),"")</f>
        <v>4</v>
      </c>
      <c r="AL13" s="6">
        <f t="shared" si="20"/>
        <v>4</v>
      </c>
      <c r="AM13" s="3" t="str">
        <f>IF(AND(Include_study?="Yes",Sufficient_data="Yes",Input!Study_name&lt;&gt;""),Input!Study_name,"")</f>
        <v>Seo et al.</v>
      </c>
      <c r="AN13" s="6">
        <f t="shared" si="21"/>
        <v>11076</v>
      </c>
      <c r="AO13" s="3">
        <f t="shared" si="22"/>
        <v>1.1494297672299039</v>
      </c>
      <c r="AP13" s="3">
        <f t="shared" si="23"/>
        <v>32.211699579901385</v>
      </c>
      <c r="AQ13" s="3">
        <f t="shared" si="24"/>
        <v>28.467692156320719</v>
      </c>
      <c r="AR13" s="3">
        <f t="shared" si="25"/>
        <v>0.17619483771616601</v>
      </c>
      <c r="AS13" s="3">
        <f t="shared" si="26"/>
        <v>0.81374574051227822</v>
      </c>
      <c r="AT13" s="3">
        <f t="shared" si="27"/>
        <v>1.6235891925682604</v>
      </c>
      <c r="AU13" s="80">
        <f t="shared" si="28"/>
        <v>0.15134490999694505</v>
      </c>
      <c r="AW13" s="44">
        <f t="shared" si="29"/>
        <v>1.1494297672299039</v>
      </c>
      <c r="AX13" s="3">
        <f t="shared" si="30"/>
        <v>0.33568402671762565</v>
      </c>
      <c r="AY13" s="35">
        <f t="shared" si="31"/>
        <v>0.47415942533835653</v>
      </c>
      <c r="BD13" s="133"/>
      <c r="BE13" s="127"/>
      <c r="BF13" s="3">
        <f t="shared" si="32"/>
        <v>0.13926596481592882</v>
      </c>
      <c r="BG13" s="3">
        <f t="shared" si="33"/>
        <v>0.17619483771616601</v>
      </c>
      <c r="BH13" s="3">
        <f t="shared" si="34"/>
        <v>32.211699579901385</v>
      </c>
      <c r="BI13" s="3">
        <f t="shared" si="99"/>
        <v>28.467692156320719</v>
      </c>
      <c r="BJ13" s="35">
        <f t="shared" si="35"/>
        <v>0.10964985532595017</v>
      </c>
      <c r="BL13" s="3" t="s">
        <v>319</v>
      </c>
      <c r="BM13" s="3">
        <f>IF(Model_effect_size_measure="Risk Difference",CES_IV-ABS(TINV((1-Confidence_level),k_-1))*SQRT(T2_+SECES_Risk_Difference^2),EXP(PIlnCES_LL))</f>
        <v>0.8126002299680507</v>
      </c>
      <c r="BO13" s="114"/>
      <c r="BP13" s="3">
        <f t="shared" si="36"/>
        <v>34.614481762369088</v>
      </c>
      <c r="BQ13" s="3">
        <f t="shared" si="37"/>
        <v>30.114481762369085</v>
      </c>
      <c r="BR13" s="3">
        <f t="shared" si="38"/>
        <v>17.335367491500662</v>
      </c>
      <c r="BS13" s="3">
        <f>IF(AND(Sufficient_data="Yes",Include_study?="Yes"),IF(Add_0_5="Yes",(a_+d_+1)*(ab_+0.5)*(c_+0.5)/(Number_of_subjects+2)^2,(a_+d_)*b_*c_/Number_of_subjects^2),"")</f>
        <v>15.081710936787768</v>
      </c>
      <c r="BT13" s="3">
        <f t="shared" si="39"/>
        <v>17.279114270868426</v>
      </c>
      <c r="BU13" s="3">
        <f t="shared" si="40"/>
        <v>15.032770825581318</v>
      </c>
      <c r="BV13" s="3">
        <f t="shared" si="41"/>
        <v>30.114481762369085</v>
      </c>
      <c r="BW13" s="3">
        <f t="shared" si="42"/>
        <v>0.38869583888332082</v>
      </c>
      <c r="BX13" s="3">
        <f t="shared" si="43"/>
        <v>28.438469943164154</v>
      </c>
      <c r="BY13" s="35">
        <f t="shared" si="44"/>
        <v>0.10964723217869514</v>
      </c>
      <c r="CA13" s="3" t="s">
        <v>319</v>
      </c>
      <c r="CB13" s="3">
        <f>EXP(PIlnCES_LL_MH)</f>
        <v>0.81223233648423676</v>
      </c>
      <c r="CD13" s="114"/>
      <c r="CE13" s="76">
        <f t="shared" si="45"/>
        <v>65.5</v>
      </c>
      <c r="CF13" s="3">
        <f t="shared" si="46"/>
        <v>32.365575620767494</v>
      </c>
      <c r="CG13" s="3">
        <f t="shared" si="47"/>
        <v>0.13903661262593328</v>
      </c>
      <c r="CH13" s="3">
        <f t="shared" si="48"/>
        <v>3.0897025027985171E-2</v>
      </c>
      <c r="CI13" s="3">
        <f t="shared" si="49"/>
        <v>32.365575620767494</v>
      </c>
      <c r="CJ13" s="3">
        <f t="shared" si="50"/>
        <v>28.498337283569814</v>
      </c>
      <c r="CK13" s="35">
        <f t="shared" si="51"/>
        <v>0.10928720246243064</v>
      </c>
      <c r="CM13" s="3" t="s">
        <v>319</v>
      </c>
      <c r="CN13" s="3">
        <f>EXP(PIlnCES_LL_Peto)</f>
        <v>0.81183887482332939</v>
      </c>
      <c r="CP13" s="114"/>
      <c r="CQ13" s="52">
        <f t="shared" si="52"/>
        <v>1.1014806789454677E-2</v>
      </c>
      <c r="CS13" s="2" t="s">
        <v>105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1.2277564548765816</v>
      </c>
      <c r="CU13" s="3">
        <f>IF(Model_effect_size_measure="Odds Ratio",CICES_UL_MH/(1-MEDIAN(Control_group_risk)+(MEDIAN(Control_group_risk)*CICES_UL_MH)),"")</f>
        <v>1.2277599633374594</v>
      </c>
      <c r="CV13" s="3" t="str">
        <f>IF(Model_effect_size_measure="Peto Odds Ratio",CICES_UL_Peto/(1-MEDIAN(Control_group_risk)+(MEDIAN(Control_group_risk)*CICES_UL_Peto)),"")</f>
        <v/>
      </c>
      <c r="CX13" s="133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320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3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3"/>
      <c r="FS13" s="127"/>
      <c r="FT13" s="76">
        <f>IF(AND(Include_study?="Yes",Sufficient_data="Yes"),IF(Additional_weighting_method="Inverse Variance",1/'Publication Bias Analysis'!F:F^2,IF(Additional_weighting_method="Mantel-Haenszel",Weightf_MH,Weightf_Peto)),"")</f>
        <v>32.211699579901385</v>
      </c>
      <c r="FU13" s="3">
        <f>IF(AND(Include_study?="Yes",Sufficient_data="Yes"),1/('Publication Bias Analysis'!F:F^2+IF(Additional_model="Fixed effect",0,Calculations!GH$12)),"")</f>
        <v>32.211699579901385</v>
      </c>
      <c r="FV13" s="3">
        <f>IF(AND(Include_study?="Yes",Sufficient_data="Yes"),1/('Publication Bias Analysis'!F:F^2+IF(Additional_model="Fixed effect",0,'Publication Bias Analysis'!L$32)),"")</f>
        <v>32.211699579901385</v>
      </c>
      <c r="FW13" s="3">
        <f>IF(AND(Include_study?="Yes",Sufficient_data="Yes"),'Publication Bias Analysis'!E:E-'Publication Bias Analysis'!I$37,"")</f>
        <v>0.11000765908118641</v>
      </c>
      <c r="FX13" s="3">
        <f>IF(AND(Include_study?="Yes",Sufficient_data="Yes"),IF(Additional_model="Fixed effect",1/'Publication Bias Analysis'!F:F,1/SQRT('Publication Bias Analysis'!F:F^2+GH$12)),"")</f>
        <v>5.6755351800426173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0.79040888269538134</v>
      </c>
      <c r="FZ13" s="6">
        <f t="shared" si="80"/>
        <v>2</v>
      </c>
      <c r="GA13" s="83">
        <f>IF(AND(Include_study?="Yes",Sufficient_data="Yes"),FZ:FZ+IF(GL:GL&lt;0,-1,1)*COUNTIF(FZ$2:FZ12,FZ:FZ),"")</f>
        <v>2</v>
      </c>
      <c r="GB13" s="83">
        <f>IF(AND(Include_study?="Yes",Sufficient_data="Yes"),RANK(GP:GP,GP:GP,1)*IF(GO:GO&lt;0,-1,1)+IF(GO:GO&lt;0,-1,1)*COUNTIF(FZ$2:FZ12,FZ:FZ),"")</f>
        <v>2</v>
      </c>
      <c r="GC13" s="83">
        <f>IF(AND(Include_study?="Yes",Sufficient_data="Yes"),RANK(GS:GS,GS:GS,1)*IF(GR:GR&lt;0,-1,1)+IF(GR:GR&lt;0,-1,1)*COUNTIF(FZ$2:FZ12,FZ:FZ),"")</f>
        <v>2</v>
      </c>
      <c r="GD13" s="3">
        <f>IF(AND(Include_study?="Yes",Sufficient_data="Yes"),'Publication Bias Analysis'!E13,NA())</f>
        <v>0.13926596481592882</v>
      </c>
      <c r="GE13" s="35">
        <f>IF(AND(Include_study?="Yes",Sufficient_data="Yes"),'Publication Bias Analysis'!F13,NA())</f>
        <v>0.17619483771616601</v>
      </c>
      <c r="GK13" s="114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0.11000765908118641</v>
      </c>
      <c r="GM13" s="3">
        <f t="shared" si="81"/>
        <v>0.11000765908118641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32.211699579901385</v>
      </c>
      <c r="GO13" s="3">
        <f>IF(AND(Include_study?="Yes",Sufficient_data="Yes"),IF('Publication Bias Analysis'!L$38="Left",'Publication Bias Analysis'!E:E-GW$3,GW$3-'Publication Bias Analysis'!E:E),"")</f>
        <v>0.11000765908118641</v>
      </c>
      <c r="GP13" s="3">
        <f t="shared" si="82"/>
        <v>0.11000765908118641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32.211699579901385</v>
      </c>
      <c r="GR13" s="3">
        <f>IF(AND(Include_study?="Yes",Sufficient_data="Yes"),IF('Publication Bias Analysis'!L$38="Left",'Publication Bias Analysis'!E:E-GW$10,GW$10-'Publication Bias Analysis'!E:E),"")</f>
        <v>0.11000765908118641</v>
      </c>
      <c r="GS13" s="3">
        <f t="shared" si="83"/>
        <v>0.11000765908118641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32.211699579901385</v>
      </c>
      <c r="GV13" s="2" t="s">
        <v>155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4"/>
      <c r="HL13" s="3">
        <f t="shared" si="89"/>
        <v>0.18851102061949465</v>
      </c>
      <c r="HM13" s="35">
        <f>IF(AND(Include_study?="Yes",Sufficient_data="Yes"),Z_score-('Publication Bias Analysis'!P$3+'Publication Bias Analysis'!P$4*Inverse_standard_error),"")</f>
        <v>0.65910962096346404</v>
      </c>
      <c r="HO13" s="114"/>
      <c r="HP13" s="3">
        <f>IF(AND(Include_study?="Yes",Sufficient_data="Yes"),(GD:GD-SUMPRODUCT(Calculations!FT:FT,'Publication Bias Analysis'!E:E)/SUM(Calculations!FT:FT))/SQRT(Calculations!HQ:HQ),"")</f>
        <v>0.6780821410314779</v>
      </c>
      <c r="HQ13" s="3">
        <f>IF(AND(Include_study?="Yes",Sufficient_data="Yes"),GE:GE^2-1/SUM(Calculations!FT:FT),"")</f>
        <v>2.6319718118303463E-2</v>
      </c>
      <c r="HR13" s="6">
        <f t="shared" si="90"/>
        <v>3</v>
      </c>
      <c r="HS13" s="6">
        <f t="shared" si="91"/>
        <v>5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4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2</v>
      </c>
      <c r="HW13" s="114"/>
      <c r="HX13" s="2" t="s">
        <v>321</v>
      </c>
      <c r="HY13" s="3">
        <f>MAX(MAX(Standardized_residual),ABS(MIN(Standardized_residual)))</f>
        <v>1.6750495980659135</v>
      </c>
      <c r="IB13" s="114"/>
      <c r="IC13" s="76">
        <f t="shared" si="92"/>
        <v>1.2639942217407007E-2</v>
      </c>
      <c r="ID13" s="3">
        <f t="shared" si="93"/>
        <v>1.1014806789454677E-2</v>
      </c>
      <c r="IE13" s="3">
        <f t="shared" si="94"/>
        <v>32.983688966130963</v>
      </c>
      <c r="IF13" s="35">
        <f t="shared" si="95"/>
        <v>32.211699579901385</v>
      </c>
      <c r="IK13" s="114"/>
      <c r="IL13" s="3">
        <f>IF(AND(Include_study?="Yes",Sufficient_data="Yes"),'Publication Bias Analysis'!AV:AV,NA())</f>
        <v>0.79040888269538134</v>
      </c>
      <c r="IM13" s="3">
        <f>IF(AND(Sufficient_data="Yes",Include_study?="Yes"),'Publication Bias Analysis'!AU:AU,NA())</f>
        <v>5.6755351800426173</v>
      </c>
      <c r="IN13" s="3">
        <f t="shared" si="96"/>
        <v>0.18851102061949465</v>
      </c>
      <c r="IO13" s="35">
        <f>IF(AND(Include_study?="Yes",Sufficient_data="Yes"),Z_score-('Publication Bias Analysis'!AY$30+'Publication Bias Analysis'!AY$31*Inverse_standard_error),"")</f>
        <v>0.62435233918940813</v>
      </c>
      <c r="IU13" s="114"/>
      <c r="IV13" s="6">
        <f>IF('Publication Bias Analysis'!BG:BG&lt;&gt;"",RANK('Publication Bias Analysis'!BG:BG,'Publication Bias Analysis'!BG:BG,1)+COUNTIF('Publication Bias Analysis'!BG$2:BG12,'Publication Bias Analysis'!BG13),"")</f>
        <v>5</v>
      </c>
      <c r="IW13" s="3">
        <f t="shared" si="97"/>
        <v>0.63636363636363646</v>
      </c>
      <c r="IX13" s="3">
        <f>IF('Publication Bias Analysis'!BF13&lt;&gt;"",'Publication Bias Analysis'!BF13,NA())</f>
        <v>0.34875569551704505</v>
      </c>
      <c r="IY13" s="3">
        <f>IF('Publication Bias Analysis'!BG13&lt;&gt;"",'Publication Bias Analysis'!BG13,NA())</f>
        <v>0.79040888269538134</v>
      </c>
      <c r="IZ13" s="3">
        <f>IF(AND(Include_study?="Yes",Sufficient_data="Yes"),'Publication Bias Analysis'!BF:BF-AVERAGE('Publication Bias Analysis'!BF:BF),"")</f>
        <v>0.34875569551704477</v>
      </c>
      <c r="JA13" s="35">
        <f>IF(AND(Include_study?="Yes",Sufficient_data="Yes"),'Publication Bias Analysis'!BG:BG-('Publication Bias Analysis'!BJ$30+'Publication Bias Analysis'!BJ$31*'Publication Bias Analysis'!BF:BF),"")</f>
        <v>0.22272287010283931</v>
      </c>
      <c r="JG13" s="114"/>
      <c r="JH13" s="3">
        <f t="shared" si="98"/>
        <v>0.79040888269538134</v>
      </c>
      <c r="JI13" s="10">
        <f t="shared" si="124"/>
        <v>0.21464450815582592</v>
      </c>
      <c r="JJ13" s="35">
        <f t="shared" si="125"/>
        <v>-1.5387720697503282</v>
      </c>
    </row>
    <row r="14" spans="1:270" ht="13.5" customHeight="1" x14ac:dyDescent="0.35">
      <c r="A14" s="2">
        <f t="shared" si="0"/>
        <v>5</v>
      </c>
      <c r="B14" s="6">
        <f>IF(AND(Include_study?="Yes",Sufficient_data="Yes"),IF(Input!a_&lt;&gt;"",Input!a_,Input!n1_-Input!b_),"")</f>
        <v>61</v>
      </c>
      <c r="C14" s="6">
        <f>IF(AND(Include_study?="Yes",Sufficient_data="Yes"),IF(Input!b_&lt;&gt;"",Input!b_,Input!n1_-Input!a_),"")</f>
        <v>6489</v>
      </c>
      <c r="D14" s="6">
        <f>IF(AND(Include_study?="Yes",Sufficient_data="Yes"),IF(Input!c_&lt;&gt;"",Input!c_,Input!n2_-Input!d_),"")</f>
        <v>77</v>
      </c>
      <c r="E14" s="6">
        <f>IF(AND(Include_study?="Yes",Sufficient_data="Yes"),IF(Input!d_&lt;&gt;"",Input!d_,Input!n2_-Input!c_),"")</f>
        <v>6473</v>
      </c>
      <c r="F14" s="35" t="str">
        <f t="shared" si="1"/>
        <v>No</v>
      </c>
      <c r="H14" s="133"/>
      <c r="I14" s="127"/>
      <c r="J14" s="76">
        <f t="shared" si="2"/>
        <v>0.79025443657898586</v>
      </c>
      <c r="K14" s="3">
        <f t="shared" si="3"/>
        <v>-0.23540031375603082</v>
      </c>
      <c r="L14" s="3">
        <f t="shared" si="4"/>
        <v>0.17230510855134057</v>
      </c>
      <c r="M14" s="3">
        <f t="shared" si="5"/>
        <v>0.56375059592183063</v>
      </c>
      <c r="N14" s="35">
        <f t="shared" si="6"/>
        <v>1.1077630410511592</v>
      </c>
      <c r="P14" s="114"/>
      <c r="Q14" s="76">
        <f t="shared" si="7"/>
        <v>0.79109681479231753</v>
      </c>
      <c r="R14" s="3">
        <f t="shared" si="8"/>
        <v>0.17114866464024309</v>
      </c>
      <c r="S14" s="3">
        <f t="shared" si="9"/>
        <v>0.56563225238121961</v>
      </c>
      <c r="T14" s="35">
        <f t="shared" si="10"/>
        <v>1.1064329654822378</v>
      </c>
      <c r="V14" s="114"/>
      <c r="W14" s="76">
        <f t="shared" si="11"/>
        <v>-2.4427480916030531E-3</v>
      </c>
      <c r="X14" s="3">
        <f t="shared" si="12"/>
        <v>1.783887755037992E-3</v>
      </c>
      <c r="Y14" s="3">
        <f t="shared" si="13"/>
        <v>-5.9394269657924575E-3</v>
      </c>
      <c r="Z14" s="35">
        <f t="shared" si="14"/>
        <v>1.0539307825863514E-3</v>
      </c>
      <c r="AB14" s="114"/>
      <c r="AC14" s="76">
        <f t="shared" si="15"/>
        <v>0.79220779220779225</v>
      </c>
      <c r="AD14" s="3">
        <f t="shared" si="16"/>
        <v>-0.23293155768037255</v>
      </c>
      <c r="AE14" s="3">
        <f t="shared" si="17"/>
        <v>0.17051425775727211</v>
      </c>
      <c r="AF14" s="3">
        <f t="shared" si="18"/>
        <v>0.56713140481503288</v>
      </c>
      <c r="AG14" s="35">
        <f t="shared" si="19"/>
        <v>1.1066098274692282</v>
      </c>
      <c r="AI14" s="133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14" s="6">
        <f>IF(AJ14&lt;&gt;"",IF(AJ14=0,COUNTIF(AJ$2:AJ13,0)+1,COUNTIF(AJ$2:AJ13,AJ14)+AJ14+COUNTIF(AJ:AJ,0)),"")</f>
        <v>5</v>
      </c>
      <c r="AL14" s="6">
        <f t="shared" si="20"/>
        <v>5</v>
      </c>
      <c r="AM14" s="3" t="str">
        <f>IF(AND(Include_study?="Yes",Sufficient_data="Yes",Input!Study_name&lt;&gt;""),Input!Study_name,"")</f>
        <v>Law et al.</v>
      </c>
      <c r="AN14" s="6">
        <f t="shared" si="21"/>
        <v>13100</v>
      </c>
      <c r="AO14" s="3">
        <f t="shared" si="22"/>
        <v>0.79025443657898586</v>
      </c>
      <c r="AP14" s="3">
        <f t="shared" si="23"/>
        <v>33.682451456655855</v>
      </c>
      <c r="AQ14" s="3">
        <f t="shared" si="24"/>
        <v>29.610354584456115</v>
      </c>
      <c r="AR14" s="3">
        <f t="shared" si="25"/>
        <v>0.17230510855134057</v>
      </c>
      <c r="AS14" s="3">
        <f t="shared" si="26"/>
        <v>0.56375059592183063</v>
      </c>
      <c r="AT14" s="3">
        <f t="shared" si="27"/>
        <v>1.1077630410511592</v>
      </c>
      <c r="AU14" s="80">
        <f t="shared" si="28"/>
        <v>0.15741973128535233</v>
      </c>
      <c r="AW14" s="44">
        <f t="shared" si="29"/>
        <v>0.79025443657898586</v>
      </c>
      <c r="AX14" s="3">
        <f t="shared" si="30"/>
        <v>0.22650384065715523</v>
      </c>
      <c r="AY14" s="35">
        <f t="shared" si="31"/>
        <v>0.31750860447217333</v>
      </c>
      <c r="BD14" s="133"/>
      <c r="BE14" s="127"/>
      <c r="BF14" s="3">
        <f t="shared" si="32"/>
        <v>-0.23540031375603082</v>
      </c>
      <c r="BG14" s="3">
        <f t="shared" si="33"/>
        <v>0.17230510855134057</v>
      </c>
      <c r="BH14" s="3">
        <f t="shared" si="34"/>
        <v>33.682451456655855</v>
      </c>
      <c r="BI14" s="3">
        <f t="shared" si="99"/>
        <v>29.610354584456115</v>
      </c>
      <c r="BJ14" s="35">
        <f t="shared" si="35"/>
        <v>-0.26501642324600949</v>
      </c>
      <c r="BL14" s="3" t="s">
        <v>322</v>
      </c>
      <c r="BM14" s="3">
        <f>IF(Model_effect_size_measure="Risk Difference",CES_IV+ABS(TINV((1-Confidence_level),k_-1))*SQRT(T2_+SECES_Risk_Difference^2),EXP(PIlnCES_UL))</f>
        <v>1.3057116677532297</v>
      </c>
      <c r="BO14" s="114"/>
      <c r="BP14" s="3">
        <f t="shared" si="36"/>
        <v>30.141450381679391</v>
      </c>
      <c r="BQ14" s="3">
        <f t="shared" si="37"/>
        <v>38.141450381679391</v>
      </c>
      <c r="BR14" s="3">
        <f t="shared" si="38"/>
        <v>15.033911205640697</v>
      </c>
      <c r="BS14" s="3">
        <f>IF(AND(Sufficient_data="Yes",Include_study?="Yes"),IF(Add_0_5="Yes",(a_+d_+1)*(ab_+0.5)*(c_+0.5)/(Number_of_subjects+2)^2,(a_+d_)*b_*c_/Number_of_subjects^2),"")</f>
        <v>19.024140213274286</v>
      </c>
      <c r="BT14" s="3">
        <f t="shared" si="39"/>
        <v>15.107539176038692</v>
      </c>
      <c r="BU14" s="3">
        <f t="shared" si="40"/>
        <v>19.117310168405105</v>
      </c>
      <c r="BV14" s="3">
        <f t="shared" si="41"/>
        <v>38.141450381679391</v>
      </c>
      <c r="BW14" s="3">
        <f t="shared" si="42"/>
        <v>2.3620802845583695</v>
      </c>
      <c r="BX14" s="3">
        <f t="shared" si="43"/>
        <v>29.578740696836878</v>
      </c>
      <c r="BY14" s="35">
        <f t="shared" si="44"/>
        <v>-0.26501904639326451</v>
      </c>
      <c r="CA14" s="3" t="s">
        <v>322</v>
      </c>
      <c r="CB14" s="3">
        <f>EXP(PIlnCES_UL_MH)</f>
        <v>1.3063099316229176</v>
      </c>
      <c r="CD14" s="114"/>
      <c r="CE14" s="76">
        <f t="shared" si="45"/>
        <v>69</v>
      </c>
      <c r="CF14" s="3">
        <f t="shared" si="46"/>
        <v>34.139170929078553</v>
      </c>
      <c r="CG14" s="3">
        <f t="shared" si="47"/>
        <v>-0.23433492326510716</v>
      </c>
      <c r="CH14" s="3">
        <f t="shared" si="48"/>
        <v>2.9291865408138395E-2</v>
      </c>
      <c r="CI14" s="3">
        <f t="shared" si="49"/>
        <v>34.139170929078553</v>
      </c>
      <c r="CJ14" s="3">
        <f t="shared" si="50"/>
        <v>29.864468904828708</v>
      </c>
      <c r="CK14" s="35">
        <f t="shared" si="51"/>
        <v>-0.26408433342860982</v>
      </c>
      <c r="CM14" s="3" t="s">
        <v>322</v>
      </c>
      <c r="CN14" s="3">
        <f>EXP(PIlnCES_UL_Peto)</f>
        <v>1.3072846618948719</v>
      </c>
      <c r="CP14" s="114"/>
      <c r="CQ14" s="52">
        <f t="shared" si="52"/>
        <v>1.1755725190839695E-2</v>
      </c>
      <c r="CS14" s="2" t="s">
        <v>303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0.81439435718551556</v>
      </c>
      <c r="CU14" s="3">
        <f>IF(Model_effect_size_measure="Odds Ratio",PICES_LL_MH/(1-MEDIAN(Control_group_risk)+(MEDIAN(Control_group_risk)*PICES_LL_MH)),"")</f>
        <v>0.81402917976639189</v>
      </c>
      <c r="CV14" s="3" t="str">
        <f>IF(Model_effect_size_measure="Peto Odds Ratio",PICES_LL_Peto/(1-MEDIAN(Control_group_risk)+(MEDIAN(Control_group_risk)*PICES_LL_Peto)),"")</f>
        <v/>
      </c>
      <c r="CX14" s="133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323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3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3"/>
      <c r="FS14" s="127"/>
      <c r="FT14" s="76">
        <f>IF(AND(Include_study?="Yes",Sufficient_data="Yes"),IF(Additional_weighting_method="Inverse Variance",1/'Publication Bias Analysis'!F:F^2,IF(Additional_weighting_method="Mantel-Haenszel",Weightf_MH,Weightf_Peto)),"")</f>
        <v>33.682451456655855</v>
      </c>
      <c r="FU14" s="3">
        <f>IF(AND(Include_study?="Yes",Sufficient_data="Yes"),1/('Publication Bias Analysis'!F:F^2+IF(Additional_model="Fixed effect",0,Calculations!GH$12)),"")</f>
        <v>33.682451456655855</v>
      </c>
      <c r="FV14" s="3">
        <f>IF(AND(Include_study?="Yes",Sufficient_data="Yes"),1/('Publication Bias Analysis'!F:F^2+IF(Additional_model="Fixed effect",0,'Publication Bias Analysis'!L$32)),"")</f>
        <v>33.682451456655855</v>
      </c>
      <c r="FW14" s="3">
        <f>IF(AND(Include_study?="Yes",Sufficient_data="Yes"),'Publication Bias Analysis'!E:E-'Publication Bias Analysis'!I$37,"")</f>
        <v>-0.26465861949077324</v>
      </c>
      <c r="FX14" s="3">
        <f>IF(AND(Include_study?="Yes",Sufficient_data="Yes"),IF(Additional_model="Fixed effect",1/'Publication Bias Analysis'!F:F,1/SQRT('Publication Bias Analysis'!F:F^2+GH$12)),"")</f>
        <v>5.8036584545143466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-1.3661830211255181</v>
      </c>
      <c r="FZ14" s="6">
        <f t="shared" si="80"/>
        <v>-7</v>
      </c>
      <c r="GA14" s="83">
        <f>IF(AND(Include_study?="Yes",Sufficient_data="Yes"),FZ:FZ+IF(GL:GL&lt;0,-1,1)*COUNTIF(FZ$2:FZ13,FZ:FZ),"")</f>
        <v>-7</v>
      </c>
      <c r="GB14" s="83">
        <f>IF(AND(Include_study?="Yes",Sufficient_data="Yes"),RANK(GP:GP,GP:GP,1)*IF(GO:GO&lt;0,-1,1)+IF(GO:GO&lt;0,-1,1)*COUNTIF(FZ$2:FZ13,FZ:FZ),"")</f>
        <v>-7</v>
      </c>
      <c r="GC14" s="83">
        <f>IF(AND(Include_study?="Yes",Sufficient_data="Yes"),RANK(GS:GS,GS:GS,1)*IF(GR:GR&lt;0,-1,1)+IF(GR:GR&lt;0,-1,1)*COUNTIF(FZ$2:FZ13,FZ:FZ),"")</f>
        <v>-7</v>
      </c>
      <c r="GD14" s="3">
        <f>IF(AND(Include_study?="Yes",Sufficient_data="Yes"),'Publication Bias Analysis'!E14,NA())</f>
        <v>-0.23540031375603082</v>
      </c>
      <c r="GE14" s="35">
        <f>IF(AND(Include_study?="Yes",Sufficient_data="Yes"),'Publication Bias Analysis'!F14,NA())</f>
        <v>0.17230510855134057</v>
      </c>
      <c r="GG14" s="116" t="s">
        <v>324</v>
      </c>
      <c r="GH14" s="116"/>
      <c r="GK14" s="114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-0.26465861949077324</v>
      </c>
      <c r="GM14" s="3">
        <f t="shared" si="81"/>
        <v>0.26465861949077324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33.682451456655855</v>
      </c>
      <c r="GO14" s="3">
        <f>IF(AND(Include_study?="Yes",Sufficient_data="Yes"),IF('Publication Bias Analysis'!L$38="Left",'Publication Bias Analysis'!E:E-GW$3,GW$3-'Publication Bias Analysis'!E:E),"")</f>
        <v>-0.26465861949077324</v>
      </c>
      <c r="GP14" s="3">
        <f t="shared" si="82"/>
        <v>0.26465861949077324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33.682451456655855</v>
      </c>
      <c r="GR14" s="3">
        <f>IF(AND(Include_study?="Yes",Sufficient_data="Yes"),IF('Publication Bias Analysis'!L$38="Left",'Publication Bias Analysis'!E:E-GW$10,GW$10-'Publication Bias Analysis'!E:E),"")</f>
        <v>-0.26465861949077324</v>
      </c>
      <c r="GS14" s="3">
        <f t="shared" si="83"/>
        <v>0.26465861949077324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33.682451456655855</v>
      </c>
      <c r="GV14" s="36" t="s">
        <v>309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4"/>
      <c r="HL14" s="3">
        <f t="shared" si="89"/>
        <v>0.31663429509122398</v>
      </c>
      <c r="HM14" s="35">
        <f>IF(AND(Include_study?="Yes",Sufficient_data="Yes"),Z_score-('Publication Bias Analysis'!P$3+'Publication Bias Analysis'!P$4*Inverse_standard_error),"")</f>
        <v>-1.4742864385127772</v>
      </c>
      <c r="HO14" s="114"/>
      <c r="HP14" s="3">
        <f>IF(AND(Include_study?="Yes",Sufficient_data="Yes"),(GD:GD-SUMPRODUCT(Calculations!FT:FT,'Publication Bias Analysis'!E:E)/SUM(Calculations!FT:FT))/SQRT(Calculations!HQ:HQ),"")</f>
        <v>-1.6750495980659135</v>
      </c>
      <c r="HQ14" s="3">
        <f>IF(AND(Include_study?="Yes",Sufficient_data="Yes"),GE:GE^2-1/SUM(Calculations!FT:FT),"")</f>
        <v>2.4964147713366646E-2</v>
      </c>
      <c r="HR14" s="6">
        <f t="shared" si="90"/>
        <v>7</v>
      </c>
      <c r="HS14" s="6">
        <f t="shared" si="91"/>
        <v>6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5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1</v>
      </c>
      <c r="HW14" s="114"/>
      <c r="HX14" s="2" t="s">
        <v>318</v>
      </c>
      <c r="HY14" s="21">
        <f>ROUND(HY13/4,1)</f>
        <v>0.4</v>
      </c>
      <c r="IB14" s="114"/>
      <c r="IC14" s="76">
        <f t="shared" si="92"/>
        <v>9.3129770992366415E-3</v>
      </c>
      <c r="ID14" s="3">
        <f t="shared" si="93"/>
        <v>1.1755725190839695E-2</v>
      </c>
      <c r="IE14" s="3">
        <f t="shared" si="94"/>
        <v>34.393676509715974</v>
      </c>
      <c r="IF14" s="35">
        <f t="shared" si="95"/>
        <v>33.682451456655855</v>
      </c>
      <c r="IK14" s="114"/>
      <c r="IL14" s="3">
        <f>IF(AND(Include_study?="Yes",Sufficient_data="Yes"),'Publication Bias Analysis'!AV:AV,NA())</f>
        <v>-1.3661830211255181</v>
      </c>
      <c r="IM14" s="3">
        <f>IF(AND(Sufficient_data="Yes",Include_study?="Yes"),'Publication Bias Analysis'!AU:AU,NA())</f>
        <v>5.8036584545143466</v>
      </c>
      <c r="IN14" s="3">
        <f t="shared" si="96"/>
        <v>0.31663429509122398</v>
      </c>
      <c r="IO14" s="35">
        <f>IF(AND(Include_study?="Yes",Sufficient_data="Yes"),Z_score-('Publication Bias Analysis'!AY$30+'Publication Bias Analysis'!AY$31*Inverse_standard_error),"")</f>
        <v>-1.5359882345677216</v>
      </c>
      <c r="IU14" s="114"/>
      <c r="IV14" s="6">
        <f>IF('Publication Bias Analysis'!BG:BG&lt;&gt;"",RANK('Publication Bias Analysis'!BG:BG,'Publication Bias Analysis'!BG:BG,1)+COUNTIF('Publication Bias Analysis'!BG$2:BG13,'Publication Bias Analysis'!BG14),"")</f>
        <v>1</v>
      </c>
      <c r="IW14" s="3">
        <f t="shared" si="97"/>
        <v>9.0909090909090925E-2</v>
      </c>
      <c r="IX14" s="3">
        <f>IF('Publication Bias Analysis'!BF14&lt;&gt;"",'Publication Bias Analysis'!BF14,NA())</f>
        <v>-1.3351777361189361</v>
      </c>
      <c r="IY14" s="3">
        <f>IF('Publication Bias Analysis'!BG14&lt;&gt;"",'Publication Bias Analysis'!BG14,NA())</f>
        <v>-1.3661830211255181</v>
      </c>
      <c r="IZ14" s="3">
        <f>IF(AND(Include_study?="Yes",Sufficient_data="Yes"),'Publication Bias Analysis'!BF:BF-AVERAGE('Publication Bias Analysis'!BF:BF),"")</f>
        <v>-1.3351777361189363</v>
      </c>
      <c r="JA14" s="35">
        <f>IF(AND(Include_study?="Yes",Sufficient_data="Yes"),'Publication Bias Analysis'!BG:BG-('Publication Bias Analysis'!BJ$30+'Publication Bias Analysis'!BJ$31*'Publication Bias Analysis'!BF:BF),"")</f>
        <v>8.3957105999525883E-3</v>
      </c>
      <c r="JG14" s="114"/>
      <c r="JH14" s="3">
        <f t="shared" si="98"/>
        <v>-1.3661830211255181</v>
      </c>
      <c r="JI14" s="10">
        <f t="shared" si="124"/>
        <v>8.5940762662790493E-2</v>
      </c>
      <c r="JJ14" s="35">
        <f t="shared" si="125"/>
        <v>-2.454097026311266</v>
      </c>
    </row>
    <row r="15" spans="1:270" ht="12" customHeight="1" x14ac:dyDescent="0.3">
      <c r="A15" s="2">
        <f t="shared" si="0"/>
        <v>6</v>
      </c>
      <c r="B15" s="6">
        <f>IF(AND(Include_study?="Yes",Sufficient_data="Yes"),IF(Input!a_&lt;&gt;"",Input!a_,Input!n1_-Input!b_),"")</f>
        <v>65</v>
      </c>
      <c r="C15" s="6">
        <f>IF(AND(Include_study?="Yes",Sufficient_data="Yes"),IF(Input!b_&lt;&gt;"",Input!b_,Input!n1_-Input!a_),"")</f>
        <v>5466</v>
      </c>
      <c r="D15" s="6">
        <f>IF(AND(Include_study?="Yes",Sufficient_data="Yes"),IF(Input!c_&lt;&gt;"",Input!c_,Input!n2_-Input!d_),"")</f>
        <v>62</v>
      </c>
      <c r="E15" s="6">
        <f>IF(AND(Include_study?="Yes",Sufficient_data="Yes"),IF(Input!d_&lt;&gt;"",Input!d_,Input!n2_-Input!c_),"")</f>
        <v>5469</v>
      </c>
      <c r="F15" s="35" t="str">
        <f t="shared" si="1"/>
        <v>No</v>
      </c>
      <c r="H15" s="133"/>
      <c r="I15" s="127"/>
      <c r="J15" s="76">
        <f t="shared" si="2"/>
        <v>1.0489625013278567</v>
      </c>
      <c r="K15" s="3">
        <f t="shared" si="3"/>
        <v>4.7801581709305027E-2</v>
      </c>
      <c r="L15" s="3">
        <f t="shared" si="4"/>
        <v>0.17854816035701551</v>
      </c>
      <c r="M15" s="3">
        <f t="shared" si="5"/>
        <v>0.73920153417594681</v>
      </c>
      <c r="N15" s="35">
        <f t="shared" si="6"/>
        <v>1.4885282001188218</v>
      </c>
      <c r="P15" s="114"/>
      <c r="Q15" s="76">
        <f t="shared" si="7"/>
        <v>1.0489487486555662</v>
      </c>
      <c r="R15" s="3">
        <f t="shared" si="8"/>
        <v>0.17849084175494598</v>
      </c>
      <c r="S15" s="3">
        <f t="shared" si="9"/>
        <v>0.73927489903560251</v>
      </c>
      <c r="T15" s="35">
        <f t="shared" si="10"/>
        <v>1.4883414528769081</v>
      </c>
      <c r="V15" s="114"/>
      <c r="W15" s="76">
        <f t="shared" si="11"/>
        <v>5.4239739649249684E-4</v>
      </c>
      <c r="X15" s="3">
        <f t="shared" si="12"/>
        <v>2.025766389984108E-3</v>
      </c>
      <c r="Y15" s="3">
        <f t="shared" si="13"/>
        <v>-3.4284663245138175E-3</v>
      </c>
      <c r="Z15" s="35">
        <f t="shared" si="14"/>
        <v>4.5132611174988112E-3</v>
      </c>
      <c r="AB15" s="114"/>
      <c r="AC15" s="76">
        <f t="shared" si="15"/>
        <v>1.0483870967741935</v>
      </c>
      <c r="AD15" s="3">
        <f t="shared" si="16"/>
        <v>4.7252884850545511E-2</v>
      </c>
      <c r="AE15" s="3">
        <f t="shared" si="17"/>
        <v>0.17649943166580331</v>
      </c>
      <c r="AF15" s="3">
        <f t="shared" si="18"/>
        <v>0.74176892501375324</v>
      </c>
      <c r="AG15" s="35">
        <f t="shared" si="19"/>
        <v>1.4817491911813956</v>
      </c>
      <c r="AI15" s="133"/>
      <c r="AJ1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15" s="6">
        <f>IF(AJ15&lt;&gt;"",IF(AJ15=0,COUNTIF(AJ$2:AJ14,0)+1,COUNTIF(AJ$2:AJ14,AJ15)+AJ15+COUNTIF(AJ:AJ,0)),"")</f>
        <v>6</v>
      </c>
      <c r="AL15" s="6">
        <f t="shared" si="20"/>
        <v>6</v>
      </c>
      <c r="AM15" s="3" t="str">
        <f>IF(AND(Include_study?="Yes",Sufficient_data="Yes",Input!Study_name&lt;&gt;""),Input!Study_name,"")</f>
        <v>Latif et al.</v>
      </c>
      <c r="AN15" s="6">
        <f t="shared" si="21"/>
        <v>11062</v>
      </c>
      <c r="AO15" s="3">
        <f t="shared" si="22"/>
        <v>1.0489625013278567</v>
      </c>
      <c r="AP15" s="3">
        <f t="shared" si="23"/>
        <v>31.368174139110049</v>
      </c>
      <c r="AQ15" s="3">
        <f t="shared" si="24"/>
        <v>27.806847591388159</v>
      </c>
      <c r="AR15" s="3">
        <f t="shared" si="25"/>
        <v>0.17854816035701551</v>
      </c>
      <c r="AS15" s="3">
        <f t="shared" si="26"/>
        <v>0.73920153417594681</v>
      </c>
      <c r="AT15" s="3">
        <f t="shared" si="27"/>
        <v>1.4885282001188218</v>
      </c>
      <c r="AU15" s="80">
        <f t="shared" si="28"/>
        <v>0.14783161286514779</v>
      </c>
      <c r="AW15" s="44">
        <f t="shared" si="29"/>
        <v>1.0489625013278567</v>
      </c>
      <c r="AX15" s="3">
        <f t="shared" si="30"/>
        <v>0.30976096715190993</v>
      </c>
      <c r="AY15" s="35">
        <f t="shared" si="31"/>
        <v>0.43956569879096508</v>
      </c>
      <c r="BD15" s="133"/>
      <c r="BE15" s="127"/>
      <c r="BF15" s="3">
        <f t="shared" si="32"/>
        <v>4.7801581709305027E-2</v>
      </c>
      <c r="BG15" s="3">
        <f t="shared" si="33"/>
        <v>0.17854816035701551</v>
      </c>
      <c r="BH15" s="3">
        <f t="shared" si="34"/>
        <v>31.368174139110049</v>
      </c>
      <c r="BI15" s="3">
        <f t="shared" si="99"/>
        <v>27.806847591388159</v>
      </c>
      <c r="BJ15" s="35">
        <f t="shared" si="35"/>
        <v>1.8185472219326385E-2</v>
      </c>
      <c r="BO15" s="114"/>
      <c r="BP15" s="3">
        <f t="shared" si="36"/>
        <v>32.135689748689209</v>
      </c>
      <c r="BQ15" s="3">
        <f t="shared" si="37"/>
        <v>30.635689748689206</v>
      </c>
      <c r="BR15" s="3">
        <f t="shared" si="38"/>
        <v>16.076560031571692</v>
      </c>
      <c r="BS15" s="3">
        <f>IF(AND(Sufficient_data="Yes",Include_study?="Yes"),IF(Add_0_5="Yes",(a_+d_+1)*(ab_+0.5)*(c_+0.5)/(Number_of_subjects+2)^2,(a_+d_)*b_*c_/Number_of_subjects^2),"")</f>
        <v>15.326153233524323</v>
      </c>
      <c r="BT15" s="3">
        <f t="shared" si="39"/>
        <v>16.059129717117514</v>
      </c>
      <c r="BU15" s="3">
        <f t="shared" si="40"/>
        <v>15.309536515164883</v>
      </c>
      <c r="BV15" s="3">
        <f t="shared" si="41"/>
        <v>30.635689748689206</v>
      </c>
      <c r="BW15" s="3">
        <f t="shared" si="42"/>
        <v>1.0602847706260042E-2</v>
      </c>
      <c r="BX15" s="3">
        <f t="shared" si="43"/>
        <v>27.778965686285101</v>
      </c>
      <c r="BY15" s="35">
        <f t="shared" si="44"/>
        <v>1.8182849072071353E-2</v>
      </c>
      <c r="CD15" s="114"/>
      <c r="CE15" s="76">
        <f t="shared" si="45"/>
        <v>63.5</v>
      </c>
      <c r="CF15" s="3">
        <f t="shared" si="46"/>
        <v>31.388323840520748</v>
      </c>
      <c r="CG15" s="3">
        <f t="shared" si="47"/>
        <v>4.7788470885583745E-2</v>
      </c>
      <c r="CH15" s="3">
        <f t="shared" si="48"/>
        <v>3.1858980590389163E-2</v>
      </c>
      <c r="CI15" s="3">
        <f t="shared" si="49"/>
        <v>31.388323840520748</v>
      </c>
      <c r="CJ15" s="3">
        <f t="shared" si="50"/>
        <v>27.737926059765972</v>
      </c>
      <c r="CK15" s="35">
        <f t="shared" si="51"/>
        <v>1.8039060722081102E-2</v>
      </c>
      <c r="CP15" s="114"/>
      <c r="CQ15" s="52">
        <f t="shared" si="52"/>
        <v>1.1209546194178268E-2</v>
      </c>
      <c r="CS15" s="2" t="s">
        <v>308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1.3010359237260867</v>
      </c>
      <c r="CU15" s="3">
        <f>IF(Model_effect_size_measure="Odds Ratio",PICES_UL_MH/(1-MEDIAN(Control_group_risk)+(MEDIAN(Control_group_risk)*PICES_UL_MH)),"")</f>
        <v>1.3016229236514409</v>
      </c>
      <c r="CV15" s="3" t="str">
        <f>IF(Model_effect_size_measure="Peto Odds Ratio",PICES_UL_Peto/(1-MEDIAN(Control_group_risk)+(MEDIAN(Control_group_risk)*PICES_UL_Peto)),"")</f>
        <v/>
      </c>
      <c r="CX15" s="133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3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3"/>
      <c r="FS15" s="127"/>
      <c r="FT15" s="76">
        <f>IF(AND(Include_study?="Yes",Sufficient_data="Yes"),IF(Additional_weighting_method="Inverse Variance",1/'Publication Bias Analysis'!F:F^2,IF(Additional_weighting_method="Mantel-Haenszel",Weightf_MH,Weightf_Peto)),"")</f>
        <v>31.368174139110049</v>
      </c>
      <c r="FU15" s="3">
        <f>IF(AND(Include_study?="Yes",Sufficient_data="Yes"),1/('Publication Bias Analysis'!F:F^2+IF(Additional_model="Fixed effect",0,Calculations!GH$12)),"")</f>
        <v>31.368174139110049</v>
      </c>
      <c r="FV15" s="3">
        <f>IF(AND(Include_study?="Yes",Sufficient_data="Yes"),1/('Publication Bias Analysis'!F:F^2+IF(Additional_model="Fixed effect",0,'Publication Bias Analysis'!L$32)),"")</f>
        <v>31.368174139110049</v>
      </c>
      <c r="FW15" s="3">
        <f>IF(AND(Include_study?="Yes",Sufficient_data="Yes"),'Publication Bias Analysis'!E:E-'Publication Bias Analysis'!I$37,"")</f>
        <v>1.854327597456262E-2</v>
      </c>
      <c r="FX15" s="3">
        <f>IF(AND(Include_study?="Yes",Sufficient_data="Yes"),IF(Additional_model="Fixed effect",1/'Publication Bias Analysis'!F:F,1/SQRT('Publication Bias Analysis'!F:F^2+GH$12)),"")</f>
        <v>5.6007297862966077</v>
      </c>
      <c r="FY15" s="3">
        <f>IF(AND(Include_study?="Yes",Sufficient_data="Yes"),IF(Additional_model="Fixed effect",'Publication Bias Analysis'!E:E/'Publication Bias Analysis'!F:F,'Publication Bias Analysis'!E:E/SQRT('Publication Bias Analysis'!F:F^2+GH$12)),"")</f>
        <v>0.2677237425113958</v>
      </c>
      <c r="FZ15" s="6">
        <f t="shared" si="80"/>
        <v>1</v>
      </c>
      <c r="GA15" s="83">
        <f>IF(AND(Include_study?="Yes",Sufficient_data="Yes"),FZ:FZ+IF(GL:GL&lt;0,-1,1)*COUNTIF(FZ$2:FZ14,FZ:FZ),"")</f>
        <v>1</v>
      </c>
      <c r="GB15" s="83">
        <f>IF(AND(Include_study?="Yes",Sufficient_data="Yes"),RANK(GP:GP,GP:GP,1)*IF(GO:GO&lt;0,-1,1)+IF(GO:GO&lt;0,-1,1)*COUNTIF(FZ$2:FZ14,FZ:FZ),"")</f>
        <v>1</v>
      </c>
      <c r="GC15" s="83">
        <f>IF(AND(Include_study?="Yes",Sufficient_data="Yes"),RANK(GS:GS,GS:GS,1)*IF(GR:GR&lt;0,-1,1)+IF(GR:GR&lt;0,-1,1)*COUNTIF(FZ$2:FZ14,FZ:FZ),"")</f>
        <v>1</v>
      </c>
      <c r="GD15" s="3">
        <f>IF(AND(Include_study?="Yes",Sufficient_data="Yes"),'Publication Bias Analysis'!E15,NA())</f>
        <v>4.7801581709305027E-2</v>
      </c>
      <c r="GE15" s="35">
        <f>IF(AND(Include_study?="Yes",Sufficient_data="Yes"),'Publication Bias Analysis'!F15,NA())</f>
        <v>0.17854816035701551</v>
      </c>
      <c r="GG15" s="2" t="s">
        <v>325</v>
      </c>
      <c r="GH15" s="3">
        <f>IF(Additional_valid_options="Yes",'Publication Bias Analysis'!I29-'Publication Bias Analysis'!I31,NA())</f>
        <v>0.1681956501798316</v>
      </c>
      <c r="GK15" s="114"/>
      <c r="GL15" s="76">
        <f>IF(AND(Include_study?="Yes",Sufficient_data="Yes"),IF('Publication Bias Analysis'!L$38="Left",'Publication Bias Analysis'!E:E-'Publication Bias Analysis'!I$29,'Publication Bias Analysis'!I$29-'Publication Bias Analysis'!E:E),"")</f>
        <v>1.854327597456262E-2</v>
      </c>
      <c r="GM15" s="3">
        <f t="shared" si="81"/>
        <v>1.854327597456262E-2</v>
      </c>
      <c r="GN15" s="35">
        <f>IF(AND(Include_study?="Yes",Sufficient_data="Yes"),IF(AND(Additional_weighting_method="Mantel-Haenszel",Additional_model="Fixed effect"),Weightf_MH,1/('Publication Bias Analysis'!F:F^2+IF(Additional_model="Fixed effect",0,GW$6))),"")</f>
        <v>31.368174139110049</v>
      </c>
      <c r="GO15" s="3">
        <f>IF(AND(Include_study?="Yes",Sufficient_data="Yes"),IF('Publication Bias Analysis'!L$38="Left",'Publication Bias Analysis'!E:E-GW$3,GW$3-'Publication Bias Analysis'!E:E),"")</f>
        <v>1.854327597456262E-2</v>
      </c>
      <c r="GP15" s="3">
        <f t="shared" si="82"/>
        <v>1.854327597456262E-2</v>
      </c>
      <c r="GQ15" s="35">
        <f>IF(AND(Include_study?="Yes",Sufficient_data="Yes"),IF(AND(Additional_weighting_method="Mantel-Haenszel",Additional_model="Fixed effect"),Weightf_MH,1/('Publication Bias Analysis'!F:F^2+IF(Additional_model="Fixed effect",0,GW$13))),"")</f>
        <v>31.368174139110049</v>
      </c>
      <c r="GR15" s="3">
        <f>IF(AND(Include_study?="Yes",Sufficient_data="Yes"),IF('Publication Bias Analysis'!L$38="Left",'Publication Bias Analysis'!E:E-GW$10,GW$10-'Publication Bias Analysis'!E:E),"")</f>
        <v>1.854327597456262E-2</v>
      </c>
      <c r="GS15" s="3">
        <f t="shared" si="83"/>
        <v>1.854327597456262E-2</v>
      </c>
      <c r="GT15" s="35">
        <f>IF(AND(Include_study?="Yes",Sufficient_data="Yes"),IF(AND(Additional_weighting_method="Mantel-Haenszel",Additional_model="Fixed effect"),Weightf_MH,1/('Publication Bias Analysis'!F:F^2+IF(Additional_model="Fixed effect",0,GW$20))),"")</f>
        <v>31.368174139110049</v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4"/>
      <c r="HL15" s="3">
        <f t="shared" si="89"/>
        <v>0.11370562687348507</v>
      </c>
      <c r="HM15" s="35">
        <f>IF(AND(Include_study?="Yes",Sufficient_data="Yes"),Z_score-('Publication Bias Analysis'!P$3+'Publication Bias Analysis'!P$4*Inverse_standard_error),"")</f>
        <v>0.12288147482191397</v>
      </c>
      <c r="HO15" s="114"/>
      <c r="HP15" s="3">
        <f>IF(AND(Include_study?="Yes",Sufficient_data="Yes"),(GD:GD-SUMPRODUCT(Calculations!FT:FT,'Publication Bias Analysis'!E:E)/SUM(Calculations!FT:FT))/SQRT(Calculations!HQ:HQ),"")</f>
        <v>0.11252919549321713</v>
      </c>
      <c r="HQ15" s="3">
        <f>IF(AND(Include_study?="Yes",Sufficient_data="Yes"),GE:GE^2-1/SUM(Calculations!FT:FT),"")</f>
        <v>2.7154542847351915E-2</v>
      </c>
      <c r="HR15" s="6">
        <f t="shared" si="90"/>
        <v>4</v>
      </c>
      <c r="HS15" s="6">
        <f t="shared" si="91"/>
        <v>4</v>
      </c>
      <c r="HT15" s="6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>4</v>
      </c>
      <c r="HU15" s="57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>2</v>
      </c>
      <c r="HW15" s="114"/>
      <c r="IB15" s="114"/>
      <c r="IC15" s="76">
        <f t="shared" si="92"/>
        <v>1.1751943590670765E-2</v>
      </c>
      <c r="ID15" s="3">
        <f t="shared" si="93"/>
        <v>1.1209546194178268E-2</v>
      </c>
      <c r="IE15" s="3">
        <f t="shared" si="94"/>
        <v>32.100616811904771</v>
      </c>
      <c r="IF15" s="35">
        <f t="shared" si="95"/>
        <v>31.368174139110049</v>
      </c>
      <c r="IK15" s="114"/>
      <c r="IL15" s="3">
        <f>IF(AND(Include_study?="Yes",Sufficient_data="Yes"),'Publication Bias Analysis'!AV:AV,NA())</f>
        <v>0.2677237425113958</v>
      </c>
      <c r="IM15" s="3">
        <f>IF(AND(Sufficient_data="Yes",Include_study?="Yes"),'Publication Bias Analysis'!AU:AU,NA())</f>
        <v>5.6007297862966077</v>
      </c>
      <c r="IN15" s="3">
        <f t="shared" si="96"/>
        <v>0.11370562687348507</v>
      </c>
      <c r="IO15" s="35">
        <f>IF(AND(Include_study?="Yes",Sufficient_data="Yes"),Z_score-('Publication Bias Analysis'!AY$30+'Publication Bias Analysis'!AY$31*Inverse_standard_error),"")</f>
        <v>0.10385587808625116</v>
      </c>
      <c r="IU15" s="114"/>
      <c r="IV15" s="6">
        <f>IF('Publication Bias Analysis'!BG:BG&lt;&gt;"",RANK('Publication Bias Analysis'!BG:BG,'Publication Bias Analysis'!BG:BG,1)+COUNTIF('Publication Bias Analysis'!BG$2:BG14,'Publication Bias Analysis'!BG15),"")</f>
        <v>4</v>
      </c>
      <c r="IW15" s="3">
        <f t="shared" si="97"/>
        <v>0.5</v>
      </c>
      <c r="IX15" s="3">
        <f>IF('Publication Bias Analysis'!BF15&lt;&gt;"",'Publication Bias Analysis'!BF15,NA())</f>
        <v>0</v>
      </c>
      <c r="IY15" s="3">
        <f>IF('Publication Bias Analysis'!BG15&lt;&gt;"",'Publication Bias Analysis'!BG15,NA())</f>
        <v>0.2677237425113958</v>
      </c>
      <c r="IZ15" s="3">
        <f>IF(AND(Include_study?="Yes",Sufficient_data="Yes"),'Publication Bias Analysis'!BF:BF-AVERAGE('Publication Bias Analysis'!BF:BF),"")</f>
        <v>-2.6169542723307262E-16</v>
      </c>
      <c r="JA15" s="35">
        <f>IF(AND(Include_study?="Yes",Sufficient_data="Yes"),'Publication Bias Analysis'!BG:BG-('Publication Bias Analysis'!BJ$30+'Publication Bias Analysis'!BJ$31*'Publication Bias Analysis'!BF:BF),"")</f>
        <v>0.10229584716804785</v>
      </c>
      <c r="JG15" s="114"/>
      <c r="JH15" s="3">
        <f t="shared" si="98"/>
        <v>0.2677237425113958</v>
      </c>
      <c r="JI15" s="10">
        <f t="shared" si="124"/>
        <v>0.39445598642859414</v>
      </c>
      <c r="JJ15" s="35">
        <f t="shared" si="125"/>
        <v>-0.93024771290873365</v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3"/>
      <c r="I16" s="127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3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3"/>
      <c r="BE16" s="127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61</v>
      </c>
      <c r="BM16" s="3">
        <f>IF(Model_effect_size_measure="Risk Difference",CES_IV/SECES_Risk_Difference,lnCES_IV/SElnCES)</f>
        <v>0.40647205321162344</v>
      </c>
      <c r="BO16" s="11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61</v>
      </c>
      <c r="CB16" s="3">
        <f>lnCES_OddsRatio_MH/SElnCES_MH</f>
        <v>0.40650742507788079</v>
      </c>
      <c r="CD16" s="11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61</v>
      </c>
      <c r="CN16" s="3">
        <f>lnCES_PetoOddsRatio/SElnCES_Peto</f>
        <v>0.40925944723439683</v>
      </c>
      <c r="CP16" s="114"/>
      <c r="CQ16" s="52" t="str">
        <f t="shared" si="52"/>
        <v/>
      </c>
      <c r="CX16" s="133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6" t="s">
        <v>326</v>
      </c>
      <c r="EY16" s="116"/>
      <c r="FA16" s="133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3"/>
      <c r="FS16" s="127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327</v>
      </c>
      <c r="GH16" s="3">
        <f>IF(Additional_valid_options="Yes",'Publication Bias Analysis'!I29-'Publication Bias Analysis'!I33,NA())</f>
        <v>0.22964267149182091</v>
      </c>
      <c r="GK16" s="11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6" t="s">
        <v>112</v>
      </c>
      <c r="GW16" s="116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4"/>
      <c r="IB16" s="11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>
        <f t="shared" si="0"/>
        <v>7</v>
      </c>
      <c r="B17" s="6">
        <f>IF(AND(Include_study?="Yes",Sufficient_data="Yes"),IF(Input!a_&lt;&gt;"",Input!a_,Input!n1_-Input!b_),"")</f>
        <v>66.099999999999994</v>
      </c>
      <c r="C17" s="6">
        <f>IF(AND(Include_study?="Yes",Sufficient_data="Yes"),IF(Input!b_&lt;&gt;"",Input!b_,Input!n1_-Input!a_),"")</f>
        <v>5431.9</v>
      </c>
      <c r="D17" s="6">
        <f>IF(AND(Include_study?="Yes",Sufficient_data="Yes"),IF(Input!c_&lt;&gt;"",Input!c_,Input!n2_-Input!d_),"")</f>
        <v>72.2</v>
      </c>
      <c r="E17" s="6">
        <f>IF(AND(Include_study?="Yes",Sufficient_data="Yes"),IF(Input!d_&lt;&gt;"",Input!d_,Input!n2_-Input!c_),"")</f>
        <v>5425.8</v>
      </c>
      <c r="F17" s="35" t="str">
        <f t="shared" si="1"/>
        <v>No</v>
      </c>
      <c r="H17" s="133"/>
      <c r="I17" s="127"/>
      <c r="J17" s="76">
        <f t="shared" si="2"/>
        <v>0.91448434886983176</v>
      </c>
      <c r="K17" s="3">
        <f t="shared" si="3"/>
        <v>-8.9394925710100992E-2</v>
      </c>
      <c r="L17" s="3">
        <f t="shared" si="4"/>
        <v>0.17131086018515415</v>
      </c>
      <c r="M17" s="3">
        <f t="shared" si="5"/>
        <v>0.65364230521356326</v>
      </c>
      <c r="N17" s="35">
        <f t="shared" si="6"/>
        <v>1.2794178370303673</v>
      </c>
      <c r="P17" s="114"/>
      <c r="Q17" s="76">
        <f t="shared" si="7"/>
        <v>0.91454415466527261</v>
      </c>
      <c r="R17" s="3">
        <f t="shared" si="8"/>
        <v>0.17113845364896654</v>
      </c>
      <c r="S17" s="3">
        <f t="shared" si="9"/>
        <v>0.65390600112436559</v>
      </c>
      <c r="T17" s="35">
        <f t="shared" si="10"/>
        <v>1.2790691772124383</v>
      </c>
      <c r="V17" s="114"/>
      <c r="W17" s="76">
        <f t="shared" si="11"/>
        <v>-1.1094943615860327E-3</v>
      </c>
      <c r="X17" s="3">
        <f t="shared" si="12"/>
        <v>2.1254579970695978E-3</v>
      </c>
      <c r="Y17" s="3">
        <f t="shared" si="13"/>
        <v>-5.2757741647336447E-3</v>
      </c>
      <c r="Z17" s="35">
        <f t="shared" si="14"/>
        <v>3.0567854415615792E-3</v>
      </c>
      <c r="AB17" s="114"/>
      <c r="AC17" s="76">
        <f t="shared" si="15"/>
        <v>0.91551246537396114</v>
      </c>
      <c r="AD17" s="3">
        <f t="shared" si="16"/>
        <v>-8.8271299041140033E-2</v>
      </c>
      <c r="AE17" s="3">
        <f t="shared" si="17"/>
        <v>0.16916039699104993</v>
      </c>
      <c r="AF17" s="3">
        <f t="shared" si="18"/>
        <v>0.65714138228074226</v>
      </c>
      <c r="AG17" s="35">
        <f t="shared" si="19"/>
        <v>1.2754684103839171</v>
      </c>
      <c r="AI17" s="133"/>
      <c r="AJ1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17" s="6">
        <f>IF(AJ17&lt;&gt;"",IF(AJ17=0,COUNTIF(AJ$2:AJ16,0)+1,COUNTIF(AJ$2:AJ16,AJ17)+AJ17+COUNTIF(AJ:AJ,0)),"")</f>
        <v>7</v>
      </c>
      <c r="AL17" s="6">
        <f t="shared" si="20"/>
        <v>7</v>
      </c>
      <c r="AM17" s="3" t="str">
        <f>IF(AND(Include_study?="Yes",Sufficient_data="Yes",Input!Study_name&lt;&gt;""),Input!Study_name,"")</f>
        <v>Hazarika et al. (A)</v>
      </c>
      <c r="AN17" s="6">
        <f t="shared" si="21"/>
        <v>10996</v>
      </c>
      <c r="AO17" s="3">
        <f t="shared" si="22"/>
        <v>0.91448434886983176</v>
      </c>
      <c r="AP17" s="3">
        <f t="shared" si="23"/>
        <v>34.074556226536743</v>
      </c>
      <c r="AQ17" s="3">
        <f t="shared" si="24"/>
        <v>29.91295614739867</v>
      </c>
      <c r="AR17" s="3">
        <f t="shared" si="25"/>
        <v>0.17131086018515415</v>
      </c>
      <c r="AS17" s="3">
        <f t="shared" si="26"/>
        <v>0.65364230521356326</v>
      </c>
      <c r="AT17" s="3">
        <f t="shared" si="27"/>
        <v>1.2794178370303673</v>
      </c>
      <c r="AU17" s="80">
        <f t="shared" si="28"/>
        <v>0.15902847448999977</v>
      </c>
      <c r="AW17" s="44">
        <f t="shared" si="29"/>
        <v>0.91448434886983176</v>
      </c>
      <c r="AX17" s="3">
        <f t="shared" si="30"/>
        <v>0.26084204365626851</v>
      </c>
      <c r="AY17" s="35">
        <f t="shared" si="31"/>
        <v>0.3649334881605355</v>
      </c>
      <c r="BD17" s="133"/>
      <c r="BE17" s="127"/>
      <c r="BF17" s="3">
        <f t="shared" si="32"/>
        <v>-8.9394925710100992E-2</v>
      </c>
      <c r="BG17" s="3">
        <f t="shared" si="33"/>
        <v>0.17131086018515415</v>
      </c>
      <c r="BH17" s="3">
        <f t="shared" si="34"/>
        <v>34.074556226536743</v>
      </c>
      <c r="BI17" s="3">
        <f t="shared" si="99"/>
        <v>29.91295614739867</v>
      </c>
      <c r="BJ17" s="35">
        <f t="shared" si="35"/>
        <v>-0.11901103520007963</v>
      </c>
      <c r="BO17" s="114"/>
      <c r="BP17" s="3">
        <f t="shared" si="36"/>
        <v>32.615985813022917</v>
      </c>
      <c r="BQ17" s="3">
        <f t="shared" si="37"/>
        <v>35.665985813022914</v>
      </c>
      <c r="BR17" s="3">
        <f t="shared" si="38"/>
        <v>16.2898992803329</v>
      </c>
      <c r="BS17" s="3">
        <f>IF(AND(Sufficient_data="Yes",Include_study?="Yes"),IF(Add_0_5="Yes",(a_+d_+1)*(ab_+0.5)*(c_+0.5)/(Number_of_subjects+2)^2,(a_+d_)*b_*c_/Number_of_subjects^2),"")</f>
        <v>17.813207301431483</v>
      </c>
      <c r="BT17" s="3">
        <f t="shared" si="39"/>
        <v>16.326086532690017</v>
      </c>
      <c r="BU17" s="3">
        <f t="shared" si="40"/>
        <v>17.852778511591435</v>
      </c>
      <c r="BV17" s="3">
        <f t="shared" si="41"/>
        <v>35.665985813022914</v>
      </c>
      <c r="BW17" s="3">
        <f t="shared" si="42"/>
        <v>0.4810013438900248</v>
      </c>
      <c r="BX17" s="3">
        <f t="shared" si="43"/>
        <v>29.880693156993022</v>
      </c>
      <c r="BY17" s="35">
        <f t="shared" si="44"/>
        <v>-0.11901365834733467</v>
      </c>
      <c r="CD17" s="114"/>
      <c r="CE17" s="76">
        <f t="shared" si="45"/>
        <v>69.150000000000006</v>
      </c>
      <c r="CF17" s="3">
        <f t="shared" si="46"/>
        <v>34.143244884038204</v>
      </c>
      <c r="CG17" s="3">
        <f t="shared" si="47"/>
        <v>-8.9329529467946714E-2</v>
      </c>
      <c r="CH17" s="3">
        <f t="shared" si="48"/>
        <v>2.9288370317359466E-2</v>
      </c>
      <c r="CI17" s="3">
        <f t="shared" si="49"/>
        <v>34.143244884038204</v>
      </c>
      <c r="CJ17" s="3">
        <f t="shared" si="50"/>
        <v>29.867586454527899</v>
      </c>
      <c r="CK17" s="35">
        <f t="shared" si="51"/>
        <v>-0.11907893963144936</v>
      </c>
      <c r="CP17" s="114"/>
      <c r="CQ17" s="52">
        <f t="shared" si="52"/>
        <v>1.3132048017460896E-2</v>
      </c>
      <c r="CS17" s="116" t="s">
        <v>178</v>
      </c>
      <c r="CT17" s="116"/>
      <c r="CU17" s="116"/>
      <c r="CV17" s="116"/>
      <c r="CX17" s="133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67</v>
      </c>
      <c r="EY17" s="3" t="e">
        <f>SUMPRODUCT(Subgroup_weightf,Subgroup_effect_size,Subgroup_effect_size)-SUMPRODUCT(Subgroup_weightf,Subgroup_effect_size)^2/SUM(Subgroup_weightf)</f>
        <v>#DIV/0!</v>
      </c>
      <c r="FA17" s="133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3"/>
      <c r="FS17" s="127"/>
      <c r="FT17" s="76">
        <f>IF(AND(Include_study?="Yes",Sufficient_data="Yes"),IF(Additional_weighting_method="Inverse Variance",1/'Publication Bias Analysis'!F:F^2,IF(Additional_weighting_method="Mantel-Haenszel",Weightf_MH,Weightf_Peto)),"")</f>
        <v>34.074556226536743</v>
      </c>
      <c r="FU17" s="3">
        <f>IF(AND(Include_study?="Yes",Sufficient_data="Yes"),1/('Publication Bias Analysis'!F:F^2+IF(Additional_model="Fixed effect",0,Calculations!GH$12)),"")</f>
        <v>34.074556226536743</v>
      </c>
      <c r="FV17" s="3">
        <f>IF(AND(Include_study?="Yes",Sufficient_data="Yes"),1/('Publication Bias Analysis'!F:F^2+IF(Additional_model="Fixed effect",0,'Publication Bias Analysis'!L$32)),"")</f>
        <v>34.074556226536743</v>
      </c>
      <c r="FW17" s="3">
        <f>IF(AND(Include_study?="Yes",Sufficient_data="Yes"),'Publication Bias Analysis'!E:E-'Publication Bias Analysis'!I$37,"")</f>
        <v>-0.1186532314448434</v>
      </c>
      <c r="FX17" s="3">
        <f>IF(AND(Include_study?="Yes",Sufficient_data="Yes"),IF(Additional_model="Fixed effect",1/'Publication Bias Analysis'!F:F,1/SQRT('Publication Bias Analysis'!F:F^2+GH$12)),"")</f>
        <v>5.8373415375954094</v>
      </c>
      <c r="FY17" s="3">
        <f>IF(AND(Include_study?="Yes",Sufficient_data="Yes"),IF(Additional_model="Fixed effect",'Publication Bias Analysis'!E:E/'Publication Bias Analysis'!F:F,'Publication Bias Analysis'!E:E/SQRT('Publication Bias Analysis'!F:F^2+GH$12)),"")</f>
        <v>-0.5218287130978283</v>
      </c>
      <c r="FZ17" s="6">
        <f t="shared" si="80"/>
        <v>-3</v>
      </c>
      <c r="GA17" s="83">
        <f>IF(AND(Include_study?="Yes",Sufficient_data="Yes"),FZ:FZ+IF(GL:GL&lt;0,-1,1)*COUNTIF(FZ$2:FZ16,FZ:FZ),"")</f>
        <v>-3</v>
      </c>
      <c r="GB17" s="83">
        <f>IF(AND(Include_study?="Yes",Sufficient_data="Yes"),RANK(GP:GP,GP:GP,1)*IF(GO:GO&lt;0,-1,1)+IF(GO:GO&lt;0,-1,1)*COUNTIF(FZ$2:FZ16,FZ:FZ),"")</f>
        <v>-3</v>
      </c>
      <c r="GC17" s="83">
        <f>IF(AND(Include_study?="Yes",Sufficient_data="Yes"),RANK(GS:GS,GS:GS,1)*IF(GR:GR&lt;0,-1,1)+IF(GR:GR&lt;0,-1,1)*COUNTIF(FZ$2:FZ16,FZ:FZ),"")</f>
        <v>-3</v>
      </c>
      <c r="GD17" s="3">
        <f>IF(AND(Include_study?="Yes",Sufficient_data="Yes"),'Publication Bias Analysis'!E17,NA())</f>
        <v>-8.9394925710100992E-2</v>
      </c>
      <c r="GE17" s="35">
        <f>IF(AND(Include_study?="Yes",Sufficient_data="Yes"),'Publication Bias Analysis'!F17,NA())</f>
        <v>0.17131086018515415</v>
      </c>
      <c r="GG17" s="2" t="s">
        <v>328</v>
      </c>
      <c r="GH17" s="3">
        <f>IF(Additional_valid_options="Yes",MAX('Publication Bias Analysis'!F:F)*1.1,NA())</f>
        <v>0.2334540610131689</v>
      </c>
      <c r="GK17" s="114"/>
      <c r="GL17" s="76">
        <f>IF(AND(Include_study?="Yes",Sufficient_data="Yes"),IF('Publication Bias Analysis'!L$38="Left",'Publication Bias Analysis'!E:E-'Publication Bias Analysis'!I$29,'Publication Bias Analysis'!I$29-'Publication Bias Analysis'!E:E),"")</f>
        <v>-0.1186532314448434</v>
      </c>
      <c r="GM17" s="3">
        <f t="shared" si="81"/>
        <v>0.1186532314448434</v>
      </c>
      <c r="GN17" s="35">
        <f>IF(AND(Include_study?="Yes",Sufficient_data="Yes"),IF(AND(Additional_weighting_method="Mantel-Haenszel",Additional_model="Fixed effect"),Weightf_MH,1/('Publication Bias Analysis'!F:F^2+IF(Additional_model="Fixed effect",0,GW$6))),"")</f>
        <v>34.074556226536743</v>
      </c>
      <c r="GO17" s="3">
        <f>IF(AND(Include_study?="Yes",Sufficient_data="Yes"),IF('Publication Bias Analysis'!L$38="Left",'Publication Bias Analysis'!E:E-GW$3,GW$3-'Publication Bias Analysis'!E:E),"")</f>
        <v>-0.1186532314448434</v>
      </c>
      <c r="GP17" s="3">
        <f t="shared" si="82"/>
        <v>0.1186532314448434</v>
      </c>
      <c r="GQ17" s="35">
        <f>IF(AND(Include_study?="Yes",Sufficient_data="Yes"),IF(AND(Additional_weighting_method="Mantel-Haenszel",Additional_model="Fixed effect"),Weightf_MH,1/('Publication Bias Analysis'!F:F^2+IF(Additional_model="Fixed effect",0,GW$13))),"")</f>
        <v>34.074556226536743</v>
      </c>
      <c r="GR17" s="3">
        <f>IF(AND(Include_study?="Yes",Sufficient_data="Yes"),IF('Publication Bias Analysis'!L$38="Left",'Publication Bias Analysis'!E:E-GW$10,GW$10-'Publication Bias Analysis'!E:E),"")</f>
        <v>-0.1186532314448434</v>
      </c>
      <c r="GS17" s="3">
        <f t="shared" si="83"/>
        <v>0.1186532314448434</v>
      </c>
      <c r="GT17" s="35">
        <f>IF(AND(Include_study?="Yes",Sufficient_data="Yes"),IF(AND(Additional_weighting_method="Mantel-Haenszel",Additional_model="Fixed effect"),Weightf_MH,1/('Publication Bias Analysis'!F:F^2+IF(Additional_model="Fixed effect",0,GW$20))),"")</f>
        <v>34.074556226536743</v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2.9258305734742408E-2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4"/>
      <c r="HL17" s="3">
        <f t="shared" si="89"/>
        <v>0.35031737817228681</v>
      </c>
      <c r="HM17" s="35">
        <f>IF(AND(Include_study?="Yes",Sufficient_data="Yes"),Z_score-('Publication Bias Analysis'!P$3+'Publication Bias Analysis'!P$4*Inverse_standard_error),"")</f>
        <v>-0.62383403819531424</v>
      </c>
      <c r="HO17" s="114"/>
      <c r="HP17" s="3">
        <f>IF(AND(Include_study?="Yes",Sufficient_data="Yes"),(GD:GD-SUMPRODUCT(Calculations!FT:FT,'Publication Bias Analysis'!E:E)/SUM(Calculations!FT:FT))/SQRT(Calculations!HQ:HQ),"")</f>
        <v>-0.75615952296480216</v>
      </c>
      <c r="HQ17" s="3">
        <f>IF(AND(Include_study?="Yes",Sufficient_data="Yes"),GE:GE^2-1/SUM(Calculations!FT:FT),"")</f>
        <v>2.4622508097854823E-2</v>
      </c>
      <c r="HR17" s="6">
        <f t="shared" si="90"/>
        <v>5</v>
      </c>
      <c r="HS17" s="6">
        <f t="shared" si="91"/>
        <v>7</v>
      </c>
      <c r="HT17" s="6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>4</v>
      </c>
      <c r="HU17" s="57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>2</v>
      </c>
      <c r="HW17" s="114"/>
      <c r="IB17" s="114"/>
      <c r="IC17" s="76">
        <f t="shared" si="92"/>
        <v>1.2022553655874863E-2</v>
      </c>
      <c r="ID17" s="3">
        <f t="shared" si="93"/>
        <v>1.3132048017460896E-2</v>
      </c>
      <c r="IE17" s="3">
        <f t="shared" si="94"/>
        <v>34.946413279750573</v>
      </c>
      <c r="IF17" s="35">
        <f t="shared" si="95"/>
        <v>34.074556226536743</v>
      </c>
      <c r="IK17" s="114"/>
      <c r="IL17" s="3">
        <f>IF(AND(Include_study?="Yes",Sufficient_data="Yes"),'Publication Bias Analysis'!AV:AV,NA())</f>
        <v>-0.5218287130978283</v>
      </c>
      <c r="IM17" s="3">
        <f>IF(AND(Sufficient_data="Yes",Include_study?="Yes"),'Publication Bias Analysis'!AU:AU,NA())</f>
        <v>5.8373415375954094</v>
      </c>
      <c r="IN17" s="3">
        <f t="shared" si="96"/>
        <v>0.35031737817228681</v>
      </c>
      <c r="IO17" s="35">
        <f>IF(AND(Include_study?="Yes",Sufficient_data="Yes"),Z_score-('Publication Bias Analysis'!AY$30+'Publication Bias Analysis'!AY$31*Inverse_standard_error),"")</f>
        <v>-0.69261943648290614</v>
      </c>
      <c r="IU17" s="114"/>
      <c r="IV17" s="6">
        <f>IF('Publication Bias Analysis'!BG:BG&lt;&gt;"",RANK('Publication Bias Analysis'!BG:BG,'Publication Bias Analysis'!BG:BG,1)+COUNTIF('Publication Bias Analysis'!BG$2:BG16,'Publication Bias Analysis'!BG17),"")</f>
        <v>3</v>
      </c>
      <c r="IW17" s="3">
        <f t="shared" si="97"/>
        <v>0.36363636363636365</v>
      </c>
      <c r="IX17" s="3">
        <f>IF('Publication Bias Analysis'!BF17&lt;&gt;"",'Publication Bias Analysis'!BF17,NA())</f>
        <v>-0.34875569551704472</v>
      </c>
      <c r="IY17" s="3">
        <f>IF('Publication Bias Analysis'!BG17&lt;&gt;"",'Publication Bias Analysis'!BG17,NA())</f>
        <v>-0.5218287130978283</v>
      </c>
      <c r="IZ17" s="3">
        <f>IF(AND(Include_study?="Yes",Sufficient_data="Yes"),'Publication Bias Analysis'!BF:BF-AVERAGE('Publication Bias Analysis'!BF:BF),"")</f>
        <v>-0.34875569551704499</v>
      </c>
      <c r="JA17" s="35">
        <f>IF(AND(Include_study?="Yes",Sufficient_data="Yes"),'Publication Bias Analysis'!BG:BG-('Publication Bias Analysis'!BJ$30+'Publication Bias Analysis'!BJ$31*'Publication Bias Analysis'!BF:BF),"")</f>
        <v>-0.28499849119198256</v>
      </c>
      <c r="JG17" s="114"/>
      <c r="JH17" s="3">
        <f t="shared" si="98"/>
        <v>-0.5218287130978283</v>
      </c>
      <c r="JI17" s="10">
        <f t="shared" si="124"/>
        <v>0.30089479799400598</v>
      </c>
      <c r="JJ17" s="35">
        <f t="shared" si="125"/>
        <v>-1.2009945836510929</v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3"/>
      <c r="I18" s="127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3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3"/>
      <c r="BE18" s="127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66</v>
      </c>
      <c r="BM18" s="28"/>
      <c r="BO18" s="11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6" t="s">
        <v>66</v>
      </c>
      <c r="CB18" s="116"/>
      <c r="CD18" s="11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66</v>
      </c>
      <c r="CN18" s="1"/>
      <c r="CP18" s="114"/>
      <c r="CQ18" s="52" t="str">
        <f t="shared" si="52"/>
        <v/>
      </c>
      <c r="CS18" s="2"/>
      <c r="CT18" s="2" t="s">
        <v>47</v>
      </c>
      <c r="CU18" s="2" t="s">
        <v>71</v>
      </c>
      <c r="CV18" s="2" t="s">
        <v>72</v>
      </c>
      <c r="CX18" s="133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68</v>
      </c>
      <c r="EY18" s="3" t="e">
        <f>CHIDIST(EY17,Subgroup_k-1)</f>
        <v>#DIV/0!</v>
      </c>
      <c r="FA18" s="133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3"/>
      <c r="FS18" s="127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6" t="s">
        <v>66</v>
      </c>
      <c r="GW18" s="116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4"/>
      <c r="IB18" s="11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3"/>
      <c r="I19" s="127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3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3"/>
      <c r="BE19" s="127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67</v>
      </c>
      <c r="BM19" s="3">
        <f>SUMPRODUCT(Weightf,Model_Effect_size,Model_Effect_size)-SUMPRODUCT(Weightf,Model_Effect_size)^2/SUM(Weightf)</f>
        <v>6.7387650880213741</v>
      </c>
      <c r="BO19" s="11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67</v>
      </c>
      <c r="CB19" s="3">
        <f>SUM(Weighted_squared_residual)</f>
        <v>6.7387703814635307</v>
      </c>
      <c r="CD19" s="11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67</v>
      </c>
      <c r="CN19" s="3">
        <f>SUMPRODUCT(Weightf_Peto,LogPetoOddsRatio,LogPetoOddsRatio)-SUMPRODUCT(Weightf_Peto,LogPetoOddsRatio)^2/SUM(Weightf_Peto)</f>
        <v>6.7647214126545681</v>
      </c>
      <c r="CP19" s="114"/>
      <c r="CQ19" s="52" t="str">
        <f t="shared" si="52"/>
        <v/>
      </c>
      <c r="CS19" s="2" t="s">
        <v>290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3.4908824895414983E-4</v>
      </c>
      <c r="CU19" s="3">
        <f>IF(Model_effect_size_measure="Odds Ratio",CU11*MEDIAN(Control_group_risk)-MEDIAN(Control_group_risk),NA())</f>
        <v>3.4911961734183754E-4</v>
      </c>
      <c r="CV19" s="3" t="e">
        <f>IF(Model_effect_size_measure="Peto Odds Ratio",CV11*MEDIAN(Control_group_risk)-MEDIAN(Control_group_risk),NA())</f>
        <v>#N/A</v>
      </c>
      <c r="CX19" s="133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69</v>
      </c>
      <c r="EY19" s="9" t="e">
        <f>MAX(0,(EY17-(Subgroup_k-1))/EY17)</f>
        <v>#DIV/0!</v>
      </c>
      <c r="FA19" s="133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3"/>
      <c r="FS19" s="127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6" t="s">
        <v>329</v>
      </c>
      <c r="GH19" s="116"/>
      <c r="GK19" s="11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67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6.7387650880213741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4"/>
      <c r="IB19" s="11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3"/>
      <c r="I20" s="127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3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3"/>
      <c r="BE20" s="127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155</v>
      </c>
      <c r="BM20" s="3">
        <f>MAX((Q_-(k_-1))/(SUM(Weightf)-SUMPRODUCT(Weightf,Weightf)/SUM(Weightf)),0)</f>
        <v>4.082919340311221E-3</v>
      </c>
      <c r="BO20" s="11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155</v>
      </c>
      <c r="CB20" s="3">
        <f>MAX((Q_MH-(k_-1))/(SUM(Weightf_MH)-SUMPRODUCT(Weightf_MH,Weightf_MH)/SUM(Weightf_MH)),0)</f>
        <v>4.1190149695346919E-3</v>
      </c>
      <c r="CD20" s="11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155</v>
      </c>
      <c r="CN20" s="3">
        <f>MAX((Q_Peto-(k_-1))/(SUM(Weightf_Peto)-SUMPRODUCT(Weightf_Peto,Weightf_Peto)/SUM(Weightf_Peto)),0)</f>
        <v>4.1927414397775415E-3</v>
      </c>
      <c r="CP20" s="114"/>
      <c r="CQ20" s="52" t="str">
        <f t="shared" si="52"/>
        <v/>
      </c>
      <c r="CS20" s="2" t="s">
        <v>330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8.5882472410077945E-4</v>
      </c>
      <c r="CU20" s="3">
        <f>IF(Model_effect_size_measure="Odds Ratio",CU19/Z_value_MH,"")</f>
        <v>8.5882715986049056E-4</v>
      </c>
      <c r="CV20" s="3" t="str">
        <f>IF(Model_effect_size_measure="Peto Odds Ratio",CV19/Z_value_Peto,"")</f>
        <v/>
      </c>
      <c r="CX20" s="133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155</v>
      </c>
      <c r="EY20" s="3" t="e">
        <f>MAX(0,(EY17-(Subgroup_k-1))/(SUM(Subgroup_weightf)-(SUMPRODUCT(Subgroup_weightf,Subgroup_weightf)/SUM(Subgroup_weightf))))</f>
        <v>#DIV/0!</v>
      </c>
      <c r="FA20" s="133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3"/>
      <c r="FS20" s="127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331</v>
      </c>
      <c r="GH20" s="3">
        <f>IF(AND(Trim_and_fill="On",Additional_valid_options="Yes"),'Publication Bias Analysis'!I37-'Publication Bias Analysis'!I39,NA())</f>
        <v>0.1681956501798316</v>
      </c>
      <c r="GK20" s="11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155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4"/>
      <c r="IB20" s="11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3"/>
      <c r="I21" s="127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3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3"/>
      <c r="BE21" s="127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4"/>
      <c r="CQ21" s="52" t="str">
        <f t="shared" si="52"/>
        <v/>
      </c>
      <c r="CS21" s="2" t="s">
        <v>104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-1.7523801465043555E-3</v>
      </c>
      <c r="CU21" s="3">
        <f>IF(Model_effect_size_measure="Odds Ratio",CU19-CU20*ABS(TINV((1-Confidence_level),k_-1)),"")</f>
        <v>-1.7523547382059714E-3</v>
      </c>
      <c r="CV21" s="3" t="str">
        <f>IF(Model_effect_size_measure="Peto Odds Ratio",CV19-CV20*ABS(TINV((1-Confidence_level),k_-1)),"")</f>
        <v/>
      </c>
      <c r="CX21" s="133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79</v>
      </c>
      <c r="EY21" s="3" t="e">
        <f>SQRT(EY20)</f>
        <v>#DIV/0!</v>
      </c>
      <c r="FA21" s="133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3"/>
      <c r="FS21" s="127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332</v>
      </c>
      <c r="GH21" s="3">
        <f>IF(AND(Trim_and_fill="On",Additional_valid_options="Yes"),'Publication Bias Analysis'!I37-'Publication Bias Analysis'!I41,NA())</f>
        <v>0.22964267149182091</v>
      </c>
      <c r="GK21" s="11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309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4"/>
      <c r="IB21" s="11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3"/>
      <c r="I22" s="127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3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3"/>
      <c r="BE22" s="127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4"/>
      <c r="CQ22" s="52" t="str">
        <f t="shared" si="52"/>
        <v/>
      </c>
      <c r="CS22" s="2" t="s">
        <v>105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2.4505566444126552E-3</v>
      </c>
      <c r="CU22" s="3">
        <f>IF(Model_effect_size_measure="Odds Ratio",CU19+CU20*ABS(TINV((1-Confidence_level),k_-1)),"")</f>
        <v>2.4505939728896465E-3</v>
      </c>
      <c r="CV22" s="3" t="str">
        <f>IF(Model_effect_size_measure="Peto Odds Ratio",CV19+CV20*ABS(TINV((1-Confidence_level),k_-1)),"")</f>
        <v/>
      </c>
      <c r="CX22" s="133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3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3"/>
      <c r="FS22" s="127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333</v>
      </c>
      <c r="GH22" s="3">
        <f>IF(AND(Trim_and_fill="On",Additional_valid_options="Yes"),MAX('Publication Bias Analysis'!F:F)*1.2,NA())</f>
        <v>0.25467715746891151</v>
      </c>
      <c r="GK22" s="11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4"/>
      <c r="IB22" s="11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3"/>
      <c r="I23" s="127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3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3"/>
      <c r="BE23" s="127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4"/>
      <c r="CQ23" s="52" t="str">
        <f t="shared" si="52"/>
        <v/>
      </c>
      <c r="CS23" s="2" t="s">
        <v>303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-2.4460134249630547E-3</v>
      </c>
      <c r="CU23" s="3">
        <f>IF(Model_effect_size_measure="Odds Ratio",CU19-((lnCES_OddsRatio_MH-PIlnCES_LL_MH)/SElnCES_MH)*CU20,"")</f>
        <v>-2.4513542356673192E-3</v>
      </c>
      <c r="CV23" s="3" t="str">
        <f>IF(Model_effect_size_measure="Peto Odds Ratio",CV19-((lnCES_PetoOddsRatio-PIlnCES_LL_Peto)/SElnCES_Peto)*CV20,"")</f>
        <v/>
      </c>
      <c r="CX23" s="133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6" t="s">
        <v>334</v>
      </c>
      <c r="EY23" s="116"/>
      <c r="FA23" s="133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3"/>
      <c r="FS23" s="127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4"/>
      <c r="IB23" s="11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3"/>
      <c r="I24" s="127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3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3"/>
      <c r="BE24" s="127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4"/>
      <c r="CQ24" s="52" t="str">
        <f t="shared" si="52"/>
        <v/>
      </c>
      <c r="CS24" s="2" t="s">
        <v>308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3.1441899228713543E-3</v>
      </c>
      <c r="CU24" s="3">
        <f>IF(Model_effect_size_measure="Odds Ratio",CU19+((lnCES_OddsRatio_MH-PIlnCES_LL_MH)/SElnCES_MH)*CU20,"")</f>
        <v>3.1495934703509943E-3</v>
      </c>
      <c r="CV24" s="3" t="str">
        <f>IF(Model_effect_size_measure="Peto Odds Ratio",CV19+((lnCES_PetoOddsRatio-PIlnCES_LL_Peto)/SElnCES_Peto)*CV20,"")</f>
        <v/>
      </c>
      <c r="CX24" s="133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271</v>
      </c>
      <c r="EY24" s="3" t="e">
        <f>EY9</f>
        <v>#DIV/0!</v>
      </c>
      <c r="FA24" s="133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3"/>
      <c r="FS24" s="127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4"/>
      <c r="IB24" s="11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3"/>
      <c r="I25" s="127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3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3"/>
      <c r="BE25" s="127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4"/>
      <c r="CQ25" s="52" t="str">
        <f t="shared" si="52"/>
        <v/>
      </c>
      <c r="CX25" s="133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288</v>
      </c>
      <c r="EY25" s="6">
        <f>IF(Subgroup_valid_options="Yes",MAX(DP:DP)+1,"")</f>
        <v>1</v>
      </c>
      <c r="FA25" s="133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3"/>
      <c r="FS25" s="127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4"/>
      <c r="IB25" s="11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3"/>
      <c r="I26" s="127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3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3"/>
      <c r="BE26" s="127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4"/>
      <c r="CQ26" s="52" t="str">
        <f t="shared" si="52"/>
        <v/>
      </c>
      <c r="CX26" s="133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335</v>
      </c>
      <c r="EY26" s="6">
        <f>IF(Subgroup_valid_options="Yes",MAX(DR:DR)+1,"")</f>
        <v>1</v>
      </c>
      <c r="FA26" s="133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3"/>
      <c r="FS26" s="127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4"/>
      <c r="IB26" s="11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3"/>
      <c r="I27" s="127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3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3"/>
      <c r="BE27" s="127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4"/>
      <c r="CQ27" s="52" t="str">
        <f t="shared" si="52"/>
        <v/>
      </c>
      <c r="CX27" s="133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293</v>
      </c>
      <c r="EY27" s="3" t="e">
        <f>IF(Subgroup_valid_options="Yes",EY9-EY11,"")</f>
        <v>#DIV/0!</v>
      </c>
      <c r="FA27" s="133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3"/>
      <c r="FS27" s="127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4"/>
      <c r="IB27" s="11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3"/>
      <c r="I28" s="127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3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3"/>
      <c r="BE28" s="127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4"/>
      <c r="CQ28" s="52" t="str">
        <f t="shared" si="52"/>
        <v/>
      </c>
      <c r="CX28" s="133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296</v>
      </c>
      <c r="EY28" s="3" t="e">
        <f>IF(Subgroup_valid_options="Yes",EY12-EY9,"")</f>
        <v>#DIV/0!</v>
      </c>
      <c r="FA28" s="133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3"/>
      <c r="FS28" s="127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4"/>
      <c r="IB28" s="11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3"/>
      <c r="I29" s="127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3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3"/>
      <c r="BE29" s="127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4"/>
      <c r="CQ29" s="52" t="str">
        <f t="shared" si="52"/>
        <v/>
      </c>
      <c r="CX29" s="133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301</v>
      </c>
      <c r="EY29" s="3" t="e">
        <f>IF(Subgroup_valid_options="Yes",EY9-EY13,"")</f>
        <v>#DIV/0!</v>
      </c>
      <c r="FA29" s="133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3"/>
      <c r="FS29" s="127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4"/>
      <c r="IB29" s="11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3"/>
      <c r="I30" s="127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3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3"/>
      <c r="BE30" s="127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4"/>
      <c r="CQ30" s="52" t="str">
        <f t="shared" si="52"/>
        <v/>
      </c>
      <c r="CX30" s="133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306</v>
      </c>
      <c r="EY30" s="3" t="e">
        <f>IF(Subgroup_valid_options="Yes",EY14-EY9,"")</f>
        <v>#DIV/0!</v>
      </c>
      <c r="FA30" s="133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3"/>
      <c r="FS30" s="127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4"/>
      <c r="IB30" s="11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3"/>
      <c r="I31" s="127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3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3"/>
      <c r="BE31" s="127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4"/>
      <c r="CQ31" s="52" t="str">
        <f t="shared" si="52"/>
        <v/>
      </c>
      <c r="CX31" s="133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336</v>
      </c>
      <c r="EY31" s="3">
        <f>IF(Subgroup_valid_options="Yes",MAX(ER:ER),"")</f>
        <v>0</v>
      </c>
      <c r="FA31" s="133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3"/>
      <c r="FS31" s="127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4"/>
      <c r="IB31" s="11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3"/>
      <c r="I32" s="127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3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3"/>
      <c r="BE32" s="127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4"/>
      <c r="CQ32" s="52" t="str">
        <f t="shared" si="52"/>
        <v/>
      </c>
      <c r="CX32" s="133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3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3"/>
      <c r="FS32" s="127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4"/>
      <c r="IB32" s="11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3"/>
      <c r="I33" s="127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3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3"/>
      <c r="BE33" s="127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4"/>
      <c r="CQ33" s="52" t="str">
        <f t="shared" si="52"/>
        <v/>
      </c>
      <c r="CX33" s="133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6" t="s">
        <v>337</v>
      </c>
      <c r="EY33" s="116"/>
      <c r="FA33" s="133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3"/>
      <c r="FS33" s="127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4"/>
      <c r="IB33" s="11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3"/>
      <c r="I34" s="127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3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3"/>
      <c r="BE34" s="127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4"/>
      <c r="CQ34" s="52" t="str">
        <f t="shared" ref="CQ34:CQ97" si="175">IF(AND(Sufficient_data="Yes",Include_study?="Yes"),c_/(c_+d_),"")</f>
        <v/>
      </c>
      <c r="CX34" s="133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338</v>
      </c>
      <c r="EY34" s="3" t="e">
        <f>IF(Subgroup_valid_options="Yes",SUMPRODUCT(ES:ES,DZ:DZ,DZ:DZ)-SUMPRODUCT(ES:ES,DZ:DZ)^2/SUM(ES:ES),"")</f>
        <v>#DIV/0!</v>
      </c>
      <c r="FA34" s="133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3"/>
      <c r="FS34" s="127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4"/>
      <c r="IB34" s="11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3"/>
      <c r="I35" s="127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3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3"/>
      <c r="BE35" s="127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4"/>
      <c r="CQ35" s="52" t="str">
        <f t="shared" si="175"/>
        <v/>
      </c>
      <c r="CX35" s="133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155</v>
      </c>
      <c r="EY35" s="3" t="e">
        <f>IF(Subgroup_valid_options="Yes",MAX(0,(EY34-(COUNT(DT:DT)-1))/(SUM(ES:ES)-(SUMPRODUCT(ES:ES,ES:ES)/SUM(ES:ES)))),"")</f>
        <v>#DIV/0!</v>
      </c>
      <c r="FA35" s="133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3"/>
      <c r="FS35" s="127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4"/>
      <c r="IB35" s="11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3"/>
      <c r="I36" s="127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3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3"/>
      <c r="BE36" s="127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4"/>
      <c r="CQ36" s="52" t="str">
        <f t="shared" si="175"/>
        <v/>
      </c>
      <c r="CX36" s="133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3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3"/>
      <c r="FS36" s="127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4"/>
      <c r="IB36" s="11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3"/>
      <c r="I37" s="127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3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3"/>
      <c r="BE37" s="127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4"/>
      <c r="CQ37" s="52" t="str">
        <f t="shared" si="175"/>
        <v/>
      </c>
      <c r="CX37" s="133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6" t="s">
        <v>339</v>
      </c>
      <c r="EY37" s="116"/>
      <c r="FA37" s="133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3"/>
      <c r="FS37" s="127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4"/>
      <c r="IB37" s="11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3"/>
      <c r="I38" s="127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3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3"/>
      <c r="BE38" s="127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4"/>
      <c r="CQ38" s="52" t="str">
        <f t="shared" si="175"/>
        <v/>
      </c>
      <c r="CX38" s="133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101</v>
      </c>
      <c r="EY38" s="3"/>
      <c r="FA38" s="133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3"/>
      <c r="FS38" s="127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4"/>
      <c r="IB38" s="11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3"/>
      <c r="I39" s="127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3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3"/>
      <c r="BE39" s="127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4"/>
      <c r="CQ39" s="52" t="str">
        <f t="shared" si="175"/>
        <v/>
      </c>
      <c r="CX39" s="133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89</v>
      </c>
      <c r="EY39" s="3"/>
      <c r="FA39" s="133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3"/>
      <c r="FS39" s="127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4"/>
      <c r="IB39" s="11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3"/>
      <c r="I40" s="127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3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3"/>
      <c r="BE40" s="127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4"/>
      <c r="CQ40" s="52" t="str">
        <f t="shared" si="175"/>
        <v/>
      </c>
      <c r="CX40" s="133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3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3"/>
      <c r="FS40" s="127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4"/>
      <c r="IB40" s="11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3"/>
      <c r="I41" s="127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3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3"/>
      <c r="BE41" s="127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4"/>
      <c r="CQ41" s="52" t="str">
        <f t="shared" si="175"/>
        <v/>
      </c>
      <c r="CX41" s="133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6" t="s">
        <v>340</v>
      </c>
      <c r="EY41" s="116"/>
      <c r="FA41" s="133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3"/>
      <c r="FS41" s="127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4"/>
      <c r="IB41" s="11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3"/>
      <c r="I42" s="127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3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3"/>
      <c r="BE42" s="127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4"/>
      <c r="CQ42" s="52" t="str">
        <f t="shared" si="175"/>
        <v/>
      </c>
      <c r="CX42" s="133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101</v>
      </c>
      <c r="EY42" s="30"/>
      <c r="FA42" s="133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3"/>
      <c r="FS42" s="127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4"/>
      <c r="IB42" s="11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3"/>
      <c r="I43" s="127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3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3"/>
      <c r="BE43" s="127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4"/>
      <c r="CQ43" s="52" t="str">
        <f t="shared" si="175"/>
        <v/>
      </c>
      <c r="CX43" s="133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91</v>
      </c>
      <c r="EY43" s="31"/>
      <c r="FA43" s="133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3"/>
      <c r="FS43" s="127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4"/>
      <c r="IB43" s="11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3"/>
      <c r="I44" s="127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3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3"/>
      <c r="BE44" s="127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4"/>
      <c r="CQ44" s="52" t="str">
        <f t="shared" si="175"/>
        <v/>
      </c>
      <c r="CX44" s="133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341</v>
      </c>
      <c r="EY44" s="31"/>
      <c r="FA44" s="133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3"/>
      <c r="FS44" s="127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4"/>
      <c r="IB44" s="11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3"/>
      <c r="I45" s="127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3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3"/>
      <c r="BE45" s="127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4"/>
      <c r="CQ45" s="52" t="str">
        <f t="shared" si="175"/>
        <v/>
      </c>
      <c r="CX45" s="133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3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3"/>
      <c r="FS45" s="127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4"/>
      <c r="IB45" s="11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3"/>
      <c r="I46" s="127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3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3"/>
      <c r="BE46" s="127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4"/>
      <c r="CQ46" s="52" t="str">
        <f t="shared" si="175"/>
        <v/>
      </c>
      <c r="CX46" s="133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3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3"/>
      <c r="FS46" s="127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4"/>
      <c r="IB46" s="11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3"/>
      <c r="I47" s="127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3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3"/>
      <c r="BE47" s="127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4"/>
      <c r="CQ47" s="52" t="str">
        <f t="shared" si="175"/>
        <v/>
      </c>
      <c r="CX47" s="133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3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3"/>
      <c r="FS47" s="127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4"/>
      <c r="IB47" s="11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3"/>
      <c r="I48" s="127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3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3"/>
      <c r="BE48" s="127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4"/>
      <c r="CQ48" s="52" t="str">
        <f t="shared" si="175"/>
        <v/>
      </c>
      <c r="CX48" s="133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3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3"/>
      <c r="FS48" s="127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4"/>
      <c r="IB48" s="11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3"/>
      <c r="I49" s="127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3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3"/>
      <c r="BE49" s="127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4"/>
      <c r="CQ49" s="52" t="str">
        <f t="shared" si="175"/>
        <v/>
      </c>
      <c r="CX49" s="133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3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3"/>
      <c r="FS49" s="127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4"/>
      <c r="IB49" s="11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3"/>
      <c r="I50" s="127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3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3"/>
      <c r="BE50" s="127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4"/>
      <c r="CQ50" s="52" t="str">
        <f t="shared" si="175"/>
        <v/>
      </c>
      <c r="CX50" s="133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3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3"/>
      <c r="FS50" s="127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4"/>
      <c r="IB50" s="11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3"/>
      <c r="I51" s="127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3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3"/>
      <c r="BE51" s="127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4"/>
      <c r="CQ51" s="52" t="str">
        <f t="shared" si="175"/>
        <v/>
      </c>
      <c r="CX51" s="133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3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3"/>
      <c r="FS51" s="127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4"/>
      <c r="IB51" s="11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3"/>
      <c r="I52" s="127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3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3"/>
      <c r="BE52" s="127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4"/>
      <c r="CQ52" s="52" t="str">
        <f t="shared" si="175"/>
        <v/>
      </c>
      <c r="CX52" s="133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3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3"/>
      <c r="FS52" s="127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4"/>
      <c r="IB52" s="11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3"/>
      <c r="I53" s="127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3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3"/>
      <c r="BE53" s="127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4"/>
      <c r="CQ53" s="52" t="str">
        <f t="shared" si="175"/>
        <v/>
      </c>
      <c r="CX53" s="133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3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3"/>
      <c r="FS53" s="127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4"/>
      <c r="IB53" s="11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3"/>
      <c r="I54" s="127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3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3"/>
      <c r="BE54" s="127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4"/>
      <c r="CQ54" s="52" t="str">
        <f t="shared" si="175"/>
        <v/>
      </c>
      <c r="CX54" s="133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3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3"/>
      <c r="FS54" s="127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4"/>
      <c r="IB54" s="11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3"/>
      <c r="I55" s="127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3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3"/>
      <c r="BE55" s="127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4"/>
      <c r="CQ55" s="52" t="str">
        <f t="shared" si="175"/>
        <v/>
      </c>
      <c r="CX55" s="133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3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3"/>
      <c r="FS55" s="127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4"/>
      <c r="IB55" s="11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3"/>
      <c r="I56" s="127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3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3"/>
      <c r="BE56" s="127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4"/>
      <c r="CQ56" s="52" t="str">
        <f t="shared" si="175"/>
        <v/>
      </c>
      <c r="CX56" s="133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3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3"/>
      <c r="FS56" s="127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4"/>
      <c r="IB56" s="11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3"/>
      <c r="I57" s="127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3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3"/>
      <c r="BE57" s="127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4"/>
      <c r="CQ57" s="52" t="str">
        <f t="shared" si="175"/>
        <v/>
      </c>
      <c r="CX57" s="133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3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3"/>
      <c r="FS57" s="127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4"/>
      <c r="IB57" s="11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3"/>
      <c r="I58" s="127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3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3"/>
      <c r="BE58" s="127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4"/>
      <c r="CQ58" s="52" t="str">
        <f t="shared" si="175"/>
        <v/>
      </c>
      <c r="CX58" s="133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3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3"/>
      <c r="FS58" s="127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4"/>
      <c r="IB58" s="11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3"/>
      <c r="I59" s="127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3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3"/>
      <c r="BE59" s="127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4"/>
      <c r="CQ59" s="52" t="str">
        <f t="shared" si="175"/>
        <v/>
      </c>
      <c r="CX59" s="133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3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3"/>
      <c r="FS59" s="127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4"/>
      <c r="IB59" s="11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3"/>
      <c r="I60" s="127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3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3"/>
      <c r="BE60" s="127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4"/>
      <c r="CQ60" s="52" t="str">
        <f t="shared" si="175"/>
        <v/>
      </c>
      <c r="CX60" s="133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3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3"/>
      <c r="FS60" s="127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4"/>
      <c r="IB60" s="11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3"/>
      <c r="I61" s="127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3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3"/>
      <c r="BE61" s="127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4"/>
      <c r="CQ61" s="52" t="str">
        <f t="shared" si="175"/>
        <v/>
      </c>
      <c r="CX61" s="133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3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3"/>
      <c r="FS61" s="127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4"/>
      <c r="IB61" s="11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3"/>
      <c r="I62" s="127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3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3"/>
      <c r="BE62" s="127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4"/>
      <c r="CQ62" s="52" t="str">
        <f t="shared" si="175"/>
        <v/>
      </c>
      <c r="CX62" s="133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3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3"/>
      <c r="FS62" s="127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4"/>
      <c r="IB62" s="11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3"/>
      <c r="I63" s="127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3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3"/>
      <c r="BE63" s="127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4"/>
      <c r="CQ63" s="52" t="str">
        <f t="shared" si="175"/>
        <v/>
      </c>
      <c r="CX63" s="133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3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3"/>
      <c r="FS63" s="127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4"/>
      <c r="IB63" s="11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3"/>
      <c r="I64" s="127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3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3"/>
      <c r="BE64" s="127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4"/>
      <c r="CQ64" s="52" t="str">
        <f t="shared" si="175"/>
        <v/>
      </c>
      <c r="CX64" s="133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3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3"/>
      <c r="FS64" s="127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4"/>
      <c r="IB64" s="11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3"/>
      <c r="I65" s="127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3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3"/>
      <c r="BE65" s="127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4"/>
      <c r="CQ65" s="52" t="str">
        <f t="shared" si="175"/>
        <v/>
      </c>
      <c r="CX65" s="133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3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3"/>
      <c r="FS65" s="127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4"/>
      <c r="IB65" s="11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3"/>
      <c r="I66" s="127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3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3"/>
      <c r="BE66" s="127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4"/>
      <c r="CQ66" s="52" t="str">
        <f t="shared" si="175"/>
        <v/>
      </c>
      <c r="CX66" s="133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3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3"/>
      <c r="FS66" s="127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4"/>
      <c r="IB66" s="11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3"/>
      <c r="I67" s="127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3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3"/>
      <c r="BE67" s="127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4"/>
      <c r="CQ67" s="52" t="str">
        <f t="shared" si="175"/>
        <v/>
      </c>
      <c r="CX67" s="133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3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3"/>
      <c r="FS67" s="127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4"/>
      <c r="IB67" s="11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3"/>
      <c r="I68" s="127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3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3"/>
      <c r="BE68" s="127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4"/>
      <c r="CQ68" s="52" t="str">
        <f t="shared" si="175"/>
        <v/>
      </c>
      <c r="CX68" s="133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3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3"/>
      <c r="FS68" s="127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4"/>
      <c r="IB68" s="11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3"/>
      <c r="I69" s="127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3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3"/>
      <c r="BE69" s="127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4"/>
      <c r="CQ69" s="52" t="str">
        <f t="shared" si="175"/>
        <v/>
      </c>
      <c r="CX69" s="133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3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3"/>
      <c r="FS69" s="127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4"/>
      <c r="IB69" s="11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3"/>
      <c r="I70" s="127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3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3"/>
      <c r="BE70" s="127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4"/>
      <c r="CQ70" s="52" t="str">
        <f t="shared" si="175"/>
        <v/>
      </c>
      <c r="CX70" s="133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3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3"/>
      <c r="FS70" s="127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4"/>
      <c r="IB70" s="11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3"/>
      <c r="I71" s="127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3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3"/>
      <c r="BE71" s="127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4"/>
      <c r="CQ71" s="52" t="str">
        <f t="shared" si="175"/>
        <v/>
      </c>
      <c r="CX71" s="133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3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3"/>
      <c r="FS71" s="127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4"/>
      <c r="IB71" s="11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3"/>
      <c r="I72" s="127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3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3"/>
      <c r="BE72" s="127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4"/>
      <c r="CQ72" s="52" t="str">
        <f t="shared" si="175"/>
        <v/>
      </c>
      <c r="CX72" s="133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3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3"/>
      <c r="FS72" s="127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4"/>
      <c r="IB72" s="11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3"/>
      <c r="I73" s="127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3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3"/>
      <c r="BE73" s="127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4"/>
      <c r="CQ73" s="52" t="str">
        <f t="shared" si="175"/>
        <v/>
      </c>
      <c r="CX73" s="133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3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3"/>
      <c r="FS73" s="127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4"/>
      <c r="IB73" s="11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3"/>
      <c r="I74" s="127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3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3"/>
      <c r="BE74" s="127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4"/>
      <c r="CQ74" s="52" t="str">
        <f t="shared" si="175"/>
        <v/>
      </c>
      <c r="CX74" s="133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3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3"/>
      <c r="FS74" s="127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4"/>
      <c r="IB74" s="11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3"/>
      <c r="I75" s="127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3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3"/>
      <c r="BE75" s="127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4"/>
      <c r="CQ75" s="52" t="str">
        <f t="shared" si="175"/>
        <v/>
      </c>
      <c r="CX75" s="133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3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3"/>
      <c r="FS75" s="127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4"/>
      <c r="IB75" s="11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3"/>
      <c r="I76" s="127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3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3"/>
      <c r="BE76" s="127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4"/>
      <c r="CQ76" s="52" t="str">
        <f t="shared" si="175"/>
        <v/>
      </c>
      <c r="CX76" s="133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3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3"/>
      <c r="FS76" s="127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4"/>
      <c r="IB76" s="11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3"/>
      <c r="I77" s="127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3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3"/>
      <c r="BE77" s="127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4"/>
      <c r="CQ77" s="52" t="str">
        <f t="shared" si="175"/>
        <v/>
      </c>
      <c r="CX77" s="133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3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3"/>
      <c r="FS77" s="127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4"/>
      <c r="IB77" s="11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3"/>
      <c r="I78" s="127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3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3"/>
      <c r="BE78" s="127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4"/>
      <c r="CQ78" s="52" t="str">
        <f t="shared" si="175"/>
        <v/>
      </c>
      <c r="CX78" s="133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3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3"/>
      <c r="FS78" s="127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4"/>
      <c r="IB78" s="11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3"/>
      <c r="I79" s="127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3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3"/>
      <c r="BE79" s="127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4"/>
      <c r="CQ79" s="52" t="str">
        <f t="shared" si="175"/>
        <v/>
      </c>
      <c r="CX79" s="133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3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3"/>
      <c r="FS79" s="127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4"/>
      <c r="IB79" s="11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3"/>
      <c r="I80" s="127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3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3"/>
      <c r="BE80" s="127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4"/>
      <c r="CQ80" s="52" t="str">
        <f t="shared" si="175"/>
        <v/>
      </c>
      <c r="CX80" s="133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3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3"/>
      <c r="FS80" s="127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4"/>
      <c r="IB80" s="11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3"/>
      <c r="I81" s="127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3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3"/>
      <c r="BE81" s="127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4"/>
      <c r="CQ81" s="52" t="str">
        <f t="shared" si="175"/>
        <v/>
      </c>
      <c r="CX81" s="133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3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3"/>
      <c r="FS81" s="127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4"/>
      <c r="IB81" s="11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3"/>
      <c r="I82" s="127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3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3"/>
      <c r="BE82" s="127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4"/>
      <c r="CQ82" s="52" t="str">
        <f t="shared" si="175"/>
        <v/>
      </c>
      <c r="CX82" s="133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3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3"/>
      <c r="FS82" s="127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4"/>
      <c r="IB82" s="11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3"/>
      <c r="I83" s="127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3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3"/>
      <c r="BE83" s="127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4"/>
      <c r="CQ83" s="52" t="str">
        <f t="shared" si="175"/>
        <v/>
      </c>
      <c r="CX83" s="133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3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3"/>
      <c r="FS83" s="127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4"/>
      <c r="IB83" s="11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3"/>
      <c r="I84" s="127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3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3"/>
      <c r="BE84" s="127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4"/>
      <c r="CQ84" s="52" t="str">
        <f t="shared" si="175"/>
        <v/>
      </c>
      <c r="CX84" s="133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3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3"/>
      <c r="FS84" s="127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4"/>
      <c r="IB84" s="11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3"/>
      <c r="I85" s="127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3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3"/>
      <c r="BE85" s="127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4"/>
      <c r="CQ85" s="52" t="str">
        <f t="shared" si="175"/>
        <v/>
      </c>
      <c r="CX85" s="133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3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3"/>
      <c r="FS85" s="127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4"/>
      <c r="IB85" s="11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3"/>
      <c r="I86" s="127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3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3"/>
      <c r="BE86" s="127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4"/>
      <c r="CQ86" s="52" t="str">
        <f t="shared" si="175"/>
        <v/>
      </c>
      <c r="CX86" s="133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3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3"/>
      <c r="FS86" s="127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4"/>
      <c r="IB86" s="11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3"/>
      <c r="I87" s="127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3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3"/>
      <c r="BE87" s="127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4"/>
      <c r="CQ87" s="52" t="str">
        <f t="shared" si="175"/>
        <v/>
      </c>
      <c r="CX87" s="133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3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3"/>
      <c r="FS87" s="127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4"/>
      <c r="IB87" s="11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3"/>
      <c r="I88" s="127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3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3"/>
      <c r="BE88" s="127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4"/>
      <c r="CQ88" s="52" t="str">
        <f t="shared" si="175"/>
        <v/>
      </c>
      <c r="CX88" s="133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3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3"/>
      <c r="FS88" s="127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4"/>
      <c r="IB88" s="11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3"/>
      <c r="I89" s="127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3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3"/>
      <c r="BE89" s="127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4"/>
      <c r="CQ89" s="52" t="str">
        <f t="shared" si="175"/>
        <v/>
      </c>
      <c r="CX89" s="133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3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3"/>
      <c r="FS89" s="127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4"/>
      <c r="IB89" s="11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3"/>
      <c r="I90" s="127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3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3"/>
      <c r="BE90" s="127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4"/>
      <c r="CQ90" s="52" t="str">
        <f t="shared" si="175"/>
        <v/>
      </c>
      <c r="CX90" s="133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3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3"/>
      <c r="FS90" s="127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4"/>
      <c r="IB90" s="11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3"/>
      <c r="I91" s="127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3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3"/>
      <c r="BE91" s="127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4"/>
      <c r="CQ91" s="52" t="str">
        <f t="shared" si="175"/>
        <v/>
      </c>
      <c r="CX91" s="133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3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3"/>
      <c r="FS91" s="127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4"/>
      <c r="IB91" s="11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3"/>
      <c r="I92" s="127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3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3"/>
      <c r="BE92" s="127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4"/>
      <c r="CQ92" s="52" t="str">
        <f t="shared" si="175"/>
        <v/>
      </c>
      <c r="CX92" s="133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3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3"/>
      <c r="FS92" s="127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4"/>
      <c r="IB92" s="11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3"/>
      <c r="I93" s="127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3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3"/>
      <c r="BE93" s="127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4"/>
      <c r="CQ93" s="52" t="str">
        <f t="shared" si="175"/>
        <v/>
      </c>
      <c r="CX93" s="133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3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3"/>
      <c r="FS93" s="127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4"/>
      <c r="IB93" s="11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3"/>
      <c r="I94" s="127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3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3"/>
      <c r="BE94" s="127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4"/>
      <c r="CQ94" s="52" t="str">
        <f t="shared" si="175"/>
        <v/>
      </c>
      <c r="CX94" s="133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3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3"/>
      <c r="FS94" s="127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4"/>
      <c r="IB94" s="11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3"/>
      <c r="I95" s="127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3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3"/>
      <c r="BE95" s="127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4"/>
      <c r="CQ95" s="52" t="str">
        <f t="shared" si="175"/>
        <v/>
      </c>
      <c r="CX95" s="133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3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3"/>
      <c r="FS95" s="127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4"/>
      <c r="IB95" s="11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3"/>
      <c r="I96" s="127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3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3"/>
      <c r="BE96" s="127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4"/>
      <c r="CQ96" s="52" t="str">
        <f t="shared" si="175"/>
        <v/>
      </c>
      <c r="CX96" s="133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3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3"/>
      <c r="FS96" s="127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4"/>
      <c r="IB96" s="11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3"/>
      <c r="I97" s="127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3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3"/>
      <c r="BE97" s="127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4"/>
      <c r="CQ97" s="52" t="str">
        <f t="shared" si="175"/>
        <v/>
      </c>
      <c r="CX97" s="133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3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3"/>
      <c r="FS97" s="127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4"/>
      <c r="IB97" s="11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3"/>
      <c r="I98" s="127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3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3"/>
      <c r="BE98" s="127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4"/>
      <c r="CQ98" s="52" t="str">
        <f t="shared" ref="CQ98:CQ161" si="383">IF(AND(Sufficient_data="Yes",Include_study?="Yes"),c_/(c_+d_),"")</f>
        <v/>
      </c>
      <c r="CX98" s="133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3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3"/>
      <c r="FS98" s="127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4"/>
      <c r="IB98" s="11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3"/>
      <c r="I99" s="127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3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3"/>
      <c r="BE99" s="127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4"/>
      <c r="CQ99" s="52" t="str">
        <f t="shared" si="383"/>
        <v/>
      </c>
      <c r="CX99" s="133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3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3"/>
      <c r="FS99" s="127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4"/>
      <c r="IB99" s="11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3"/>
      <c r="I100" s="127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3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3"/>
      <c r="BE100" s="127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4"/>
      <c r="CQ100" s="52" t="str">
        <f t="shared" si="383"/>
        <v/>
      </c>
      <c r="CX100" s="133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3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3"/>
      <c r="FS100" s="127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4"/>
      <c r="IB100" s="11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3"/>
      <c r="I101" s="127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3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3"/>
      <c r="BE101" s="127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4"/>
      <c r="CQ101" s="52" t="str">
        <f t="shared" si="383"/>
        <v/>
      </c>
      <c r="CX101" s="133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3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3"/>
      <c r="FS101" s="127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4"/>
      <c r="IB101" s="11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3"/>
      <c r="I102" s="127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3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3"/>
      <c r="BE102" s="127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4"/>
      <c r="CQ102" s="52" t="str">
        <f t="shared" si="383"/>
        <v/>
      </c>
      <c r="CX102" s="133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3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3"/>
      <c r="FS102" s="127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4"/>
      <c r="IB102" s="11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3"/>
      <c r="I103" s="127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3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3"/>
      <c r="BE103" s="127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4"/>
      <c r="CQ103" s="52" t="str">
        <f t="shared" si="383"/>
        <v/>
      </c>
      <c r="CX103" s="133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3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3"/>
      <c r="FS103" s="127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4"/>
      <c r="IB103" s="11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3"/>
      <c r="I104" s="127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3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3"/>
      <c r="BE104" s="127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4"/>
      <c r="CQ104" s="52" t="str">
        <f t="shared" si="383"/>
        <v/>
      </c>
      <c r="CX104" s="133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3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3"/>
      <c r="FS104" s="127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4"/>
      <c r="IB104" s="11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3"/>
      <c r="I105" s="127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3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3"/>
      <c r="BE105" s="127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4"/>
      <c r="CQ105" s="52" t="str">
        <f t="shared" si="383"/>
        <v/>
      </c>
      <c r="CX105" s="133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3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3"/>
      <c r="FS105" s="127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4"/>
      <c r="IB105" s="11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3"/>
      <c r="I106" s="127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3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3"/>
      <c r="BE106" s="127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4"/>
      <c r="CQ106" s="52" t="str">
        <f t="shared" si="383"/>
        <v/>
      </c>
      <c r="CX106" s="133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3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3"/>
      <c r="FS106" s="127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4"/>
      <c r="IB106" s="11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3"/>
      <c r="I107" s="127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3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3"/>
      <c r="BE107" s="127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4"/>
      <c r="CQ107" s="52" t="str">
        <f t="shared" si="383"/>
        <v/>
      </c>
      <c r="CX107" s="133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3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3"/>
      <c r="FS107" s="127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4"/>
      <c r="IB107" s="11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3"/>
      <c r="I108" s="127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3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3"/>
      <c r="BE108" s="127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4"/>
      <c r="CQ108" s="52" t="str">
        <f t="shared" si="383"/>
        <v/>
      </c>
      <c r="CX108" s="133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3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3"/>
      <c r="FS108" s="127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4"/>
      <c r="IB108" s="11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3"/>
      <c r="I109" s="127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3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3"/>
      <c r="BE109" s="127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4"/>
      <c r="CQ109" s="52" t="str">
        <f t="shared" si="383"/>
        <v/>
      </c>
      <c r="CX109" s="133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3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3"/>
      <c r="FS109" s="127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4"/>
      <c r="IB109" s="11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3"/>
      <c r="I110" s="127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3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3"/>
      <c r="BE110" s="127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4"/>
      <c r="CQ110" s="52" t="str">
        <f t="shared" si="383"/>
        <v/>
      </c>
      <c r="CX110" s="133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3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3"/>
      <c r="FS110" s="127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4"/>
      <c r="IB110" s="11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3"/>
      <c r="I111" s="127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3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3"/>
      <c r="BE111" s="127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4"/>
      <c r="CQ111" s="52" t="str">
        <f t="shared" si="383"/>
        <v/>
      </c>
      <c r="CX111" s="133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3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3"/>
      <c r="FS111" s="127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4"/>
      <c r="IB111" s="11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3"/>
      <c r="I112" s="127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3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3"/>
      <c r="BE112" s="127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4"/>
      <c r="CQ112" s="52" t="str">
        <f t="shared" si="383"/>
        <v/>
      </c>
      <c r="CX112" s="133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3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3"/>
      <c r="FS112" s="127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4"/>
      <c r="IB112" s="11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3"/>
      <c r="I113" s="127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3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3"/>
      <c r="BE113" s="127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4"/>
      <c r="CQ113" s="52" t="str">
        <f t="shared" si="383"/>
        <v/>
      </c>
      <c r="CX113" s="133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3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3"/>
      <c r="FS113" s="127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4"/>
      <c r="IB113" s="11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3"/>
      <c r="I114" s="127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3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3"/>
      <c r="BE114" s="127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4"/>
      <c r="CQ114" s="52" t="str">
        <f t="shared" si="383"/>
        <v/>
      </c>
      <c r="CX114" s="133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3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3"/>
      <c r="FS114" s="127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4"/>
      <c r="IB114" s="11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3"/>
      <c r="I115" s="127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3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3"/>
      <c r="BE115" s="127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4"/>
      <c r="CQ115" s="52" t="str">
        <f t="shared" si="383"/>
        <v/>
      </c>
      <c r="CX115" s="133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3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3"/>
      <c r="FS115" s="127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4"/>
      <c r="IB115" s="11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3"/>
      <c r="I116" s="127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3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3"/>
      <c r="BE116" s="127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4"/>
      <c r="CQ116" s="52" t="str">
        <f t="shared" si="383"/>
        <v/>
      </c>
      <c r="CX116" s="133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3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3"/>
      <c r="FS116" s="127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4"/>
      <c r="IB116" s="11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3"/>
      <c r="I117" s="127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3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3"/>
      <c r="BE117" s="127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4"/>
      <c r="CQ117" s="52" t="str">
        <f t="shared" si="383"/>
        <v/>
      </c>
      <c r="CX117" s="133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3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3"/>
      <c r="FS117" s="127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4"/>
      <c r="IB117" s="11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3"/>
      <c r="I118" s="127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3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3"/>
      <c r="BE118" s="127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4"/>
      <c r="CQ118" s="52" t="str">
        <f t="shared" si="383"/>
        <v/>
      </c>
      <c r="CX118" s="133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3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3"/>
      <c r="FS118" s="127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4"/>
      <c r="IB118" s="11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3"/>
      <c r="I119" s="127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3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3"/>
      <c r="BE119" s="127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4"/>
      <c r="CQ119" s="52" t="str">
        <f t="shared" si="383"/>
        <v/>
      </c>
      <c r="CX119" s="133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3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3"/>
      <c r="FS119" s="127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4"/>
      <c r="IB119" s="11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3"/>
      <c r="I120" s="127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3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3"/>
      <c r="BE120" s="127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4"/>
      <c r="CQ120" s="52" t="str">
        <f t="shared" si="383"/>
        <v/>
      </c>
      <c r="CX120" s="133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3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3"/>
      <c r="FS120" s="127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4"/>
      <c r="IB120" s="11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3"/>
      <c r="I121" s="127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3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3"/>
      <c r="BE121" s="127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4"/>
      <c r="CQ121" s="52" t="str">
        <f t="shared" si="383"/>
        <v/>
      </c>
      <c r="CX121" s="133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3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3"/>
      <c r="FS121" s="127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4"/>
      <c r="IB121" s="11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3"/>
      <c r="I122" s="127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3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3"/>
      <c r="BE122" s="127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4"/>
      <c r="CQ122" s="52" t="str">
        <f t="shared" si="383"/>
        <v/>
      </c>
      <c r="CX122" s="133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3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3"/>
      <c r="FS122" s="127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4"/>
      <c r="IB122" s="11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3"/>
      <c r="I123" s="127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3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3"/>
      <c r="BE123" s="127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4"/>
      <c r="CQ123" s="52" t="str">
        <f t="shared" si="383"/>
        <v/>
      </c>
      <c r="CX123" s="133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3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3"/>
      <c r="FS123" s="127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4"/>
      <c r="IB123" s="11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3"/>
      <c r="I124" s="127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3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3"/>
      <c r="BE124" s="127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4"/>
      <c r="CQ124" s="52" t="str">
        <f t="shared" si="383"/>
        <v/>
      </c>
      <c r="CX124" s="133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3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3"/>
      <c r="FS124" s="127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4"/>
      <c r="IB124" s="11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3"/>
      <c r="I125" s="127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3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3"/>
      <c r="BE125" s="127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4"/>
      <c r="CQ125" s="52" t="str">
        <f t="shared" si="383"/>
        <v/>
      </c>
      <c r="CX125" s="133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3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3"/>
      <c r="FS125" s="127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4"/>
      <c r="IB125" s="11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3"/>
      <c r="I126" s="127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3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3"/>
      <c r="BE126" s="127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4"/>
      <c r="CQ126" s="52" t="str">
        <f t="shared" si="383"/>
        <v/>
      </c>
      <c r="CX126" s="133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3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3"/>
      <c r="FS126" s="127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4"/>
      <c r="IB126" s="11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3"/>
      <c r="I127" s="127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3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3"/>
      <c r="BE127" s="127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4"/>
      <c r="CQ127" s="52" t="str">
        <f t="shared" si="383"/>
        <v/>
      </c>
      <c r="CX127" s="133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3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3"/>
      <c r="FS127" s="127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4"/>
      <c r="IB127" s="11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3"/>
      <c r="I128" s="127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3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3"/>
      <c r="BE128" s="127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4"/>
      <c r="CQ128" s="52" t="str">
        <f t="shared" si="383"/>
        <v/>
      </c>
      <c r="CX128" s="133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3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3"/>
      <c r="FS128" s="127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4"/>
      <c r="IB128" s="11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3"/>
      <c r="I129" s="127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3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3"/>
      <c r="BE129" s="127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4"/>
      <c r="CQ129" s="52" t="str">
        <f t="shared" si="383"/>
        <v/>
      </c>
      <c r="CX129" s="133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3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3"/>
      <c r="FS129" s="127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4"/>
      <c r="IB129" s="11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3"/>
      <c r="I130" s="127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3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3"/>
      <c r="BE130" s="127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4"/>
      <c r="CQ130" s="52" t="str">
        <f t="shared" si="383"/>
        <v/>
      </c>
      <c r="CX130" s="133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3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3"/>
      <c r="FS130" s="127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4"/>
      <c r="IB130" s="11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3"/>
      <c r="I131" s="127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3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3"/>
      <c r="BE131" s="127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4"/>
      <c r="CQ131" s="52" t="str">
        <f t="shared" si="383"/>
        <v/>
      </c>
      <c r="CX131" s="133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3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3"/>
      <c r="FS131" s="127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4"/>
      <c r="IB131" s="11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3"/>
      <c r="I132" s="127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3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3"/>
      <c r="BE132" s="127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4"/>
      <c r="CQ132" s="52" t="str">
        <f t="shared" si="383"/>
        <v/>
      </c>
      <c r="CX132" s="133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3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3"/>
      <c r="FS132" s="127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4"/>
      <c r="IB132" s="11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3"/>
      <c r="I133" s="127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3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3"/>
      <c r="BE133" s="127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4"/>
      <c r="CQ133" s="52" t="str">
        <f t="shared" si="383"/>
        <v/>
      </c>
      <c r="CX133" s="133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3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3"/>
      <c r="FS133" s="127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4"/>
      <c r="IB133" s="11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3"/>
      <c r="I134" s="127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3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3"/>
      <c r="BE134" s="127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4"/>
      <c r="CQ134" s="52" t="str">
        <f t="shared" si="383"/>
        <v/>
      </c>
      <c r="CX134" s="133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3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3"/>
      <c r="FS134" s="127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4"/>
      <c r="IB134" s="11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3"/>
      <c r="I135" s="127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3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3"/>
      <c r="BE135" s="127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4"/>
      <c r="CQ135" s="52" t="str">
        <f t="shared" si="383"/>
        <v/>
      </c>
      <c r="CX135" s="133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3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3"/>
      <c r="FS135" s="127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4"/>
      <c r="IB135" s="11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3"/>
      <c r="I136" s="127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3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3"/>
      <c r="BE136" s="127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4"/>
      <c r="CQ136" s="52" t="str">
        <f t="shared" si="383"/>
        <v/>
      </c>
      <c r="CX136" s="133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3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3"/>
      <c r="FS136" s="127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4"/>
      <c r="IB136" s="11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3"/>
      <c r="I137" s="127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3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3"/>
      <c r="BE137" s="127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4"/>
      <c r="CQ137" s="52" t="str">
        <f t="shared" si="383"/>
        <v/>
      </c>
      <c r="CX137" s="133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3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3"/>
      <c r="FS137" s="127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4"/>
      <c r="IB137" s="11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3"/>
      <c r="I138" s="127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3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3"/>
      <c r="BE138" s="127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4"/>
      <c r="CQ138" s="52" t="str">
        <f t="shared" si="383"/>
        <v/>
      </c>
      <c r="CX138" s="133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3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3"/>
      <c r="FS138" s="127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4"/>
      <c r="IB138" s="11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3"/>
      <c r="I139" s="127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3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3"/>
      <c r="BE139" s="127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4"/>
      <c r="CQ139" s="52" t="str">
        <f t="shared" si="383"/>
        <v/>
      </c>
      <c r="CX139" s="133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3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3"/>
      <c r="FS139" s="127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4"/>
      <c r="IB139" s="11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3"/>
      <c r="I140" s="127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3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3"/>
      <c r="BE140" s="127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4"/>
      <c r="CQ140" s="52" t="str">
        <f t="shared" si="383"/>
        <v/>
      </c>
      <c r="CX140" s="133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3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3"/>
      <c r="FS140" s="127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4"/>
      <c r="IB140" s="11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3"/>
      <c r="I141" s="127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3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3"/>
      <c r="BE141" s="127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4"/>
      <c r="CQ141" s="52" t="str">
        <f t="shared" si="383"/>
        <v/>
      </c>
      <c r="CX141" s="133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3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3"/>
      <c r="FS141" s="127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4"/>
      <c r="IB141" s="11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3"/>
      <c r="I142" s="127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3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3"/>
      <c r="BE142" s="127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4"/>
      <c r="CQ142" s="52" t="str">
        <f t="shared" si="383"/>
        <v/>
      </c>
      <c r="CX142" s="133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3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3"/>
      <c r="FS142" s="127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4"/>
      <c r="IB142" s="11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3"/>
      <c r="I143" s="127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3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3"/>
      <c r="BE143" s="127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4"/>
      <c r="CQ143" s="52" t="str">
        <f t="shared" si="383"/>
        <v/>
      </c>
      <c r="CX143" s="133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3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3"/>
      <c r="FS143" s="127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4"/>
      <c r="IB143" s="11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3"/>
      <c r="I144" s="127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3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3"/>
      <c r="BE144" s="127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4"/>
      <c r="CQ144" s="52" t="str">
        <f t="shared" si="383"/>
        <v/>
      </c>
      <c r="CX144" s="133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3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3"/>
      <c r="FS144" s="127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4"/>
      <c r="IB144" s="11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3"/>
      <c r="I145" s="127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3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3"/>
      <c r="BE145" s="127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4"/>
      <c r="CQ145" s="52" t="str">
        <f t="shared" si="383"/>
        <v/>
      </c>
      <c r="CX145" s="133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3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3"/>
      <c r="FS145" s="127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4"/>
      <c r="IB145" s="11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3"/>
      <c r="I146" s="127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3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3"/>
      <c r="BE146" s="127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4"/>
      <c r="CQ146" s="52" t="str">
        <f t="shared" si="383"/>
        <v/>
      </c>
      <c r="CX146" s="133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3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3"/>
      <c r="FS146" s="127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4"/>
      <c r="IB146" s="11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3"/>
      <c r="I147" s="127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3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3"/>
      <c r="BE147" s="127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4"/>
      <c r="CQ147" s="52" t="str">
        <f t="shared" si="383"/>
        <v/>
      </c>
      <c r="CX147" s="133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3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3"/>
      <c r="FS147" s="127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4"/>
      <c r="IB147" s="11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3"/>
      <c r="I148" s="127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3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3"/>
      <c r="BE148" s="127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4"/>
      <c r="CQ148" s="52" t="str">
        <f t="shared" si="383"/>
        <v/>
      </c>
      <c r="CX148" s="133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3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3"/>
      <c r="FS148" s="127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4"/>
      <c r="IB148" s="11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3"/>
      <c r="I149" s="127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3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3"/>
      <c r="BE149" s="127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4"/>
      <c r="CQ149" s="52" t="str">
        <f t="shared" si="383"/>
        <v/>
      </c>
      <c r="CX149" s="133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3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3"/>
      <c r="FS149" s="127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4"/>
      <c r="IB149" s="11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3"/>
      <c r="I150" s="127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3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3"/>
      <c r="BE150" s="127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4"/>
      <c r="CQ150" s="52" t="str">
        <f t="shared" si="383"/>
        <v/>
      </c>
      <c r="CX150" s="133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3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3"/>
      <c r="FS150" s="127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4"/>
      <c r="IB150" s="11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3"/>
      <c r="I151" s="127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3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3"/>
      <c r="BE151" s="127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4"/>
      <c r="CQ151" s="52" t="str">
        <f t="shared" si="383"/>
        <v/>
      </c>
      <c r="CX151" s="133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3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3"/>
      <c r="FS151" s="127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4"/>
      <c r="IB151" s="11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3"/>
      <c r="I152" s="127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3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3"/>
      <c r="BE152" s="127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4"/>
      <c r="CQ152" s="52" t="str">
        <f t="shared" si="383"/>
        <v/>
      </c>
      <c r="CX152" s="133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3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3"/>
      <c r="FS152" s="127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4"/>
      <c r="IB152" s="11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3"/>
      <c r="I153" s="127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3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3"/>
      <c r="BE153" s="127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4"/>
      <c r="CQ153" s="52" t="str">
        <f t="shared" si="383"/>
        <v/>
      </c>
      <c r="CX153" s="133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3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3"/>
      <c r="FS153" s="127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4"/>
      <c r="IB153" s="11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3"/>
      <c r="I154" s="127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3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3"/>
      <c r="BE154" s="127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4"/>
      <c r="CQ154" s="52" t="str">
        <f t="shared" si="383"/>
        <v/>
      </c>
      <c r="CX154" s="133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3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3"/>
      <c r="FS154" s="127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4"/>
      <c r="IB154" s="11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3"/>
      <c r="I155" s="127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3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3"/>
      <c r="BE155" s="127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4"/>
      <c r="CQ155" s="52" t="str">
        <f t="shared" si="383"/>
        <v/>
      </c>
      <c r="CX155" s="133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3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3"/>
      <c r="FS155" s="127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4"/>
      <c r="IB155" s="11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3"/>
      <c r="I156" s="127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3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3"/>
      <c r="BE156" s="127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4"/>
      <c r="CQ156" s="52" t="str">
        <f t="shared" si="383"/>
        <v/>
      </c>
      <c r="CX156" s="133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3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3"/>
      <c r="FS156" s="127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4"/>
      <c r="IB156" s="11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3"/>
      <c r="I157" s="127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3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3"/>
      <c r="BE157" s="127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4"/>
      <c r="CQ157" s="52" t="str">
        <f t="shared" si="383"/>
        <v/>
      </c>
      <c r="CX157" s="133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3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3"/>
      <c r="FS157" s="127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4"/>
      <c r="IB157" s="11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3"/>
      <c r="I158" s="127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3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3"/>
      <c r="BE158" s="127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4"/>
      <c r="CQ158" s="52" t="str">
        <f t="shared" si="383"/>
        <v/>
      </c>
      <c r="CX158" s="133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3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3"/>
      <c r="FS158" s="127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4"/>
      <c r="IB158" s="11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3"/>
      <c r="I159" s="127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3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3"/>
      <c r="BE159" s="127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4"/>
      <c r="CQ159" s="52" t="str">
        <f t="shared" si="383"/>
        <v/>
      </c>
      <c r="CX159" s="133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3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3"/>
      <c r="FS159" s="127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4"/>
      <c r="IB159" s="11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3"/>
      <c r="I160" s="127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3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3"/>
      <c r="BE160" s="127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4"/>
      <c r="CQ160" s="52" t="str">
        <f t="shared" si="383"/>
        <v/>
      </c>
      <c r="CX160" s="133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3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3"/>
      <c r="FS160" s="127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4"/>
      <c r="IB160" s="11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3"/>
      <c r="I161" s="127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3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3"/>
      <c r="BE161" s="127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4"/>
      <c r="CQ161" s="52" t="str">
        <f t="shared" si="383"/>
        <v/>
      </c>
      <c r="CX161" s="133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3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3"/>
      <c r="FS161" s="127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4"/>
      <c r="IB161" s="11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3"/>
      <c r="I162" s="127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3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3"/>
      <c r="BE162" s="127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4"/>
      <c r="CQ162" s="52" t="str">
        <f t="shared" ref="CQ162:CQ201" si="582">IF(AND(Sufficient_data="Yes",Include_study?="Yes"),c_/(c_+d_),"")</f>
        <v/>
      </c>
      <c r="CX162" s="133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3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3"/>
      <c r="FS162" s="127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4"/>
      <c r="IB162" s="11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3"/>
      <c r="I163" s="127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3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3"/>
      <c r="BE163" s="127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4"/>
      <c r="CQ163" s="52" t="str">
        <f t="shared" si="582"/>
        <v/>
      </c>
      <c r="CX163" s="133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3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3"/>
      <c r="FS163" s="127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4"/>
      <c r="IB163" s="11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3"/>
      <c r="I164" s="127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3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3"/>
      <c r="BE164" s="127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4"/>
      <c r="CQ164" s="52" t="str">
        <f t="shared" si="582"/>
        <v/>
      </c>
      <c r="CX164" s="133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3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3"/>
      <c r="FS164" s="127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4"/>
      <c r="IB164" s="11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3"/>
      <c r="I165" s="127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3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3"/>
      <c r="BE165" s="127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4"/>
      <c r="CQ165" s="52" t="str">
        <f t="shared" si="582"/>
        <v/>
      </c>
      <c r="CX165" s="133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3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3"/>
      <c r="FS165" s="127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4"/>
      <c r="IB165" s="11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3"/>
      <c r="I166" s="127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3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3"/>
      <c r="BE166" s="127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4"/>
      <c r="CQ166" s="52" t="str">
        <f t="shared" si="582"/>
        <v/>
      </c>
      <c r="CX166" s="133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3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3"/>
      <c r="FS166" s="127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4"/>
      <c r="IB166" s="11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3"/>
      <c r="I167" s="127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3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3"/>
      <c r="BE167" s="127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4"/>
      <c r="CQ167" s="52" t="str">
        <f t="shared" si="582"/>
        <v/>
      </c>
      <c r="CX167" s="133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3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3"/>
      <c r="FS167" s="127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4"/>
      <c r="IB167" s="11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3"/>
      <c r="I168" s="127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3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3"/>
      <c r="BE168" s="127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4"/>
      <c r="CQ168" s="52" t="str">
        <f t="shared" si="582"/>
        <v/>
      </c>
      <c r="CX168" s="133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3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3"/>
      <c r="FS168" s="127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4"/>
      <c r="IB168" s="11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3"/>
      <c r="I169" s="127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3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3"/>
      <c r="BE169" s="127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4"/>
      <c r="CQ169" s="52" t="str">
        <f t="shared" si="582"/>
        <v/>
      </c>
      <c r="CX169" s="133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3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3"/>
      <c r="FS169" s="127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4"/>
      <c r="IB169" s="11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3"/>
      <c r="I170" s="127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3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3"/>
      <c r="BE170" s="127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4"/>
      <c r="CQ170" s="52" t="str">
        <f t="shared" si="582"/>
        <v/>
      </c>
      <c r="CX170" s="133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3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3"/>
      <c r="FS170" s="127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4"/>
      <c r="IB170" s="11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3"/>
      <c r="I171" s="127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3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3"/>
      <c r="BE171" s="127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4"/>
      <c r="CQ171" s="52" t="str">
        <f t="shared" si="582"/>
        <v/>
      </c>
      <c r="CX171" s="133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3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3"/>
      <c r="FS171" s="127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4"/>
      <c r="IB171" s="11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3"/>
      <c r="I172" s="127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3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3"/>
      <c r="BE172" s="127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4"/>
      <c r="CQ172" s="52" t="str">
        <f t="shared" si="582"/>
        <v/>
      </c>
      <c r="CX172" s="133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3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3"/>
      <c r="FS172" s="127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4"/>
      <c r="IB172" s="11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3"/>
      <c r="I173" s="127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3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3"/>
      <c r="BE173" s="127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4"/>
      <c r="CQ173" s="52" t="str">
        <f t="shared" si="582"/>
        <v/>
      </c>
      <c r="CX173" s="133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3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3"/>
      <c r="FS173" s="127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4"/>
      <c r="IB173" s="11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3"/>
      <c r="I174" s="127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3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3"/>
      <c r="BE174" s="127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4"/>
      <c r="CQ174" s="52" t="str">
        <f t="shared" si="582"/>
        <v/>
      </c>
      <c r="CX174" s="133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3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3"/>
      <c r="FS174" s="127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4"/>
      <c r="IB174" s="11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3"/>
      <c r="I175" s="127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3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3"/>
      <c r="BE175" s="127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4"/>
      <c r="CQ175" s="52" t="str">
        <f t="shared" si="582"/>
        <v/>
      </c>
      <c r="CX175" s="133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3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3"/>
      <c r="FS175" s="127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4"/>
      <c r="IB175" s="11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3"/>
      <c r="I176" s="127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3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3"/>
      <c r="BE176" s="127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4"/>
      <c r="CQ176" s="52" t="str">
        <f t="shared" si="582"/>
        <v/>
      </c>
      <c r="CX176" s="133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3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3"/>
      <c r="FS176" s="127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4"/>
      <c r="IB176" s="11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3"/>
      <c r="I177" s="127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3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3"/>
      <c r="BE177" s="127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4"/>
      <c r="CQ177" s="52" t="str">
        <f t="shared" si="582"/>
        <v/>
      </c>
      <c r="CX177" s="133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3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3"/>
      <c r="FS177" s="127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4"/>
      <c r="IB177" s="11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3"/>
      <c r="I178" s="127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3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3"/>
      <c r="BE178" s="127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4"/>
      <c r="CQ178" s="52" t="str">
        <f t="shared" si="582"/>
        <v/>
      </c>
      <c r="CX178" s="133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3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3"/>
      <c r="FS178" s="127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4"/>
      <c r="IB178" s="11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3"/>
      <c r="I179" s="127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3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3"/>
      <c r="BE179" s="127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4"/>
      <c r="CQ179" s="52" t="str">
        <f t="shared" si="582"/>
        <v/>
      </c>
      <c r="CX179" s="133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3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3"/>
      <c r="FS179" s="127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4"/>
      <c r="IB179" s="11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3"/>
      <c r="I180" s="127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3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3"/>
      <c r="BE180" s="127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4"/>
      <c r="CQ180" s="52" t="str">
        <f t="shared" si="582"/>
        <v/>
      </c>
      <c r="CX180" s="133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3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3"/>
      <c r="FS180" s="127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4"/>
      <c r="IB180" s="11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3"/>
      <c r="I181" s="127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3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3"/>
      <c r="BE181" s="127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4"/>
      <c r="CQ181" s="52" t="str">
        <f t="shared" si="582"/>
        <v/>
      </c>
      <c r="CX181" s="133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3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3"/>
      <c r="FS181" s="127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4"/>
      <c r="IB181" s="11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3"/>
      <c r="I182" s="127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3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3"/>
      <c r="BE182" s="127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4"/>
      <c r="CQ182" s="52" t="str">
        <f t="shared" si="582"/>
        <v/>
      </c>
      <c r="CX182" s="133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3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3"/>
      <c r="FS182" s="127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4"/>
      <c r="IB182" s="11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3"/>
      <c r="I183" s="127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3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3"/>
      <c r="BE183" s="127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4"/>
      <c r="CQ183" s="52" t="str">
        <f t="shared" si="582"/>
        <v/>
      </c>
      <c r="CX183" s="133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3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3"/>
      <c r="FS183" s="127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4"/>
      <c r="IB183" s="11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3"/>
      <c r="I184" s="127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3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3"/>
      <c r="BE184" s="127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4"/>
      <c r="CQ184" s="52" t="str">
        <f t="shared" si="582"/>
        <v/>
      </c>
      <c r="CX184" s="133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3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3"/>
      <c r="FS184" s="127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4"/>
      <c r="IB184" s="11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3"/>
      <c r="I185" s="127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3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3"/>
      <c r="BE185" s="127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4"/>
      <c r="CQ185" s="52" t="str">
        <f t="shared" si="582"/>
        <v/>
      </c>
      <c r="CX185" s="133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3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3"/>
      <c r="FS185" s="127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4"/>
      <c r="IB185" s="11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3"/>
      <c r="I186" s="127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3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3"/>
      <c r="BE186" s="127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4"/>
      <c r="CQ186" s="52" t="str">
        <f t="shared" si="582"/>
        <v/>
      </c>
      <c r="CX186" s="133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3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3"/>
      <c r="FS186" s="127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4"/>
      <c r="IB186" s="11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3"/>
      <c r="I187" s="127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3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3"/>
      <c r="BE187" s="127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4"/>
      <c r="CQ187" s="52" t="str">
        <f t="shared" si="582"/>
        <v/>
      </c>
      <c r="CX187" s="133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3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3"/>
      <c r="FS187" s="127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4"/>
      <c r="IB187" s="11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3"/>
      <c r="I188" s="127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3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3"/>
      <c r="BE188" s="127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4"/>
      <c r="CQ188" s="52" t="str">
        <f t="shared" si="582"/>
        <v/>
      </c>
      <c r="CX188" s="133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3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3"/>
      <c r="FS188" s="127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4"/>
      <c r="IB188" s="11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3"/>
      <c r="I189" s="127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3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3"/>
      <c r="BE189" s="127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4"/>
      <c r="CQ189" s="52" t="str">
        <f t="shared" si="582"/>
        <v/>
      </c>
      <c r="CX189" s="133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3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3"/>
      <c r="FS189" s="127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4"/>
      <c r="IB189" s="11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3"/>
      <c r="I190" s="127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3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3"/>
      <c r="BE190" s="127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4"/>
      <c r="CQ190" s="52" t="str">
        <f t="shared" si="582"/>
        <v/>
      </c>
      <c r="CX190" s="133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3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3"/>
      <c r="FS190" s="127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4"/>
      <c r="IB190" s="11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3"/>
      <c r="I191" s="127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3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3"/>
      <c r="BE191" s="127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4"/>
      <c r="CQ191" s="52" t="str">
        <f t="shared" si="582"/>
        <v/>
      </c>
      <c r="CX191" s="133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3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3"/>
      <c r="FS191" s="127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4"/>
      <c r="IB191" s="11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3"/>
      <c r="I192" s="127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3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3"/>
      <c r="BE192" s="127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4"/>
      <c r="CQ192" s="52" t="str">
        <f t="shared" si="582"/>
        <v/>
      </c>
      <c r="CX192" s="133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3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3"/>
      <c r="FS192" s="127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4"/>
      <c r="IB192" s="11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3"/>
      <c r="I193" s="127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3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3"/>
      <c r="BE193" s="127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4"/>
      <c r="CQ193" s="52" t="str">
        <f t="shared" si="582"/>
        <v/>
      </c>
      <c r="CX193" s="133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3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3"/>
      <c r="FS193" s="127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4"/>
      <c r="IB193" s="11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3"/>
      <c r="I194" s="127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3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3"/>
      <c r="BE194" s="127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4"/>
      <c r="CQ194" s="52" t="str">
        <f t="shared" si="582"/>
        <v/>
      </c>
      <c r="CX194" s="133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3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3"/>
      <c r="FS194" s="127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4"/>
      <c r="IB194" s="11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3"/>
      <c r="I195" s="127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3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3"/>
      <c r="BE195" s="127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4"/>
      <c r="CQ195" s="52" t="str">
        <f t="shared" si="582"/>
        <v/>
      </c>
      <c r="CX195" s="133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3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3"/>
      <c r="FS195" s="127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4"/>
      <c r="IB195" s="11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3"/>
      <c r="I196" s="127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3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3"/>
      <c r="BE196" s="127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4"/>
      <c r="CQ196" s="52" t="str">
        <f t="shared" si="582"/>
        <v/>
      </c>
      <c r="CX196" s="133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3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3"/>
      <c r="FS196" s="127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4"/>
      <c r="IB196" s="11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3"/>
      <c r="I197" s="127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3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3"/>
      <c r="BE197" s="127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4"/>
      <c r="CQ197" s="52" t="str">
        <f t="shared" si="582"/>
        <v/>
      </c>
      <c r="CX197" s="133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3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3"/>
      <c r="FS197" s="127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4"/>
      <c r="IB197" s="11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3"/>
      <c r="I198" s="127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3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3"/>
      <c r="BE198" s="127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4"/>
      <c r="CQ198" s="52" t="str">
        <f t="shared" si="582"/>
        <v/>
      </c>
      <c r="CX198" s="133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3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3"/>
      <c r="FS198" s="127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4"/>
      <c r="IB198" s="11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3"/>
      <c r="I199" s="127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3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3"/>
      <c r="BE199" s="127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4"/>
      <c r="CQ199" s="52" t="str">
        <f t="shared" si="582"/>
        <v/>
      </c>
      <c r="CX199" s="133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3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3"/>
      <c r="FS199" s="127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4"/>
      <c r="IB199" s="11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3"/>
      <c r="I200" s="127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3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3"/>
      <c r="BE200" s="127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4"/>
      <c r="CQ200" s="52" t="str">
        <f t="shared" si="582"/>
        <v/>
      </c>
      <c r="CX200" s="133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3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3"/>
      <c r="FS200" s="127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4"/>
      <c r="IB200" s="11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4"/>
      <c r="I201" s="128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4"/>
      <c r="BE201" s="128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5"/>
      <c r="CQ201" s="53" t="str">
        <f t="shared" si="582"/>
        <v/>
      </c>
      <c r="CX201" s="13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4"/>
      <c r="FS201" s="128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5"/>
      <c r="IB201" s="11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1"/>
  <sheetViews>
    <sheetView showGridLines="0" topLeftCell="A2" workbookViewId="0">
      <selection activeCell="Q14" sqref="Q14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11"/>
      <c r="G3" s="111"/>
      <c r="H3" s="111"/>
      <c r="I3" s="111"/>
      <c r="J3" s="95"/>
      <c r="K3" s="95"/>
      <c r="L3" s="95"/>
      <c r="M3" s="95"/>
      <c r="N3" s="95"/>
    </row>
    <row r="4" spans="5:14" ht="24" x14ac:dyDescent="0.3">
      <c r="E4" s="96" t="s">
        <v>1</v>
      </c>
      <c r="F4" s="105" t="s">
        <v>342</v>
      </c>
      <c r="G4" s="105" t="s">
        <v>343</v>
      </c>
      <c r="H4" s="105" t="s">
        <v>344</v>
      </c>
      <c r="I4" s="106" t="s">
        <v>37</v>
      </c>
      <c r="J4" s="95" t="s">
        <v>345</v>
      </c>
      <c r="K4" s="95"/>
      <c r="L4" s="96" t="s">
        <v>1</v>
      </c>
      <c r="M4" s="105" t="s">
        <v>100</v>
      </c>
      <c r="N4" s="105" t="s">
        <v>346</v>
      </c>
    </row>
    <row r="5" spans="5:14" x14ac:dyDescent="0.3">
      <c r="E5" s="102" t="s">
        <v>27</v>
      </c>
      <c r="F5" s="103">
        <v>0.86709131022703034</v>
      </c>
      <c r="G5" s="103">
        <v>0.57182987539406638</v>
      </c>
      <c r="H5" s="103">
        <v>1.3148094785238458</v>
      </c>
      <c r="I5" s="104">
        <v>0.10822157861532689</v>
      </c>
      <c r="J5" s="95" t="s">
        <v>345</v>
      </c>
      <c r="K5" s="95"/>
      <c r="L5" s="102" t="s">
        <v>27</v>
      </c>
      <c r="M5" s="103">
        <v>-0.14261099029953303</v>
      </c>
      <c r="N5" s="103">
        <v>0.21223096455742627</v>
      </c>
    </row>
    <row r="6" spans="5:14" x14ac:dyDescent="0.3">
      <c r="E6" s="102" t="s">
        <v>28</v>
      </c>
      <c r="F6" s="103">
        <v>1.3310477235326386</v>
      </c>
      <c r="G6" s="103">
        <v>0.92686854989867828</v>
      </c>
      <c r="H6" s="103">
        <v>1.9114771372004082</v>
      </c>
      <c r="I6" s="104">
        <v>0.13927574809730275</v>
      </c>
      <c r="J6" s="95" t="s">
        <v>345</v>
      </c>
      <c r="K6" s="95"/>
      <c r="L6" s="102" t="s">
        <v>28</v>
      </c>
      <c r="M6" s="103">
        <v>0.28596639416660785</v>
      </c>
      <c r="N6" s="103">
        <v>0.18463112904062717</v>
      </c>
    </row>
    <row r="7" spans="5:14" x14ac:dyDescent="0.3">
      <c r="E7" s="102" t="s">
        <v>28</v>
      </c>
      <c r="F7" s="103">
        <v>1.2301352614609764</v>
      </c>
      <c r="G7" s="103">
        <v>0.85356529687486082</v>
      </c>
      <c r="H7" s="103">
        <v>1.7728377278575282</v>
      </c>
      <c r="I7" s="104">
        <v>0.13687794464992548</v>
      </c>
      <c r="J7" s="95" t="s">
        <v>345</v>
      </c>
      <c r="K7" s="95"/>
      <c r="L7" s="102" t="s">
        <v>28</v>
      </c>
      <c r="M7" s="103">
        <v>0.20712413200567595</v>
      </c>
      <c r="N7" s="103">
        <v>0.18643319615454887</v>
      </c>
    </row>
    <row r="8" spans="5:14" x14ac:dyDescent="0.3">
      <c r="E8" s="102" t="s">
        <v>29</v>
      </c>
      <c r="F8" s="103">
        <v>1.1494297672299039</v>
      </c>
      <c r="G8" s="103">
        <v>0.81374574051227822</v>
      </c>
      <c r="H8" s="103">
        <v>1.6235891925682604</v>
      </c>
      <c r="I8" s="104">
        <v>0.15134490999694505</v>
      </c>
      <c r="J8" s="95" t="s">
        <v>345</v>
      </c>
      <c r="K8" s="95"/>
      <c r="L8" s="102" t="s">
        <v>29</v>
      </c>
      <c r="M8" s="103">
        <v>0.13926596481592882</v>
      </c>
      <c r="N8" s="103">
        <v>0.17619483771616601</v>
      </c>
    </row>
    <row r="9" spans="5:14" x14ac:dyDescent="0.3">
      <c r="E9" s="102" t="s">
        <v>26</v>
      </c>
      <c r="F9" s="103">
        <v>0.79025443657898586</v>
      </c>
      <c r="G9" s="103">
        <v>0.56375059592183063</v>
      </c>
      <c r="H9" s="103">
        <v>1.1077630410511592</v>
      </c>
      <c r="I9" s="104">
        <v>0.15741973128535233</v>
      </c>
      <c r="J9" s="95" t="s">
        <v>345</v>
      </c>
      <c r="K9" s="95"/>
      <c r="L9" s="102" t="s">
        <v>26</v>
      </c>
      <c r="M9" s="103">
        <v>-0.23540031375603082</v>
      </c>
      <c r="N9" s="103">
        <v>0.17230510855134057</v>
      </c>
    </row>
    <row r="10" spans="5:14" x14ac:dyDescent="0.3">
      <c r="E10" s="102" t="s">
        <v>30</v>
      </c>
      <c r="F10" s="103">
        <v>1.0489625013278567</v>
      </c>
      <c r="G10" s="103">
        <v>0.73920153417594681</v>
      </c>
      <c r="H10" s="103">
        <v>1.4885282001188218</v>
      </c>
      <c r="I10" s="104">
        <v>0.14783161286514779</v>
      </c>
      <c r="J10" s="95" t="s">
        <v>345</v>
      </c>
      <c r="K10" s="95"/>
      <c r="L10" s="102" t="s">
        <v>30</v>
      </c>
      <c r="M10" s="103">
        <v>4.7801581709305027E-2</v>
      </c>
      <c r="N10" s="103">
        <v>0.17854816035701551</v>
      </c>
    </row>
    <row r="11" spans="5:14" x14ac:dyDescent="0.3">
      <c r="E11" s="110" t="s">
        <v>31</v>
      </c>
      <c r="F11" s="103">
        <v>0.91448434886983176</v>
      </c>
      <c r="G11" s="103">
        <v>0.65364230521356326</v>
      </c>
      <c r="H11" s="103">
        <v>1.2794178370303673</v>
      </c>
      <c r="I11" s="112">
        <v>0.15902847448999977</v>
      </c>
      <c r="L11" s="110" t="s">
        <v>31</v>
      </c>
      <c r="M11" s="103">
        <v>-8.9394925710100992E-2</v>
      </c>
      <c r="N11" s="103">
        <v>0.17131086018515415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2023-07-05T13:08:51Z</dcterms:modified>
  <cp:category/>
  <cp:contentStatus/>
</cp:coreProperties>
</file>