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datasettype\"/>
    </mc:Choice>
  </mc:AlternateContent>
  <bookViews>
    <workbookView xWindow="-110" yWindow="-110" windowWidth="19420" windowHeight="10300" tabRatio="81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J8" i="1" l="1"/>
  <c r="J9" i="1"/>
  <c r="J5" i="1" l="1"/>
  <c r="B4" i="8"/>
  <c r="J2" i="1"/>
  <c r="A2" i="1" s="1"/>
  <c r="J3" i="1"/>
  <c r="A3" i="1" s="1"/>
  <c r="J4" i="1"/>
  <c r="J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A4" i="1" l="1"/>
  <c r="A5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A167" i="2" s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A47" i="2" s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A39" i="2" s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A127" i="2" s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AL143" i="2" s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AY79" i="2" s="1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A197" i="2" s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L181" i="2" s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IV69" i="2" s="1"/>
  <c r="IW69" i="2" s="1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X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2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AM12" i="2"/>
  <c r="BE12" i="8" s="1"/>
  <c r="BJ56" i="2"/>
  <c r="DA12" i="2"/>
  <c r="E12" i="2"/>
  <c r="CQ12" i="2" s="1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51" i="2"/>
  <c r="E7" i="2"/>
  <c r="D7" i="2"/>
  <c r="C7" i="2"/>
  <c r="AT9" i="8"/>
  <c r="BE11" i="8"/>
  <c r="D12" i="10"/>
  <c r="CZ11" i="2"/>
  <c r="V10" i="8"/>
  <c r="IY186" i="2"/>
  <c r="BY88" i="2"/>
  <c r="BY48" i="2"/>
  <c r="D6" i="2"/>
  <c r="AW107" i="2"/>
  <c r="AX180" i="2"/>
  <c r="AX155" i="2"/>
  <c r="AW100" i="2"/>
  <c r="AX123" i="2"/>
  <c r="A48" i="2"/>
  <c r="AX131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BJ127" i="2"/>
  <c r="AY179" i="2"/>
  <c r="BJ79" i="2"/>
  <c r="AX163" i="2"/>
  <c r="AW51" i="2"/>
  <c r="AX59" i="2"/>
  <c r="C6" i="2"/>
  <c r="AX42" i="2"/>
  <c r="AW75" i="2"/>
  <c r="E6" i="2"/>
  <c r="D10" i="10"/>
  <c r="AT10" i="8"/>
  <c r="D9" i="8"/>
  <c r="D10" i="8"/>
  <c r="AG10" i="8"/>
  <c r="CZ10" i="2"/>
  <c r="BE9" i="8"/>
  <c r="V9" i="8"/>
  <c r="D9" i="10"/>
  <c r="AG9" i="8"/>
  <c r="IY151" i="2"/>
  <c r="IV135" i="2"/>
  <c r="IW135" i="2" s="1"/>
  <c r="AX60" i="2"/>
  <c r="AY149" i="2"/>
  <c r="AW76" i="2"/>
  <c r="AY51" i="2"/>
  <c r="AW42" i="2"/>
  <c r="AW67" i="2"/>
  <c r="AX179" i="2"/>
  <c r="AX67" i="2"/>
  <c r="AW148" i="2"/>
  <c r="AY52" i="2"/>
  <c r="AY132" i="2"/>
  <c r="AW83" i="2"/>
  <c r="AX83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71" i="2"/>
  <c r="AX148" i="2"/>
  <c r="AW123" i="2"/>
  <c r="AW147" i="2"/>
  <c r="DR111" i="2"/>
  <c r="AX52" i="2"/>
  <c r="AX75" i="2"/>
  <c r="AY187" i="2"/>
  <c r="BJ170" i="2"/>
  <c r="BI178" i="2"/>
  <c r="BJ58" i="2"/>
  <c r="E5" i="2"/>
  <c r="D5" i="2"/>
  <c r="DA5" i="2"/>
  <c r="C5" i="2"/>
  <c r="CK143" i="2"/>
  <c r="AX167" i="2"/>
  <c r="BI45" i="2"/>
  <c r="AX151" i="2"/>
  <c r="BJ77" i="2"/>
  <c r="BY199" i="2"/>
  <c r="AX114" i="2"/>
  <c r="A80" i="2"/>
  <c r="BJ53" i="2"/>
  <c r="IY42" i="2"/>
  <c r="IV114" i="2"/>
  <c r="IW114" i="2" s="1"/>
  <c r="AY39" i="2"/>
  <c r="IY66" i="2"/>
  <c r="IY162" i="2"/>
  <c r="A88" i="2"/>
  <c r="AM4" i="2"/>
  <c r="V4" i="8" s="1"/>
  <c r="BY53" i="2"/>
  <c r="AW156" i="2"/>
  <c r="IY178" i="2"/>
  <c r="IY122" i="2"/>
  <c r="AX156" i="2"/>
  <c r="BJ196" i="2"/>
  <c r="BJ69" i="2"/>
  <c r="BY85" i="2"/>
  <c r="BX69" i="2"/>
  <c r="AL34" i="2"/>
  <c r="DR48" i="2"/>
  <c r="IV146" i="2"/>
  <c r="IW146" i="2" s="1"/>
  <c r="IV98" i="2"/>
  <c r="IW98" i="2" s="1"/>
  <c r="AL104" i="2"/>
  <c r="BJ117" i="2"/>
  <c r="BX174" i="2"/>
  <c r="AW109" i="2"/>
  <c r="A56" i="2"/>
  <c r="IV74" i="2"/>
  <c r="IW74" i="2" s="1"/>
  <c r="IV59" i="2"/>
  <c r="IW59" i="2" s="1"/>
  <c r="IV170" i="2"/>
  <c r="IW170" i="2" s="1"/>
  <c r="E4" i="10"/>
  <c r="FB4" i="2" s="1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85" i="2"/>
  <c r="BX93" i="2"/>
  <c r="IY52" i="2"/>
  <c r="AY50" i="2"/>
  <c r="AW50" i="2"/>
  <c r="IV91" i="2"/>
  <c r="IW91" i="2" s="1"/>
  <c r="IY92" i="2"/>
  <c r="AL130" i="2"/>
  <c r="IV60" i="2"/>
  <c r="IW60" i="2" s="1"/>
  <c r="A58" i="2"/>
  <c r="BX130" i="2"/>
  <c r="IY187" i="2"/>
  <c r="AX178" i="2"/>
  <c r="AW34" i="2"/>
  <c r="AW114" i="2"/>
  <c r="AW151" i="2"/>
  <c r="AY119" i="2"/>
  <c r="BI36" i="2"/>
  <c r="IY163" i="2"/>
  <c r="IY124" i="2"/>
  <c r="AY178" i="2"/>
  <c r="AL74" i="2"/>
  <c r="CJ35" i="2"/>
  <c r="IV148" i="2"/>
  <c r="IW148" i="2" s="1"/>
  <c r="IV108" i="2"/>
  <c r="IW108" i="2" s="1"/>
  <c r="AY186" i="2"/>
  <c r="AL186" i="2"/>
  <c r="A42" i="2"/>
  <c r="AL178" i="2"/>
  <c r="BY138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CK51" i="2"/>
  <c r="IV107" i="2"/>
  <c r="IW107" i="2" s="1"/>
  <c r="IV123" i="2"/>
  <c r="IW123" i="2" s="1"/>
  <c r="IV164" i="2"/>
  <c r="IW164" i="2" s="1"/>
  <c r="IV140" i="2"/>
  <c r="IW140" i="2" s="1"/>
  <c r="A66" i="2"/>
  <c r="AL154" i="2"/>
  <c r="BY127" i="2"/>
  <c r="A50" i="2"/>
  <c r="IV171" i="2"/>
  <c r="IW171" i="2" s="1"/>
  <c r="IV147" i="2"/>
  <c r="IW147" i="2" s="1"/>
  <c r="IV76" i="2"/>
  <c r="IW76" i="2" s="1"/>
  <c r="IV75" i="2"/>
  <c r="IW75" i="2" s="1"/>
  <c r="BJ66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BY184" i="2"/>
  <c r="A82" i="2"/>
  <c r="BY200" i="2"/>
  <c r="BY112" i="2"/>
  <c r="BI34" i="2"/>
  <c r="E4" i="2"/>
  <c r="D4" i="2"/>
  <c r="C4" i="2"/>
  <c r="AI4" i="8" s="1"/>
  <c r="BY125" i="2"/>
  <c r="BY178" i="2"/>
  <c r="BY42" i="2"/>
  <c r="CJ55" i="2"/>
  <c r="AX34" i="2"/>
  <c r="BY146" i="2"/>
  <c r="BX101" i="2"/>
  <c r="BY77" i="2"/>
  <c r="BY50" i="2"/>
  <c r="BY37" i="2"/>
  <c r="BX194" i="2"/>
  <c r="BY172" i="2"/>
  <c r="BY116" i="2"/>
  <c r="CJ135" i="2"/>
  <c r="BY170" i="2"/>
  <c r="BI64" i="2"/>
  <c r="BY175" i="2"/>
  <c r="BY151" i="2"/>
  <c r="BY71" i="2"/>
  <c r="BY47" i="2"/>
  <c r="A200" i="2"/>
  <c r="BJ104" i="2"/>
  <c r="AY47" i="2"/>
  <c r="BY103" i="2"/>
  <c r="BY79" i="2"/>
  <c r="BI112" i="2"/>
  <c r="IY36" i="2"/>
  <c r="BY159" i="2"/>
  <c r="BY31" i="2"/>
  <c r="CJ58" i="2"/>
  <c r="AY90" i="2"/>
  <c r="BY111" i="2"/>
  <c r="BY87" i="2"/>
  <c r="BY143" i="2"/>
  <c r="BY39" i="2"/>
  <c r="IY34" i="2"/>
  <c r="IV30" i="2"/>
  <c r="IW30" i="2" s="1"/>
  <c r="BX163" i="2"/>
  <c r="BY131" i="2"/>
  <c r="BX131" i="2"/>
  <c r="IY61" i="2"/>
  <c r="IV61" i="2"/>
  <c r="IW61" i="2" s="1"/>
  <c r="IY69" i="2"/>
  <c r="AY55" i="2"/>
  <c r="AX55" i="2"/>
  <c r="AX63" i="2"/>
  <c r="AW103" i="2"/>
  <c r="AW79" i="2"/>
  <c r="AW58" i="2"/>
  <c r="AY58" i="2"/>
  <c r="AY154" i="2"/>
  <c r="AW154" i="2"/>
  <c r="AY195" i="2"/>
  <c r="AX195" i="2"/>
  <c r="AL67" i="2"/>
  <c r="A67" i="2"/>
  <c r="AW195" i="2"/>
  <c r="CK123" i="2"/>
  <c r="CJ123" i="2"/>
  <c r="CJ107" i="2"/>
  <c r="CK107" i="2"/>
  <c r="CJ83" i="2"/>
  <c r="CK83" i="2"/>
  <c r="IY55" i="2"/>
  <c r="BX58" i="2"/>
  <c r="E3" i="2"/>
  <c r="BJ138" i="2"/>
  <c r="BY186" i="2"/>
  <c r="BY122" i="2"/>
  <c r="D3" i="2"/>
  <c r="BJ82" i="2"/>
  <c r="C3" i="2"/>
  <c r="BY34" i="2"/>
  <c r="CK82" i="2"/>
  <c r="D13" i="8"/>
  <c r="BE13" i="8"/>
  <c r="CZ7" i="2"/>
  <c r="AT13" i="8"/>
  <c r="D13" i="10"/>
  <c r="AG13" i="8"/>
  <c r="D7" i="8"/>
  <c r="V13" i="8"/>
  <c r="AX108" i="2"/>
  <c r="AX84" i="2"/>
  <c r="A69" i="2"/>
  <c r="AW60" i="2"/>
  <c r="AW124" i="2"/>
  <c r="AY44" i="2"/>
  <c r="AY92" i="2"/>
  <c r="DR180" i="2"/>
  <c r="AY172" i="2"/>
  <c r="AX162" i="2"/>
  <c r="AW82" i="2"/>
  <c r="AW84" i="2"/>
  <c r="AW164" i="2"/>
  <c r="AW98" i="2"/>
  <c r="CJ119" i="2"/>
  <c r="AX44" i="2"/>
  <c r="AX36" i="2"/>
  <c r="IV191" i="2"/>
  <c r="IW191" i="2" s="1"/>
  <c r="A157" i="2"/>
  <c r="DP180" i="2"/>
  <c r="AX98" i="2"/>
  <c r="CJ87" i="2"/>
  <c r="CJ63" i="2"/>
  <c r="AX43" i="2"/>
  <c r="AY116" i="2"/>
  <c r="AY164" i="2"/>
  <c r="AW92" i="2"/>
  <c r="AW116" i="2"/>
  <c r="AY82" i="2"/>
  <c r="AY43" i="2"/>
  <c r="AY36" i="2"/>
  <c r="AW108" i="2"/>
  <c r="AX124" i="2"/>
  <c r="AX76" i="2"/>
  <c r="AY162" i="2"/>
  <c r="AW172" i="2"/>
  <c r="CJ192" i="2"/>
  <c r="IY35" i="2"/>
  <c r="A63" i="2"/>
  <c r="AL95" i="2"/>
  <c r="IV39" i="2"/>
  <c r="IW39" i="2" s="1"/>
  <c r="IV51" i="2"/>
  <c r="IW51" i="2" s="1"/>
  <c r="A103" i="2"/>
  <c r="A143" i="2"/>
  <c r="AY35" i="2"/>
  <c r="AW35" i="2"/>
  <c r="BX187" i="2"/>
  <c r="BY179" i="2"/>
  <c r="BY171" i="2"/>
  <c r="BX171" i="2"/>
  <c r="BX155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BY35" i="2"/>
  <c r="BX35" i="2"/>
  <c r="BX195" i="2"/>
  <c r="CK45" i="2"/>
  <c r="CK162" i="2"/>
  <c r="AY30" i="2"/>
  <c r="AX30" i="2"/>
  <c r="B2" i="2"/>
  <c r="AM2" i="2"/>
  <c r="E2" i="10"/>
  <c r="DQ9" i="2"/>
  <c r="FP8" i="2"/>
  <c r="DQ6" i="2"/>
  <c r="DS6" i="2" s="1"/>
  <c r="BJ126" i="2"/>
  <c r="BJ118" i="2"/>
  <c r="BI118" i="2"/>
  <c r="AY122" i="2"/>
  <c r="AX194" i="2"/>
  <c r="AW194" i="2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E2" i="2"/>
  <c r="D2" i="2"/>
  <c r="C2" i="2"/>
  <c r="AW101" i="2" l="1"/>
  <c r="CJ197" i="2"/>
  <c r="IV79" i="2"/>
  <c r="IW79" i="2" s="1"/>
  <c r="CK151" i="2"/>
  <c r="DP48" i="2"/>
  <c r="CJ53" i="2"/>
  <c r="AW191" i="2"/>
  <c r="AX125" i="2"/>
  <c r="CK175" i="2"/>
  <c r="AW117" i="2"/>
  <c r="AY117" i="2"/>
  <c r="AX149" i="2"/>
  <c r="IV72" i="2"/>
  <c r="IW72" i="2" s="1"/>
  <c r="AX79" i="2"/>
  <c r="AY191" i="2"/>
  <c r="DP45" i="2"/>
  <c r="DR45" i="2"/>
  <c r="AW143" i="2"/>
  <c r="DR120" i="2"/>
  <c r="AY125" i="2"/>
  <c r="CK155" i="2"/>
  <c r="CK61" i="2"/>
  <c r="DP120" i="2"/>
  <c r="AX143" i="2"/>
  <c r="CK34" i="2"/>
  <c r="CK172" i="2"/>
  <c r="CJ184" i="2"/>
  <c r="IV87" i="2"/>
  <c r="IW87" i="2" s="1"/>
  <c r="CJ149" i="2"/>
  <c r="DP93" i="2"/>
  <c r="DP31" i="2"/>
  <c r="IV117" i="2"/>
  <c r="IW117" i="2" s="1"/>
  <c r="AY109" i="2"/>
  <c r="AY167" i="2"/>
  <c r="DS31" i="2"/>
  <c r="AX159" i="2"/>
  <c r="CK98" i="2"/>
  <c r="CK93" i="2"/>
  <c r="IY167" i="2"/>
  <c r="AL51" i="2"/>
  <c r="A83" i="2"/>
  <c r="IV127" i="2"/>
  <c r="IW127" i="2" s="1"/>
  <c r="AL91" i="2"/>
  <c r="CK194" i="2"/>
  <c r="A181" i="2"/>
  <c r="IV40" i="2"/>
  <c r="IW40" i="2" s="1"/>
  <c r="AX77" i="2"/>
  <c r="DR34" i="2"/>
  <c r="DP34" i="2"/>
  <c r="AL35" i="2"/>
  <c r="CJ56" i="2"/>
  <c r="CJ37" i="2"/>
  <c r="AW77" i="2"/>
  <c r="CK114" i="2"/>
  <c r="CJ100" i="2"/>
  <c r="A6" i="1"/>
  <c r="A7" i="1" s="1"/>
  <c r="AI5" i="8"/>
  <c r="BJ154" i="2"/>
  <c r="BI52" i="2"/>
  <c r="BY56" i="2"/>
  <c r="BX66" i="2"/>
  <c r="BI114" i="2"/>
  <c r="BJ109" i="2"/>
  <c r="BI39" i="2"/>
  <c r="BY119" i="2"/>
  <c r="BI37" i="2"/>
  <c r="AX135" i="2"/>
  <c r="BY140" i="2"/>
  <c r="BJ140" i="2"/>
  <c r="AX53" i="2"/>
  <c r="CJ69" i="2"/>
  <c r="DP138" i="2"/>
  <c r="IV53" i="2"/>
  <c r="IW53" i="2" s="1"/>
  <c r="DR82" i="2"/>
  <c r="DR138" i="2"/>
  <c r="CK66" i="2"/>
  <c r="DP82" i="2"/>
  <c r="AX199" i="2"/>
  <c r="AW31" i="2"/>
  <c r="AY111" i="2"/>
  <c r="CK108" i="2"/>
  <c r="IV165" i="2"/>
  <c r="IW165" i="2" s="1"/>
  <c r="DR141" i="2"/>
  <c r="AW111" i="2"/>
  <c r="AY199" i="2"/>
  <c r="IV71" i="2"/>
  <c r="IW71" i="2" s="1"/>
  <c r="IV133" i="2"/>
  <c r="IW133" i="2" s="1"/>
  <c r="AY69" i="2"/>
  <c r="CJ101" i="2"/>
  <c r="DR69" i="2"/>
  <c r="IV95" i="2"/>
  <c r="IW95" i="2" s="1"/>
  <c r="CJ48" i="2"/>
  <c r="IV159" i="2"/>
  <c r="IW159" i="2" s="1"/>
  <c r="AX71" i="2"/>
  <c r="CK157" i="2"/>
  <c r="AY71" i="2"/>
  <c r="CJ117" i="2"/>
  <c r="AX31" i="2"/>
  <c r="IY183" i="2"/>
  <c r="AW69" i="2"/>
  <c r="IY125" i="2"/>
  <c r="A179" i="2"/>
  <c r="CJ44" i="2"/>
  <c r="DR164" i="2"/>
  <c r="CJ200" i="2"/>
  <c r="CK171" i="2"/>
  <c r="A75" i="2"/>
  <c r="IV201" i="2"/>
  <c r="IW201" i="2" s="1"/>
  <c r="DR101" i="2"/>
  <c r="DR119" i="2"/>
  <c r="DP143" i="2"/>
  <c r="DP119" i="2"/>
  <c r="DR122" i="2"/>
  <c r="DP69" i="2"/>
  <c r="DP101" i="2"/>
  <c r="DP141" i="2"/>
  <c r="DR143" i="2"/>
  <c r="CQ15" i="2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ID2" i="2"/>
  <c r="AH2" i="8"/>
  <c r="CQ2" i="2"/>
  <c r="F2" i="2"/>
  <c r="FD12" i="2"/>
  <c r="FD5" i="2"/>
  <c r="DR13" i="2"/>
  <c r="DP13" i="2"/>
  <c r="DR4" i="2" l="1"/>
  <c r="DP4" i="2" s="1"/>
  <c r="A8" i="1"/>
  <c r="A9" i="1" s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BU3" i="2"/>
  <c r="BT3" i="2"/>
  <c r="BS3" i="2"/>
  <c r="BV3" i="2"/>
  <c r="BR3" i="2"/>
  <c r="Z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AF12" i="2" l="1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X13" i="2" l="1"/>
  <c r="A14" i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16" i="1" l="1"/>
  <c r="A17" i="1" s="1"/>
  <c r="DT24" i="2"/>
  <c r="DX24" i="2" s="1"/>
  <c r="DY24" i="2" s="1"/>
  <c r="DT142" i="2"/>
  <c r="AV13" i="8"/>
  <c r="IL13" i="2" s="1"/>
  <c r="DT49" i="2"/>
  <c r="DT21" i="2"/>
  <c r="EQ21" i="2" s="1"/>
  <c r="DT43" i="2"/>
  <c r="DU43" i="2" s="1"/>
  <c r="DT94" i="2"/>
  <c r="EM94" i="2" s="1"/>
  <c r="DT4" i="2"/>
  <c r="EB4" i="2" s="1"/>
  <c r="DT107" i="2"/>
  <c r="DT157" i="2"/>
  <c r="DT48" i="2"/>
  <c r="EV48" i="2" s="1"/>
  <c r="DT141" i="2"/>
  <c r="DW141" i="2" s="1"/>
  <c r="DT173" i="2"/>
  <c r="DT159" i="2"/>
  <c r="ES159" i="2" s="1"/>
  <c r="EU159" i="2" s="1"/>
  <c r="DT147" i="2"/>
  <c r="EL147" i="2" s="1"/>
  <c r="DT154" i="2"/>
  <c r="ED154" i="2" s="1"/>
  <c r="DT137" i="2"/>
  <c r="EA137" i="2" s="1"/>
  <c r="ET137" i="2" s="1"/>
  <c r="DT168" i="2"/>
  <c r="DT198" i="2"/>
  <c r="ER198" i="2" s="1"/>
  <c r="DT108" i="2"/>
  <c r="EI108" i="2" s="1"/>
  <c r="DT132" i="2"/>
  <c r="DT72" i="2"/>
  <c r="ED72" i="2" s="1"/>
  <c r="DT85" i="2"/>
  <c r="EB85" i="2" s="1"/>
  <c r="DT30" i="2"/>
  <c r="EH30" i="2" s="1"/>
  <c r="DT175" i="2"/>
  <c r="DT97" i="2"/>
  <c r="DT199" i="2"/>
  <c r="EG199" i="2" s="1"/>
  <c r="DT26" i="2"/>
  <c r="DT162" i="2"/>
  <c r="EV162" i="2" s="1"/>
  <c r="DT135" i="2"/>
  <c r="EO135" i="2" s="1"/>
  <c r="DT67" i="2"/>
  <c r="EB67" i="2" s="1"/>
  <c r="DT165" i="2"/>
  <c r="DT192" i="2"/>
  <c r="DT127" i="2"/>
  <c r="DT25" i="2"/>
  <c r="EC25" i="2" s="1"/>
  <c r="DT129" i="2"/>
  <c r="DT59" i="2"/>
  <c r="DT47" i="2"/>
  <c r="EQ47" i="2" s="1"/>
  <c r="DT184" i="2"/>
  <c r="EJ184" i="2" s="1"/>
  <c r="DT73" i="2"/>
  <c r="EV73" i="2" s="1"/>
  <c r="DT106" i="2"/>
  <c r="EV106" i="2" s="1"/>
  <c r="DT150" i="2"/>
  <c r="DT131" i="2"/>
  <c r="EP131" i="2" s="1"/>
  <c r="DT86" i="2"/>
  <c r="EQ86" i="2" s="1"/>
  <c r="DT75" i="2"/>
  <c r="DT155" i="2"/>
  <c r="DU155" i="2" s="1"/>
  <c r="DT158" i="2"/>
  <c r="EH158" i="2" s="1"/>
  <c r="DT197" i="2"/>
  <c r="EV197" i="2" s="1"/>
  <c r="DT80" i="2"/>
  <c r="EI80" i="2" s="1"/>
  <c r="DT124" i="2"/>
  <c r="DT23" i="2"/>
  <c r="EP23" i="2" s="1"/>
  <c r="DT22" i="2"/>
  <c r="DT93" i="2"/>
  <c r="ES93" i="2" s="1"/>
  <c r="EU93" i="2" s="1"/>
  <c r="DT62" i="2"/>
  <c r="EM62" i="2" s="1"/>
  <c r="DT50" i="2"/>
  <c r="ER50" i="2" s="1"/>
  <c r="DT174" i="2"/>
  <c r="DT183" i="2"/>
  <c r="DT152" i="2"/>
  <c r="DT74" i="2"/>
  <c r="EP74" i="2" s="1"/>
  <c r="DT88" i="2"/>
  <c r="DT45" i="2"/>
  <c r="DT53" i="2"/>
  <c r="DT91" i="2"/>
  <c r="DV91" i="2" s="1"/>
  <c r="DT29" i="2"/>
  <c r="DV29" i="2" s="1"/>
  <c r="DT35" i="2"/>
  <c r="DW35" i="2" s="1"/>
  <c r="DT136" i="2"/>
  <c r="DT78" i="2"/>
  <c r="EG78" i="2" s="1"/>
  <c r="DT95" i="2"/>
  <c r="EQ95" i="2" s="1"/>
  <c r="DT143" i="2"/>
  <c r="DT109" i="2"/>
  <c r="EB109" i="2" s="1"/>
  <c r="DT116" i="2"/>
  <c r="EB116" i="2" s="1"/>
  <c r="DT98" i="2"/>
  <c r="DZ98" i="2" s="1"/>
  <c r="DT194" i="2"/>
  <c r="DT105" i="2"/>
  <c r="EJ105" i="2" s="1"/>
  <c r="DT42" i="2"/>
  <c r="DT122" i="2"/>
  <c r="DT40" i="2"/>
  <c r="DX40" i="2" s="1"/>
  <c r="DY40" i="2" s="1"/>
  <c r="DT182" i="2"/>
  <c r="EG182" i="2" s="1"/>
  <c r="DT193" i="2"/>
  <c r="EN193" i="2" s="1"/>
  <c r="DT69" i="2"/>
  <c r="DW69" i="2" s="1"/>
  <c r="DT99" i="2"/>
  <c r="DW99" i="2" s="1"/>
  <c r="DT139" i="2"/>
  <c r="JH7" i="2"/>
  <c r="JI7" i="2" s="1"/>
  <c r="JJ7" i="2" s="1"/>
  <c r="BG7" i="8"/>
  <c r="IY7" i="2" s="1"/>
  <c r="AV7" i="8"/>
  <c r="IL7" i="2" s="1"/>
  <c r="DT58" i="2"/>
  <c r="DT201" i="2"/>
  <c r="DU201" i="2" s="1"/>
  <c r="DT171" i="2"/>
  <c r="DU171" i="2" s="1"/>
  <c r="DT103" i="2"/>
  <c r="DX103" i="2" s="1"/>
  <c r="DY103" i="2" s="1"/>
  <c r="DT181" i="2"/>
  <c r="DT191" i="2"/>
  <c r="ER191" i="2" s="1"/>
  <c r="DT130" i="2"/>
  <c r="EA130" i="2" s="1"/>
  <c r="ET130" i="2" s="1"/>
  <c r="DT145" i="2"/>
  <c r="DT66" i="2"/>
  <c r="EH66" i="2" s="1"/>
  <c r="DT87" i="2"/>
  <c r="DV87" i="2" s="1"/>
  <c r="DT55" i="2"/>
  <c r="EQ55" i="2" s="1"/>
  <c r="DT70" i="2"/>
  <c r="DT164" i="2"/>
  <c r="DW164" i="2" s="1"/>
  <c r="DT9" i="2"/>
  <c r="DT186" i="2"/>
  <c r="DT161" i="2"/>
  <c r="EJ161" i="2" s="1"/>
  <c r="DT60" i="2"/>
  <c r="EC60" i="2" s="1"/>
  <c r="DT79" i="2"/>
  <c r="EO79" i="2" s="1"/>
  <c r="DT189" i="2"/>
  <c r="DT44" i="2"/>
  <c r="ER44" i="2" s="1"/>
  <c r="DT125" i="2"/>
  <c r="DT71" i="2"/>
  <c r="EK71" i="2" s="1"/>
  <c r="DT28" i="2"/>
  <c r="DT121" i="2"/>
  <c r="DT111" i="2"/>
  <c r="DT64" i="2"/>
  <c r="EF64" i="2" s="1"/>
  <c r="DT179" i="2"/>
  <c r="EK179" i="2" s="1"/>
  <c r="DT82" i="2"/>
  <c r="DU82" i="2" s="1"/>
  <c r="DT100" i="2"/>
  <c r="DT18" i="2"/>
  <c r="EE18" i="2" s="1"/>
  <c r="DT166" i="2"/>
  <c r="DT68" i="2"/>
  <c r="DT123" i="2"/>
  <c r="EG123" i="2" s="1"/>
  <c r="DT190" i="2"/>
  <c r="EH190" i="2" s="1"/>
  <c r="DT117" i="2"/>
  <c r="DV117" i="2" s="1"/>
  <c r="DT167" i="2"/>
  <c r="EF167" i="2" s="1"/>
  <c r="DT20" i="2"/>
  <c r="DT84" i="2"/>
  <c r="ED84" i="2" s="1"/>
  <c r="DT77" i="2"/>
  <c r="DT89" i="2"/>
  <c r="DT163" i="2"/>
  <c r="DU163" i="2" s="1"/>
  <c r="DT112" i="2"/>
  <c r="EC112" i="2" s="1"/>
  <c r="DT76" i="2"/>
  <c r="EO76" i="2" s="1"/>
  <c r="DT38" i="2"/>
  <c r="EF38" i="2" s="1"/>
  <c r="DT180" i="2"/>
  <c r="DT115" i="2"/>
  <c r="EV115" i="2" s="1"/>
  <c r="DT39" i="2"/>
  <c r="DT34" i="2"/>
  <c r="DT149" i="2"/>
  <c r="DT90" i="2"/>
  <c r="EH90" i="2" s="1"/>
  <c r="DT83" i="2"/>
  <c r="EA83" i="2" s="1"/>
  <c r="ET83" i="2" s="1"/>
  <c r="DT15" i="2"/>
  <c r="EF15" i="2" s="1"/>
  <c r="DT144" i="2"/>
  <c r="DT81" i="2"/>
  <c r="EJ81" i="2" s="1"/>
  <c r="DT31" i="2"/>
  <c r="DW31" i="2" s="1"/>
  <c r="DT126" i="2"/>
  <c r="DT110" i="2"/>
  <c r="EF110" i="2" s="1"/>
  <c r="DT133" i="2"/>
  <c r="EC133" i="2" s="1"/>
  <c r="DT101" i="2"/>
  <c r="DV101" i="2" s="1"/>
  <c r="DT177" i="2"/>
  <c r="EO177" i="2" s="1"/>
  <c r="DT54" i="2"/>
  <c r="EG54" i="2" s="1"/>
  <c r="DT41" i="2"/>
  <c r="EO41" i="2" s="1"/>
  <c r="DT65" i="2"/>
  <c r="DT196" i="2"/>
  <c r="EB196" i="2" s="1"/>
  <c r="DT17" i="2"/>
  <c r="EV17" i="2" s="1"/>
  <c r="DT128" i="2"/>
  <c r="EA128" i="2" s="1"/>
  <c r="ET128" i="2" s="1"/>
  <c r="DT134" i="2"/>
  <c r="EP134" i="2" s="1"/>
  <c r="DT172" i="2"/>
  <c r="EV172" i="2" s="1"/>
  <c r="DT37" i="2"/>
  <c r="DT200" i="2"/>
  <c r="DU200" i="2" s="1"/>
  <c r="DT188" i="2"/>
  <c r="DT16" i="2"/>
  <c r="DT36" i="2"/>
  <c r="EN36" i="2" s="1"/>
  <c r="DT120" i="2"/>
  <c r="EA120" i="2" s="1"/>
  <c r="ET120" i="2" s="1"/>
  <c r="DT195" i="2"/>
  <c r="EE195" i="2" s="1"/>
  <c r="DT151" i="2"/>
  <c r="EL151" i="2" s="1"/>
  <c r="DT63" i="2"/>
  <c r="DT153" i="2"/>
  <c r="EO153" i="2" s="1"/>
  <c r="DT146" i="2"/>
  <c r="EC146" i="2" s="1"/>
  <c r="DT19" i="2"/>
  <c r="DT13" i="2"/>
  <c r="EE13" i="2" s="1"/>
  <c r="DT32" i="2"/>
  <c r="DV32" i="2" s="1"/>
  <c r="DT156" i="2"/>
  <c r="EL156" i="2" s="1"/>
  <c r="DT140" i="2"/>
  <c r="DU140" i="2" s="1"/>
  <c r="DT118" i="2"/>
  <c r="EG118" i="2" s="1"/>
  <c r="DT102" i="2"/>
  <c r="EA102" i="2" s="1"/>
  <c r="ET102" i="2" s="1"/>
  <c r="DT176" i="2"/>
  <c r="DT104" i="2"/>
  <c r="DW104" i="2" s="1"/>
  <c r="DT14" i="2"/>
  <c r="ER14" i="2" s="1"/>
  <c r="DT52" i="2"/>
  <c r="EH52" i="2" s="1"/>
  <c r="DT27" i="2"/>
  <c r="EF27" i="2" s="1"/>
  <c r="DT46" i="2"/>
  <c r="EH46" i="2" s="1"/>
  <c r="DT185" i="2"/>
  <c r="DT57" i="2"/>
  <c r="DX57" i="2" s="1"/>
  <c r="DY57" i="2" s="1"/>
  <c r="DT113" i="2"/>
  <c r="DT187" i="2"/>
  <c r="DT33" i="2"/>
  <c r="EF33" i="2" s="1"/>
  <c r="DT114" i="2"/>
  <c r="EJ114" i="2" s="1"/>
  <c r="DT170" i="2"/>
  <c r="EM170" i="2" s="1"/>
  <c r="DT56" i="2"/>
  <c r="DV56" i="2" s="1"/>
  <c r="DT169" i="2"/>
  <c r="DW169" i="2" s="1"/>
  <c r="DT51" i="2"/>
  <c r="EV51" i="2" s="1"/>
  <c r="DT138" i="2"/>
  <c r="DT61" i="2"/>
  <c r="EO61" i="2" s="1"/>
  <c r="DT160" i="2"/>
  <c r="EQ160" i="2" s="1"/>
  <c r="DT92" i="2"/>
  <c r="DT148" i="2"/>
  <c r="EI148" i="2" s="1"/>
  <c r="DT96" i="2"/>
  <c r="EM96" i="2" s="1"/>
  <c r="DT178" i="2"/>
  <c r="ED178" i="2" s="1"/>
  <c r="DT119" i="2"/>
  <c r="DW119" i="2" s="1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N198" i="2"/>
  <c r="EH26" i="2"/>
  <c r="DX94" i="2"/>
  <c r="DY94" i="2" s="1"/>
  <c r="EL94" i="2"/>
  <c r="EF94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EQ182" i="2"/>
  <c r="ED136" i="2"/>
  <c r="ED42" i="2"/>
  <c r="EB129" i="2"/>
  <c r="EV169" i="2"/>
  <c r="EV61" i="2"/>
  <c r="DV61" i="2"/>
  <c r="H173" i="9"/>
  <c r="EF22" i="2"/>
  <c r="EO127" i="2"/>
  <c r="ES127" i="2"/>
  <c r="EU127" i="2" s="1"/>
  <c r="EI127" i="2"/>
  <c r="EA127" i="2"/>
  <c r="ET127" i="2" s="1"/>
  <c r="EK127" i="2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ER141" i="2"/>
  <c r="DX141" i="2"/>
  <c r="DY141" i="2" s="1"/>
  <c r="DV141" i="2"/>
  <c r="EG141" i="2"/>
  <c r="EM141" i="2"/>
  <c r="EH141" i="2"/>
  <c r="EP141" i="2"/>
  <c r="EA141" i="2"/>
  <c r="ET141" i="2" s="1"/>
  <c r="EP150" i="2"/>
  <c r="EF150" i="2"/>
  <c r="DU150" i="2"/>
  <c r="EI150" i="2"/>
  <c r="EH150" i="2"/>
  <c r="ER150" i="2"/>
  <c r="DV150" i="2"/>
  <c r="EQ150" i="2"/>
  <c r="EJ150" i="2"/>
  <c r="EC150" i="2"/>
  <c r="EM150" i="2"/>
  <c r="EN150" i="2"/>
  <c r="EB150" i="2"/>
  <c r="EO150" i="2"/>
  <c r="EO131" i="2"/>
  <c r="DX131" i="2"/>
  <c r="DY131" i="2" s="1"/>
  <c r="ED131" i="2"/>
  <c r="EJ160" i="2"/>
  <c r="DW122" i="2"/>
  <c r="EE122" i="2"/>
  <c r="DX122" i="2"/>
  <c r="DY122" i="2" s="1"/>
  <c r="ER147" i="2"/>
  <c r="ES147" i="2"/>
  <c r="EU147" i="2" s="1"/>
  <c r="EJ147" i="2"/>
  <c r="EQ147" i="2"/>
  <c r="EE147" i="2"/>
  <c r="EC186" i="2"/>
  <c r="EK186" i="2"/>
  <c r="EG186" i="2"/>
  <c r="DV186" i="2"/>
  <c r="EN186" i="2"/>
  <c r="DU60" i="2"/>
  <c r="DX60" i="2"/>
  <c r="DY60" i="2" s="1"/>
  <c r="DW60" i="2"/>
  <c r="ES60" i="2"/>
  <c r="EU60" i="2" s="1"/>
  <c r="EN79" i="2"/>
  <c r="EP79" i="2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J28" i="2"/>
  <c r="EQ28" i="2"/>
  <c r="ER28" i="2"/>
  <c r="EH28" i="2"/>
  <c r="DX28" i="2"/>
  <c r="DY28" i="2" s="1"/>
  <c r="ED28" i="2"/>
  <c r="EG28" i="2"/>
  <c r="DU28" i="2"/>
  <c r="EC28" i="2"/>
  <c r="EM28" i="2"/>
  <c r="EO28" i="2"/>
  <c r="EI28" i="2"/>
  <c r="EV28" i="2"/>
  <c r="ES28" i="2"/>
  <c r="EU28" i="2" s="1"/>
  <c r="EB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DU64" i="2"/>
  <c r="EE64" i="2"/>
  <c r="ER64" i="2"/>
  <c r="DW64" i="2"/>
  <c r="EI64" i="2"/>
  <c r="EV64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A24" i="2"/>
  <c r="ET24" i="2" s="1"/>
  <c r="EG24" i="2"/>
  <c r="ER24" i="2"/>
  <c r="EI24" i="2"/>
  <c r="EE199" i="2"/>
  <c r="EV199" i="2"/>
  <c r="ES199" i="2"/>
  <c r="EU199" i="2" s="1"/>
  <c r="EM199" i="2"/>
  <c r="EL199" i="2"/>
  <c r="EH199" i="2"/>
  <c r="DX199" i="2"/>
  <c r="DY199" i="2" s="1"/>
  <c r="DZ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L67" i="2"/>
  <c r="EC67" i="2"/>
  <c r="EV67" i="2"/>
  <c r="DZ67" i="2"/>
  <c r="DX67" i="2"/>
  <c r="DY67" i="2" s="1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DX88" i="2"/>
  <c r="DY88" i="2" s="1"/>
  <c r="EV88" i="2"/>
  <c r="EE88" i="2"/>
  <c r="ES88" i="2"/>
  <c r="EU88" i="2" s="1"/>
  <c r="EN88" i="2"/>
  <c r="DU88" i="2"/>
  <c r="EA88" i="2"/>
  <c r="ET88" i="2" s="1"/>
  <c r="EO88" i="2"/>
  <c r="EG88" i="2"/>
  <c r="EB88" i="2"/>
  <c r="EL88" i="2"/>
  <c r="EJ88" i="2"/>
  <c r="DW88" i="2"/>
  <c r="DV88" i="2"/>
  <c r="EP88" i="2"/>
  <c r="EL201" i="2"/>
  <c r="EN201" i="2"/>
  <c r="EH201" i="2"/>
  <c r="EQ201" i="2"/>
  <c r="EP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R91" i="2"/>
  <c r="EO91" i="2"/>
  <c r="ED91" i="2"/>
  <c r="EV91" i="2"/>
  <c r="EG91" i="2"/>
  <c r="EA91" i="2"/>
  <c r="ET91" i="2" s="1"/>
  <c r="EF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P123" i="2"/>
  <c r="DW123" i="2"/>
  <c r="DZ123" i="2"/>
  <c r="DU123" i="2"/>
  <c r="EE123" i="2"/>
  <c r="EC77" i="2"/>
  <c r="DW77" i="2"/>
  <c r="EV77" i="2"/>
  <c r="EE77" i="2"/>
  <c r="ER77" i="2"/>
  <c r="DX77" i="2"/>
  <c r="DY77" i="2" s="1"/>
  <c r="DU77" i="2"/>
  <c r="DV77" i="2"/>
  <c r="EG77" i="2"/>
  <c r="EH77" i="2"/>
  <c r="EB77" i="2"/>
  <c r="EA77" i="2"/>
  <c r="ET77" i="2" s="1"/>
  <c r="ES77" i="2"/>
  <c r="EU77" i="2" s="1"/>
  <c r="EK77" i="2"/>
  <c r="EL77" i="2"/>
  <c r="EP77" i="2"/>
  <c r="EJ163" i="2"/>
  <c r="DX163" i="2"/>
  <c r="DY163" i="2" s="1"/>
  <c r="ED163" i="2"/>
  <c r="EF163" i="2"/>
  <c r="EL163" i="2"/>
  <c r="EF112" i="2"/>
  <c r="EB112" i="2"/>
  <c r="EH112" i="2"/>
  <c r="EQ112" i="2"/>
  <c r="ER112" i="2"/>
  <c r="EP112" i="2"/>
  <c r="ES38" i="2"/>
  <c r="EU38" i="2" s="1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DX39" i="2"/>
  <c r="DY39" i="2" s="1"/>
  <c r="EF39" i="2"/>
  <c r="EC39" i="2"/>
  <c r="EH39" i="2"/>
  <c r="EV39" i="2"/>
  <c r="ED39" i="2"/>
  <c r="EK39" i="2"/>
  <c r="DV39" i="2"/>
  <c r="DW39" i="2"/>
  <c r="ER39" i="2"/>
  <c r="EB39" i="2"/>
  <c r="ES39" i="2"/>
  <c r="EU39" i="2" s="1"/>
  <c r="EI39" i="2"/>
  <c r="EQ39" i="2"/>
  <c r="EN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DU90" i="2"/>
  <c r="EQ90" i="2"/>
  <c r="EJ90" i="2"/>
  <c r="EK90" i="2"/>
  <c r="EB90" i="2"/>
  <c r="EL90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Q191" i="2"/>
  <c r="EB191" i="2"/>
  <c r="EF191" i="2"/>
  <c r="EJ191" i="2"/>
  <c r="DW191" i="2"/>
  <c r="DX191" i="2"/>
  <c r="DY191" i="2" s="1"/>
  <c r="EC191" i="2"/>
  <c r="EO191" i="2"/>
  <c r="EL109" i="2"/>
  <c r="EG109" i="2"/>
  <c r="EH109" i="2"/>
  <c r="EM109" i="2"/>
  <c r="EC109" i="2"/>
  <c r="DZ109" i="2"/>
  <c r="EC43" i="2"/>
  <c r="EE43" i="2"/>
  <c r="ED43" i="2"/>
  <c r="EQ43" i="2"/>
  <c r="EO43" i="2"/>
  <c r="EA135" i="2"/>
  <c r="ET135" i="2" s="1"/>
  <c r="EI135" i="2"/>
  <c r="DW135" i="2"/>
  <c r="EE135" i="2"/>
  <c r="DZ135" i="2"/>
  <c r="EN135" i="2"/>
  <c r="ES72" i="2"/>
  <c r="EU72" i="2" s="1"/>
  <c r="DW72" i="2"/>
  <c r="EF72" i="2"/>
  <c r="EL72" i="2"/>
  <c r="EK72" i="2"/>
  <c r="EG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DZ194" i="2"/>
  <c r="EB194" i="2"/>
  <c r="EQ66" i="2"/>
  <c r="EC66" i="2"/>
  <c r="EJ66" i="2"/>
  <c r="DX66" i="2"/>
  <c r="DY66" i="2" s="1"/>
  <c r="ER66" i="2"/>
  <c r="EP66" i="2"/>
  <c r="EA65" i="2"/>
  <c r="ET65" i="2" s="1"/>
  <c r="EC65" i="2"/>
  <c r="EF65" i="2"/>
  <c r="EV65" i="2"/>
  <c r="EG65" i="2"/>
  <c r="DU65" i="2"/>
  <c r="EN65" i="2"/>
  <c r="EE65" i="2"/>
  <c r="DX65" i="2"/>
  <c r="DY65" i="2" s="1"/>
  <c r="DW65" i="2"/>
  <c r="ER65" i="2"/>
  <c r="EK65" i="2"/>
  <c r="ED65" i="2"/>
  <c r="EQ65" i="2"/>
  <c r="EP65" i="2"/>
  <c r="DZ65" i="2"/>
  <c r="EQ110" i="2"/>
  <c r="EN110" i="2"/>
  <c r="EC110" i="2"/>
  <c r="EA110" i="2"/>
  <c r="ET110" i="2" s="1"/>
  <c r="EP110" i="2"/>
  <c r="EP177" i="2"/>
  <c r="EB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DU80" i="2"/>
  <c r="DU23" i="2"/>
  <c r="EK23" i="2"/>
  <c r="DW23" i="2"/>
  <c r="DZ23" i="2"/>
  <c r="EE23" i="2"/>
  <c r="EF23" i="2"/>
  <c r="EI23" i="2"/>
  <c r="EL50" i="2"/>
  <c r="EQ50" i="2"/>
  <c r="DV50" i="2"/>
  <c r="ES50" i="2"/>
  <c r="EU50" i="2" s="1"/>
  <c r="ED50" i="2"/>
  <c r="EJ50" i="2"/>
  <c r="ER188" i="2"/>
  <c r="EN188" i="2"/>
  <c r="DV188" i="2"/>
  <c r="EQ188" i="2"/>
  <c r="EF188" i="2"/>
  <c r="EC188" i="2"/>
  <c r="EL188" i="2"/>
  <c r="DU188" i="2"/>
  <c r="EB188" i="2"/>
  <c r="EI188" i="2"/>
  <c r="EJ188" i="2"/>
  <c r="EO188" i="2"/>
  <c r="EK188" i="2"/>
  <c r="EG188" i="2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J120" i="2"/>
  <c r="ER120" i="2"/>
  <c r="EO120" i="2"/>
  <c r="EV120" i="2"/>
  <c r="DU120" i="2"/>
  <c r="EE120" i="2"/>
  <c r="EH120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E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M13" i="2"/>
  <c r="EB13" i="2"/>
  <c r="EH13" i="2"/>
  <c r="EL13" i="2"/>
  <c r="EJ13" i="2"/>
  <c r="EI13" i="2"/>
  <c r="EN13" i="2"/>
  <c r="ER13" i="2"/>
  <c r="DV13" i="2"/>
  <c r="EK17" i="2"/>
  <c r="EG17" i="2"/>
  <c r="EN17" i="2"/>
  <c r="EC17" i="2"/>
  <c r="EM17" i="2"/>
  <c r="ED17" i="2"/>
  <c r="EO17" i="2"/>
  <c r="EF17" i="2"/>
  <c r="EJ17" i="2"/>
  <c r="DZ17" i="2"/>
  <c r="EJ128" i="2"/>
  <c r="EQ128" i="2"/>
  <c r="ES128" i="2"/>
  <c r="EU128" i="2" s="1"/>
  <c r="EL128" i="2"/>
  <c r="EC128" i="2"/>
  <c r="EI128" i="2"/>
  <c r="ER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K107" i="2"/>
  <c r="EJ107" i="2"/>
  <c r="EO107" i="2"/>
  <c r="EP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DV192" i="2"/>
  <c r="EL192" i="2"/>
  <c r="DX192" i="2"/>
  <c r="DY192" i="2" s="1"/>
  <c r="EJ192" i="2"/>
  <c r="EA14" i="2"/>
  <c r="ET14" i="2" s="1"/>
  <c r="EC14" i="2"/>
  <c r="EI14" i="2"/>
  <c r="EK14" i="2"/>
  <c r="DU14" i="2"/>
  <c r="EN14" i="2"/>
  <c r="ED14" i="2"/>
  <c r="EJ14" i="2"/>
  <c r="EM14" i="2"/>
  <c r="ES14" i="2"/>
  <c r="EU14" i="2" s="1"/>
  <c r="EV52" i="2"/>
  <c r="EP52" i="2"/>
  <c r="DX52" i="2"/>
  <c r="DY52" i="2" s="1"/>
  <c r="EI52" i="2"/>
  <c r="EA52" i="2"/>
  <c r="ET52" i="2" s="1"/>
  <c r="DZ52" i="2"/>
  <c r="DZ46" i="2"/>
  <c r="DX46" i="2"/>
  <c r="DY46" i="2" s="1"/>
  <c r="ES46" i="2"/>
  <c r="EU46" i="2" s="1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A114" i="2"/>
  <c r="ET114" i="2" s="1"/>
  <c r="EQ114" i="2"/>
  <c r="EN114" i="2"/>
  <c r="ER114" i="2"/>
  <c r="EG114" i="2"/>
  <c r="EF114" i="2"/>
  <c r="DZ114" i="2"/>
  <c r="EG140" i="2"/>
  <c r="EK140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D41" i="2" l="1"/>
  <c r="EH153" i="2"/>
  <c r="EG84" i="2"/>
  <c r="EM102" i="2"/>
  <c r="EI81" i="2"/>
  <c r="DV119" i="2"/>
  <c r="EQ18" i="2"/>
  <c r="EV102" i="2"/>
  <c r="ER102" i="2"/>
  <c r="DX153" i="2"/>
  <c r="DY153" i="2" s="1"/>
  <c r="EN41" i="2"/>
  <c r="EF81" i="2"/>
  <c r="ES84" i="2"/>
  <c r="EU84" i="2" s="1"/>
  <c r="EE119" i="2"/>
  <c r="DX102" i="2"/>
  <c r="DY102" i="2" s="1"/>
  <c r="EO102" i="2"/>
  <c r="ER153" i="2"/>
  <c r="EC41" i="2"/>
  <c r="EQ81" i="2"/>
  <c r="DX84" i="2"/>
  <c r="DY84" i="2" s="1"/>
  <c r="EK119" i="2"/>
  <c r="EE102" i="2"/>
  <c r="EG52" i="2"/>
  <c r="DU41" i="2"/>
  <c r="EK81" i="2"/>
  <c r="EV90" i="2"/>
  <c r="ED112" i="2"/>
  <c r="EA84" i="2"/>
  <c r="ET84" i="2" s="1"/>
  <c r="DX91" i="2"/>
  <c r="DY91" i="2" s="1"/>
  <c r="EC201" i="2"/>
  <c r="DZ201" i="2"/>
  <c r="DW67" i="2"/>
  <c r="EM119" i="2"/>
  <c r="EA64" i="2"/>
  <c r="ET64" i="2" s="1"/>
  <c r="EE79" i="2"/>
  <c r="EO147" i="2"/>
  <c r="EG184" i="2"/>
  <c r="DX193" i="2"/>
  <c r="DY193" i="2" s="1"/>
  <c r="ES94" i="2"/>
  <c r="EU94" i="2" s="1"/>
  <c r="EL102" i="2"/>
  <c r="EE114" i="2"/>
  <c r="ER128" i="2"/>
  <c r="EL153" i="2"/>
  <c r="EM153" i="2"/>
  <c r="EN120" i="2"/>
  <c r="EF50" i="2"/>
  <c r="DU102" i="2"/>
  <c r="EC114" i="2"/>
  <c r="DW52" i="2"/>
  <c r="EN128" i="2"/>
  <c r="EA153" i="2"/>
  <c r="ET153" i="2" s="1"/>
  <c r="ES153" i="2"/>
  <c r="EU153" i="2" s="1"/>
  <c r="ED120" i="2"/>
  <c r="EP50" i="2"/>
  <c r="EJ41" i="2"/>
  <c r="DW81" i="2"/>
  <c r="ES90" i="2"/>
  <c r="EU90" i="2" s="1"/>
  <c r="EK112" i="2"/>
  <c r="DV84" i="2"/>
  <c r="EE91" i="2"/>
  <c r="EK201" i="2"/>
  <c r="EI67" i="2"/>
  <c r="DZ119" i="2"/>
  <c r="EA148" i="2"/>
  <c r="ET148" i="2" s="1"/>
  <c r="ES64" i="2"/>
  <c r="EU64" i="2" s="1"/>
  <c r="EV79" i="2"/>
  <c r="DX147" i="2"/>
  <c r="DY147" i="2" s="1"/>
  <c r="ER184" i="2"/>
  <c r="EL193" i="2"/>
  <c r="DU94" i="2"/>
  <c r="ED102" i="2"/>
  <c r="EP114" i="2"/>
  <c r="EL52" i="2"/>
  <c r="DZ128" i="2"/>
  <c r="EG128" i="2"/>
  <c r="DV153" i="2"/>
  <c r="EP153" i="2"/>
  <c r="EB120" i="2"/>
  <c r="DZ50" i="2"/>
  <c r="EM41" i="2"/>
  <c r="DZ81" i="2"/>
  <c r="EO90" i="2"/>
  <c r="DW112" i="2"/>
  <c r="EI84" i="2"/>
  <c r="EQ91" i="2"/>
  <c r="EM201" i="2"/>
  <c r="EQ67" i="2"/>
  <c r="ED67" i="2"/>
  <c r="EF119" i="2"/>
  <c r="EL18" i="2"/>
  <c r="EC64" i="2"/>
  <c r="EN184" i="2"/>
  <c r="EK94" i="2"/>
  <c r="ES102" i="2"/>
  <c r="EU102" i="2" s="1"/>
  <c r="ED153" i="2"/>
  <c r="EC153" i="2"/>
  <c r="EG41" i="2"/>
  <c r="EN81" i="2"/>
  <c r="EP84" i="2"/>
  <c r="EO119" i="2"/>
  <c r="DU18" i="2"/>
  <c r="EB9" i="2"/>
  <c r="EC51" i="2"/>
  <c r="EQ102" i="2"/>
  <c r="EJ102" i="2"/>
  <c r="EI153" i="2"/>
  <c r="EA41" i="2"/>
  <c r="ET41" i="2" s="1"/>
  <c r="EA81" i="2"/>
  <c r="ET81" i="2" s="1"/>
  <c r="EN84" i="2"/>
  <c r="DX119" i="2"/>
  <c r="DY119" i="2" s="1"/>
  <c r="DW18" i="2"/>
  <c r="EB171" i="2"/>
  <c r="EJ195" i="2"/>
  <c r="EH171" i="2"/>
  <c r="EH154" i="2"/>
  <c r="EL83" i="2"/>
  <c r="ED156" i="2"/>
  <c r="EC98" i="2"/>
  <c r="ED170" i="2"/>
  <c r="EM101" i="2"/>
  <c r="DX55" i="2"/>
  <c r="DY55" i="2" s="1"/>
  <c r="ER30" i="2"/>
  <c r="DX170" i="2"/>
  <c r="DY170" i="2" s="1"/>
  <c r="DU117" i="2"/>
  <c r="ED179" i="2"/>
  <c r="ED29" i="2"/>
  <c r="DX117" i="2"/>
  <c r="DY117" i="2" s="1"/>
  <c r="DX148" i="2"/>
  <c r="DY148" i="2" s="1"/>
  <c r="EP156" i="2"/>
  <c r="EJ156" i="2"/>
  <c r="ES170" i="2"/>
  <c r="EU170" i="2" s="1"/>
  <c r="EI170" i="2"/>
  <c r="DZ195" i="2"/>
  <c r="EM195" i="2"/>
  <c r="DZ101" i="2"/>
  <c r="EI101" i="2"/>
  <c r="EL98" i="2"/>
  <c r="DW29" i="2"/>
  <c r="EE83" i="2"/>
  <c r="DZ83" i="2"/>
  <c r="EA117" i="2"/>
  <c r="ET117" i="2" s="1"/>
  <c r="EN117" i="2"/>
  <c r="EN171" i="2"/>
  <c r="ED171" i="2"/>
  <c r="EP154" i="2"/>
  <c r="EB154" i="2"/>
  <c r="EV148" i="2"/>
  <c r="EM179" i="2"/>
  <c r="ED55" i="2"/>
  <c r="DW30" i="2"/>
  <c r="EH156" i="2"/>
  <c r="EA156" i="2"/>
  <c r="ET156" i="2" s="1"/>
  <c r="EC170" i="2"/>
  <c r="EL172" i="2"/>
  <c r="EP195" i="2"/>
  <c r="EC195" i="2"/>
  <c r="EO101" i="2"/>
  <c r="EE101" i="2"/>
  <c r="EN98" i="2"/>
  <c r="DZ29" i="2"/>
  <c r="EI29" i="2"/>
  <c r="EF83" i="2"/>
  <c r="EM83" i="2"/>
  <c r="DU38" i="2"/>
  <c r="EV117" i="2"/>
  <c r="EH99" i="2"/>
  <c r="ES171" i="2"/>
  <c r="EU171" i="2" s="1"/>
  <c r="EM154" i="2"/>
  <c r="EE154" i="2"/>
  <c r="EI96" i="2"/>
  <c r="EK148" i="2"/>
  <c r="EH179" i="2"/>
  <c r="EB55" i="2"/>
  <c r="EN197" i="2"/>
  <c r="ED30" i="2"/>
  <c r="DU156" i="2"/>
  <c r="EN156" i="2"/>
  <c r="EO170" i="2"/>
  <c r="EQ172" i="2"/>
  <c r="DV195" i="2"/>
  <c r="EO195" i="2"/>
  <c r="EV101" i="2"/>
  <c r="EJ101" i="2"/>
  <c r="EA98" i="2"/>
  <c r="ET98" i="2" s="1"/>
  <c r="EV98" i="2"/>
  <c r="EO29" i="2"/>
  <c r="EH29" i="2"/>
  <c r="DW83" i="2"/>
  <c r="ER83" i="2"/>
  <c r="EN38" i="2"/>
  <c r="DX167" i="2"/>
  <c r="DY167" i="2" s="1"/>
  <c r="EF117" i="2"/>
  <c r="DV171" i="2"/>
  <c r="EG154" i="2"/>
  <c r="DW154" i="2"/>
  <c r="EE148" i="2"/>
  <c r="DW179" i="2"/>
  <c r="DU197" i="2"/>
  <c r="EO30" i="2"/>
  <c r="EI156" i="2"/>
  <c r="DV156" i="2"/>
  <c r="EV170" i="2"/>
  <c r="EL195" i="2"/>
  <c r="EQ195" i="2"/>
  <c r="ED101" i="2"/>
  <c r="EA101" i="2"/>
  <c r="ET101" i="2" s="1"/>
  <c r="EF98" i="2"/>
  <c r="EG98" i="2"/>
  <c r="EE29" i="2"/>
  <c r="DX29" i="2"/>
  <c r="DY29" i="2" s="1"/>
  <c r="EI83" i="2"/>
  <c r="EV83" i="2"/>
  <c r="EM167" i="2"/>
  <c r="ED117" i="2"/>
  <c r="EV171" i="2"/>
  <c r="DV154" i="2"/>
  <c r="ES154" i="2"/>
  <c r="EU154" i="2" s="1"/>
  <c r="EP148" i="2"/>
  <c r="ES148" i="2"/>
  <c r="EU148" i="2" s="1"/>
  <c r="EP179" i="2"/>
  <c r="EQ44" i="2"/>
  <c r="EF30" i="2"/>
  <c r="EB156" i="2"/>
  <c r="EK156" i="2"/>
  <c r="DU170" i="2"/>
  <c r="EV195" i="2"/>
  <c r="EQ101" i="2"/>
  <c r="EE98" i="2"/>
  <c r="EB98" i="2"/>
  <c r="EN29" i="2"/>
  <c r="EJ29" i="2"/>
  <c r="EP83" i="2"/>
  <c r="EJ83" i="2"/>
  <c r="EK117" i="2"/>
  <c r="EC171" i="2"/>
  <c r="EK171" i="2"/>
  <c r="ER154" i="2"/>
  <c r="DZ154" i="2"/>
  <c r="DW148" i="2"/>
  <c r="ER148" i="2"/>
  <c r="EM55" i="2"/>
  <c r="ED73" i="2"/>
  <c r="DX156" i="2"/>
  <c r="DY156" i="2" s="1"/>
  <c r="EN170" i="2"/>
  <c r="EF170" i="2"/>
  <c r="EG195" i="2"/>
  <c r="EH101" i="2"/>
  <c r="ED98" i="2"/>
  <c r="EP98" i="2"/>
  <c r="EL29" i="2"/>
  <c r="DX83" i="2"/>
  <c r="DY83" i="2" s="1"/>
  <c r="DZ117" i="2"/>
  <c r="ER117" i="2"/>
  <c r="EE171" i="2"/>
  <c r="EO171" i="2"/>
  <c r="EQ154" i="2"/>
  <c r="DU148" i="2"/>
  <c r="EM148" i="2"/>
  <c r="EB179" i="2"/>
  <c r="EG55" i="2"/>
  <c r="EM73" i="2"/>
  <c r="EG170" i="2"/>
  <c r="DV98" i="2"/>
  <c r="EQ117" i="2"/>
  <c r="EP171" i="2"/>
  <c r="EN148" i="2"/>
  <c r="ER96" i="2"/>
  <c r="EV96" i="2"/>
  <c r="ER46" i="2"/>
  <c r="EG46" i="2"/>
  <c r="EL46" i="2"/>
  <c r="EL140" i="2"/>
  <c r="EM140" i="2"/>
  <c r="EA140" i="2"/>
  <c r="ET140" i="2" s="1"/>
  <c r="EF140" i="2"/>
  <c r="EO172" i="2"/>
  <c r="EK172" i="2"/>
  <c r="EP172" i="2"/>
  <c r="DX177" i="2"/>
  <c r="DY177" i="2" s="1"/>
  <c r="EF177" i="2"/>
  <c r="DW177" i="2"/>
  <c r="EG177" i="2"/>
  <c r="DX38" i="2"/>
  <c r="DY38" i="2" s="1"/>
  <c r="DV38" i="2"/>
  <c r="EP38" i="2"/>
  <c r="DV167" i="2"/>
  <c r="EB167" i="2"/>
  <c r="EI167" i="2"/>
  <c r="EQ167" i="2"/>
  <c r="EI44" i="2"/>
  <c r="EN44" i="2"/>
  <c r="EC44" i="2"/>
  <c r="EK44" i="2"/>
  <c r="EN70" i="2"/>
  <c r="EI70" i="2"/>
  <c r="EV70" i="2"/>
  <c r="DU99" i="2"/>
  <c r="EI99" i="2"/>
  <c r="EQ99" i="2"/>
  <c r="ER99" i="2"/>
  <c r="EL194" i="2"/>
  <c r="EK194" i="2"/>
  <c r="DW194" i="2"/>
  <c r="DU194" i="2"/>
  <c r="EC194" i="2"/>
  <c r="EV183" i="2"/>
  <c r="DW183" i="2"/>
  <c r="DZ183" i="2"/>
  <c r="EP80" i="2"/>
  <c r="EJ80" i="2"/>
  <c r="EO80" i="2"/>
  <c r="EC80" i="2"/>
  <c r="EA80" i="2"/>
  <c r="ET80" i="2" s="1"/>
  <c r="EK192" i="2"/>
  <c r="EH192" i="2"/>
  <c r="EB192" i="2"/>
  <c r="EF175" i="2"/>
  <c r="ES175" i="2"/>
  <c r="EU175" i="2" s="1"/>
  <c r="DX175" i="2"/>
  <c r="DY175" i="2" s="1"/>
  <c r="EM175" i="2"/>
  <c r="EM107" i="2"/>
  <c r="EI107" i="2"/>
  <c r="EE107" i="2"/>
  <c r="EJ148" i="2"/>
  <c r="EQ148" i="2"/>
  <c r="EG148" i="2"/>
  <c r="EH148" i="2"/>
  <c r="EF148" i="2"/>
  <c r="ED148" i="2"/>
  <c r="EC148" i="2"/>
  <c r="EB148" i="2"/>
  <c r="EO148" i="2"/>
  <c r="DV148" i="2"/>
  <c r="EL148" i="2"/>
  <c r="DZ148" i="2"/>
  <c r="DZ170" i="2"/>
  <c r="EL170" i="2"/>
  <c r="EE170" i="2"/>
  <c r="EQ170" i="2"/>
  <c r="EH170" i="2"/>
  <c r="EJ170" i="2"/>
  <c r="DV170" i="2"/>
  <c r="EB170" i="2"/>
  <c r="DW170" i="2"/>
  <c r="ER170" i="2"/>
  <c r="EP170" i="2"/>
  <c r="EA170" i="2"/>
  <c r="ET170" i="2" s="1"/>
  <c r="EK170" i="2"/>
  <c r="EO156" i="2"/>
  <c r="EF156" i="2"/>
  <c r="DZ156" i="2"/>
  <c r="ER156" i="2"/>
  <c r="DW156" i="2"/>
  <c r="EM156" i="2"/>
  <c r="EG156" i="2"/>
  <c r="EC156" i="2"/>
  <c r="ES156" i="2"/>
  <c r="EU156" i="2" s="1"/>
  <c r="EV156" i="2"/>
  <c r="EQ156" i="2"/>
  <c r="EE156" i="2"/>
  <c r="ER195" i="2"/>
  <c r="EN195" i="2"/>
  <c r="EI195" i="2"/>
  <c r="ED195" i="2"/>
  <c r="DU195" i="2"/>
  <c r="EK195" i="2"/>
  <c r="EH195" i="2"/>
  <c r="DX195" i="2"/>
  <c r="DY195" i="2" s="1"/>
  <c r="EF195" i="2"/>
  <c r="EA195" i="2"/>
  <c r="ET195" i="2" s="1"/>
  <c r="DW195" i="2"/>
  <c r="ES195" i="2"/>
  <c r="EU195" i="2" s="1"/>
  <c r="EB195" i="2"/>
  <c r="EK101" i="2"/>
  <c r="ES101" i="2"/>
  <c r="EU101" i="2" s="1"/>
  <c r="DU101" i="2"/>
  <c r="EP101" i="2"/>
  <c r="EL101" i="2"/>
  <c r="EC101" i="2"/>
  <c r="DW101" i="2"/>
  <c r="DX101" i="2"/>
  <c r="DY101" i="2" s="1"/>
  <c r="EN101" i="2"/>
  <c r="ER101" i="2"/>
  <c r="EF101" i="2"/>
  <c r="EB101" i="2"/>
  <c r="EG101" i="2"/>
  <c r="EN83" i="2"/>
  <c r="EG83" i="2"/>
  <c r="EK83" i="2"/>
  <c r="EO83" i="2"/>
  <c r="DU83" i="2"/>
  <c r="ED83" i="2"/>
  <c r="EQ83" i="2"/>
  <c r="EB83" i="2"/>
  <c r="EH83" i="2"/>
  <c r="ES83" i="2"/>
  <c r="EU83" i="2" s="1"/>
  <c r="DV83" i="2"/>
  <c r="EC83" i="2"/>
  <c r="EC117" i="2"/>
  <c r="EH117" i="2"/>
  <c r="EE117" i="2"/>
  <c r="EP117" i="2"/>
  <c r="EO117" i="2"/>
  <c r="DW117" i="2"/>
  <c r="EG117" i="2"/>
  <c r="EB117" i="2"/>
  <c r="EJ117" i="2"/>
  <c r="ES117" i="2"/>
  <c r="EU117" i="2" s="1"/>
  <c r="EM117" i="2"/>
  <c r="EL117" i="2"/>
  <c r="EI117" i="2"/>
  <c r="EG179" i="2"/>
  <c r="EE179" i="2"/>
  <c r="DV179" i="2"/>
  <c r="DZ179" i="2"/>
  <c r="EJ179" i="2"/>
  <c r="EI55" i="2"/>
  <c r="EO55" i="2"/>
  <c r="EF55" i="2"/>
  <c r="DV55" i="2"/>
  <c r="EE55" i="2"/>
  <c r="EC55" i="2"/>
  <c r="ER55" i="2"/>
  <c r="EH55" i="2"/>
  <c r="DW55" i="2"/>
  <c r="EL55" i="2"/>
  <c r="EL171" i="2"/>
  <c r="EF171" i="2"/>
  <c r="DZ171" i="2"/>
  <c r="EA171" i="2"/>
  <c r="ET171" i="2" s="1"/>
  <c r="EG171" i="2"/>
  <c r="EJ171" i="2"/>
  <c r="EQ171" i="2"/>
  <c r="DX171" i="2"/>
  <c r="DY171" i="2" s="1"/>
  <c r="DW171" i="2"/>
  <c r="ER171" i="2"/>
  <c r="EI171" i="2"/>
  <c r="EM171" i="2"/>
  <c r="DU98" i="2"/>
  <c r="ES98" i="2"/>
  <c r="EU98" i="2" s="1"/>
  <c r="DW98" i="2"/>
  <c r="EK98" i="2"/>
  <c r="EO98" i="2"/>
  <c r="ER98" i="2"/>
  <c r="EM98" i="2"/>
  <c r="EJ98" i="2"/>
  <c r="EQ98" i="2"/>
  <c r="DX98" i="2"/>
  <c r="DY98" i="2" s="1"/>
  <c r="EI98" i="2"/>
  <c r="EH98" i="2"/>
  <c r="EC29" i="2"/>
  <c r="EV29" i="2"/>
  <c r="EM29" i="2"/>
  <c r="ER29" i="2"/>
  <c r="EA29" i="2"/>
  <c r="ET29" i="2" s="1"/>
  <c r="EB29" i="2"/>
  <c r="EP29" i="2"/>
  <c r="DU29" i="2"/>
  <c r="EQ29" i="2"/>
  <c r="EF29" i="2"/>
  <c r="EG29" i="2"/>
  <c r="EK29" i="2"/>
  <c r="ES29" i="2"/>
  <c r="EU29" i="2" s="1"/>
  <c r="EJ174" i="2"/>
  <c r="EH174" i="2"/>
  <c r="DZ73" i="2"/>
  <c r="EP73" i="2"/>
  <c r="DU73" i="2"/>
  <c r="EH165" i="2"/>
  <c r="EC165" i="2"/>
  <c r="EK30" i="2"/>
  <c r="DZ30" i="2"/>
  <c r="EA30" i="2"/>
  <c r="ET30" i="2" s="1"/>
  <c r="EG30" i="2"/>
  <c r="EQ30" i="2"/>
  <c r="EN154" i="2"/>
  <c r="EC154" i="2"/>
  <c r="EI154" i="2"/>
  <c r="EJ154" i="2"/>
  <c r="DX154" i="2"/>
  <c r="DY154" i="2" s="1"/>
  <c r="EV154" i="2"/>
  <c r="DU154" i="2"/>
  <c r="EF154" i="2"/>
  <c r="EO154" i="2"/>
  <c r="EL154" i="2"/>
  <c r="EK154" i="2"/>
  <c r="EA154" i="2"/>
  <c r="ET154" i="2" s="1"/>
  <c r="EG102" i="2"/>
  <c r="DW102" i="2"/>
  <c r="DV102" i="2"/>
  <c r="EG153" i="2"/>
  <c r="EK153" i="2"/>
  <c r="EN153" i="2"/>
  <c r="EQ23" i="2"/>
  <c r="EB23" i="2"/>
  <c r="ES41" i="2"/>
  <c r="EU41" i="2" s="1"/>
  <c r="EE41" i="2"/>
  <c r="EI191" i="2"/>
  <c r="EK191" i="2"/>
  <c r="DX81" i="2"/>
  <c r="DY81" i="2" s="1"/>
  <c r="EM81" i="2"/>
  <c r="EH84" i="2"/>
  <c r="EM84" i="2"/>
  <c r="EJ199" i="2"/>
  <c r="EB199" i="2"/>
  <c r="EM24" i="2"/>
  <c r="EC119" i="2"/>
  <c r="EJ119" i="2"/>
  <c r="DZ18" i="2"/>
  <c r="EC18" i="2"/>
  <c r="EB102" i="2"/>
  <c r="EN102" i="2"/>
  <c r="EI102" i="2"/>
  <c r="EV153" i="2"/>
  <c r="EQ153" i="2"/>
  <c r="DU153" i="2"/>
  <c r="EH23" i="2"/>
  <c r="DX23" i="2"/>
  <c r="DY23" i="2" s="1"/>
  <c r="EB41" i="2"/>
  <c r="EV41" i="2"/>
  <c r="DZ191" i="2"/>
  <c r="EN191" i="2"/>
  <c r="ED81" i="2"/>
  <c r="EL81" i="2"/>
  <c r="DZ84" i="2"/>
  <c r="EV84" i="2"/>
  <c r="DU199" i="2"/>
  <c r="DV199" i="2"/>
  <c r="DZ24" i="2"/>
  <c r="EB119" i="2"/>
  <c r="DU119" i="2"/>
  <c r="DV18" i="2"/>
  <c r="EJ18" i="2"/>
  <c r="EP102" i="2"/>
  <c r="EH102" i="2"/>
  <c r="EK102" i="2"/>
  <c r="DW153" i="2"/>
  <c r="DZ153" i="2"/>
  <c r="EB153" i="2"/>
  <c r="DV23" i="2"/>
  <c r="EO23" i="2"/>
  <c r="DZ41" i="2"/>
  <c r="EQ41" i="2"/>
  <c r="EE191" i="2"/>
  <c r="EL191" i="2"/>
  <c r="EB81" i="2"/>
  <c r="ER81" i="2"/>
  <c r="EF84" i="2"/>
  <c r="EB84" i="2"/>
  <c r="EF199" i="2"/>
  <c r="ED199" i="2"/>
  <c r="EQ24" i="2"/>
  <c r="ES119" i="2"/>
  <c r="EU119" i="2" s="1"/>
  <c r="EA119" i="2"/>
  <c r="ET119" i="2" s="1"/>
  <c r="EO18" i="2"/>
  <c r="EV18" i="2"/>
  <c r="EJ25" i="2"/>
  <c r="DV4" i="2"/>
  <c r="DZ102" i="2"/>
  <c r="EC102" i="2"/>
  <c r="EF102" i="2"/>
  <c r="EJ153" i="2"/>
  <c r="EF153" i="2"/>
  <c r="ES23" i="2"/>
  <c r="EU23" i="2" s="1"/>
  <c r="EP41" i="2"/>
  <c r="ED191" i="2"/>
  <c r="DV81" i="2"/>
  <c r="ER84" i="2"/>
  <c r="EP199" i="2"/>
  <c r="EK24" i="2"/>
  <c r="EP24" i="2"/>
  <c r="EJ140" i="2"/>
  <c r="EC140" i="2"/>
  <c r="ED114" i="2"/>
  <c r="EK114" i="2"/>
  <c r="EO114" i="2"/>
  <c r="EB46" i="2"/>
  <c r="EO46" i="2"/>
  <c r="EO52" i="2"/>
  <c r="EE52" i="2"/>
  <c r="DU52" i="2"/>
  <c r="DZ192" i="2"/>
  <c r="EM192" i="2"/>
  <c r="EG107" i="2"/>
  <c r="EQ107" i="2"/>
  <c r="DZ172" i="2"/>
  <c r="ES172" i="2"/>
  <c r="EU172" i="2" s="1"/>
  <c r="EP128" i="2"/>
  <c r="EO128" i="2"/>
  <c r="EH128" i="2"/>
  <c r="DZ120" i="2"/>
  <c r="EL120" i="2"/>
  <c r="EF120" i="2"/>
  <c r="EN50" i="2"/>
  <c r="EV50" i="2"/>
  <c r="DU50" i="2"/>
  <c r="DV80" i="2"/>
  <c r="EG80" i="2"/>
  <c r="EE177" i="2"/>
  <c r="DU177" i="2"/>
  <c r="EE194" i="2"/>
  <c r="EP194" i="2"/>
  <c r="EM90" i="2"/>
  <c r="EN90" i="2"/>
  <c r="EC90" i="2"/>
  <c r="EB38" i="2"/>
  <c r="ER38" i="2"/>
  <c r="EG112" i="2"/>
  <c r="EI112" i="2"/>
  <c r="DV112" i="2"/>
  <c r="EG167" i="2"/>
  <c r="DU167" i="2"/>
  <c r="EG99" i="2"/>
  <c r="ES99" i="2"/>
  <c r="EU99" i="2" s="1"/>
  <c r="EF91" i="2"/>
  <c r="ES91" i="2"/>
  <c r="EU91" i="2" s="1"/>
  <c r="DW91" i="2"/>
  <c r="ES201" i="2"/>
  <c r="EU201" i="2" s="1"/>
  <c r="DX201" i="2"/>
  <c r="DY201" i="2" s="1"/>
  <c r="DV201" i="2"/>
  <c r="EA67" i="2"/>
  <c r="ET67" i="2" s="1"/>
  <c r="EM67" i="2"/>
  <c r="EG67" i="2"/>
  <c r="EF24" i="2"/>
  <c r="DV24" i="2"/>
  <c r="EH24" i="2"/>
  <c r="EG64" i="2"/>
  <c r="EK64" i="2"/>
  <c r="ED64" i="2"/>
  <c r="DX44" i="2"/>
  <c r="DY44" i="2" s="1"/>
  <c r="DW44" i="2"/>
  <c r="DZ79" i="2"/>
  <c r="DV79" i="2"/>
  <c r="EI147" i="2"/>
  <c r="EV147" i="2"/>
  <c r="DW147" i="2"/>
  <c r="EK175" i="2"/>
  <c r="EC94" i="2"/>
  <c r="EG94" i="2"/>
  <c r="EQ140" i="2"/>
  <c r="EI140" i="2"/>
  <c r="EL114" i="2"/>
  <c r="EM114" i="2"/>
  <c r="DX114" i="2"/>
  <c r="DY114" i="2" s="1"/>
  <c r="EF46" i="2"/>
  <c r="EV46" i="2"/>
  <c r="ED52" i="2"/>
  <c r="EQ52" i="2"/>
  <c r="ES52" i="2"/>
  <c r="EU52" i="2" s="1"/>
  <c r="EA192" i="2"/>
  <c r="ET192" i="2" s="1"/>
  <c r="EI192" i="2"/>
  <c r="DW107" i="2"/>
  <c r="EV107" i="2"/>
  <c r="EA172" i="2"/>
  <c r="ET172" i="2" s="1"/>
  <c r="DV172" i="2"/>
  <c r="EF128" i="2"/>
  <c r="EK128" i="2"/>
  <c r="EV128" i="2"/>
  <c r="ES120" i="2"/>
  <c r="EU120" i="2" s="1"/>
  <c r="DV120" i="2"/>
  <c r="EC120" i="2"/>
  <c r="EB50" i="2"/>
  <c r="EC50" i="2"/>
  <c r="EI50" i="2"/>
  <c r="EN80" i="2"/>
  <c r="EE80" i="2"/>
  <c r="ED177" i="2"/>
  <c r="EV177" i="2"/>
  <c r="EO194" i="2"/>
  <c r="ES194" i="2"/>
  <c r="EU194" i="2" s="1"/>
  <c r="EE90" i="2"/>
  <c r="ER90" i="2"/>
  <c r="DW90" i="2"/>
  <c r="DW38" i="2"/>
  <c r="EQ38" i="2"/>
  <c r="EN112" i="2"/>
  <c r="DU112" i="2"/>
  <c r="ES112" i="2"/>
  <c r="EU112" i="2" s="1"/>
  <c r="EK167" i="2"/>
  <c r="ER167" i="2"/>
  <c r="EE99" i="2"/>
  <c r="EJ99" i="2"/>
  <c r="EC91" i="2"/>
  <c r="EH91" i="2"/>
  <c r="EM91" i="2"/>
  <c r="DW201" i="2"/>
  <c r="ED201" i="2"/>
  <c r="EJ201" i="2"/>
  <c r="EO67" i="2"/>
  <c r="ES67" i="2"/>
  <c r="EU67" i="2" s="1"/>
  <c r="ER67" i="2"/>
  <c r="ES24" i="2"/>
  <c r="EU24" i="2" s="1"/>
  <c r="EV24" i="2"/>
  <c r="DW24" i="2"/>
  <c r="EP64" i="2"/>
  <c r="DX64" i="2"/>
  <c r="DY64" i="2" s="1"/>
  <c r="EH64" i="2"/>
  <c r="DZ64" i="2"/>
  <c r="EH44" i="2"/>
  <c r="EL44" i="2"/>
  <c r="EM79" i="2"/>
  <c r="EH79" i="2"/>
  <c r="EF147" i="2"/>
  <c r="EB147" i="2"/>
  <c r="DU147" i="2"/>
  <c r="DW175" i="2"/>
  <c r="EO94" i="2"/>
  <c r="DV94" i="2"/>
  <c r="ER94" i="2"/>
  <c r="ES140" i="2"/>
  <c r="EU140" i="2" s="1"/>
  <c r="DX140" i="2"/>
  <c r="DY140" i="2" s="1"/>
  <c r="EB114" i="2"/>
  <c r="EH114" i="2"/>
  <c r="DW114" i="2"/>
  <c r="EP46" i="2"/>
  <c r="EC46" i="2"/>
  <c r="EB52" i="2"/>
  <c r="EN52" i="2"/>
  <c r="EF52" i="2"/>
  <c r="DV52" i="2"/>
  <c r="EG192" i="2"/>
  <c r="EV192" i="2"/>
  <c r="ED107" i="2"/>
  <c r="DV107" i="2"/>
  <c r="DW172" i="2"/>
  <c r="DU172" i="2"/>
  <c r="DU128" i="2"/>
  <c r="DW128" i="2"/>
  <c r="EM128" i="2"/>
  <c r="EP120" i="2"/>
  <c r="EQ120" i="2"/>
  <c r="EM120" i="2"/>
  <c r="DX50" i="2"/>
  <c r="DY50" i="2" s="1"/>
  <c r="EH50" i="2"/>
  <c r="EA50" i="2"/>
  <c r="ET50" i="2" s="1"/>
  <c r="EB80" i="2"/>
  <c r="EH80" i="2"/>
  <c r="EI177" i="2"/>
  <c r="EM177" i="2"/>
  <c r="EN194" i="2"/>
  <c r="EF194" i="2"/>
  <c r="EP90" i="2"/>
  <c r="ED90" i="2"/>
  <c r="EF90" i="2"/>
  <c r="EA90" i="2"/>
  <c r="ET90" i="2" s="1"/>
  <c r="EI38" i="2"/>
  <c r="EO38" i="2"/>
  <c r="EL112" i="2"/>
  <c r="EA112" i="2"/>
  <c r="ET112" i="2" s="1"/>
  <c r="EE112" i="2"/>
  <c r="DZ167" i="2"/>
  <c r="EN167" i="2"/>
  <c r="DZ99" i="2"/>
  <c r="EB99" i="2"/>
  <c r="DZ91" i="2"/>
  <c r="EL91" i="2"/>
  <c r="EB91" i="2"/>
  <c r="EK91" i="2"/>
  <c r="ER201" i="2"/>
  <c r="EA201" i="2"/>
  <c r="ET201" i="2" s="1"/>
  <c r="EV201" i="2"/>
  <c r="EP67" i="2"/>
  <c r="EE67" i="2"/>
  <c r="DU67" i="2"/>
  <c r="EO24" i="2"/>
  <c r="EL24" i="2"/>
  <c r="EE24" i="2"/>
  <c r="EJ24" i="2"/>
  <c r="EA96" i="2"/>
  <c r="ET96" i="2" s="1"/>
  <c r="EO64" i="2"/>
  <c r="DV64" i="2"/>
  <c r="EB64" i="2"/>
  <c r="ES44" i="2"/>
  <c r="EU44" i="2" s="1"/>
  <c r="EA44" i="2"/>
  <c r="ET44" i="2" s="1"/>
  <c r="EQ79" i="2"/>
  <c r="EP70" i="2"/>
  <c r="EA147" i="2"/>
  <c r="ET147" i="2" s="1"/>
  <c r="DV147" i="2"/>
  <c r="DZ175" i="2"/>
  <c r="ED175" i="2"/>
  <c r="DZ94" i="2"/>
  <c r="ED94" i="2"/>
  <c r="EN140" i="2"/>
  <c r="ER140" i="2"/>
  <c r="DU114" i="2"/>
  <c r="ES114" i="2"/>
  <c r="EU114" i="2" s="1"/>
  <c r="EI114" i="2"/>
  <c r="DV46" i="2"/>
  <c r="EE46" i="2"/>
  <c r="EM52" i="2"/>
  <c r="EK52" i="2"/>
  <c r="EC52" i="2"/>
  <c r="EN192" i="2"/>
  <c r="DU192" i="2"/>
  <c r="DU107" i="2"/>
  <c r="ES107" i="2"/>
  <c r="EU107" i="2" s="1"/>
  <c r="DX172" i="2"/>
  <c r="DY172" i="2" s="1"/>
  <c r="EJ172" i="2"/>
  <c r="DX128" i="2"/>
  <c r="DY128" i="2" s="1"/>
  <c r="EB128" i="2"/>
  <c r="DV128" i="2"/>
  <c r="EI120" i="2"/>
  <c r="DX120" i="2"/>
  <c r="DY120" i="2" s="1"/>
  <c r="EG120" i="2"/>
  <c r="DW50" i="2"/>
  <c r="EG50" i="2"/>
  <c r="EO50" i="2"/>
  <c r="EM80" i="2"/>
  <c r="EV80" i="2"/>
  <c r="EJ177" i="2"/>
  <c r="EA177" i="2"/>
  <c r="ET177" i="2" s="1"/>
  <c r="EH194" i="2"/>
  <c r="EG194" i="2"/>
  <c r="DZ90" i="2"/>
  <c r="EG90" i="2"/>
  <c r="DX90" i="2"/>
  <c r="DY90" i="2" s="1"/>
  <c r="EK38" i="2"/>
  <c r="EA38" i="2"/>
  <c r="ET38" i="2" s="1"/>
  <c r="EM112" i="2"/>
  <c r="EO112" i="2"/>
  <c r="DX112" i="2"/>
  <c r="DY112" i="2" s="1"/>
  <c r="EP167" i="2"/>
  <c r="EO167" i="2"/>
  <c r="EP99" i="2"/>
  <c r="EO99" i="2"/>
  <c r="EP91" i="2"/>
  <c r="EJ91" i="2"/>
  <c r="EN91" i="2"/>
  <c r="EE201" i="2"/>
  <c r="EF201" i="2"/>
  <c r="EG201" i="2"/>
  <c r="DV67" i="2"/>
  <c r="EN67" i="2"/>
  <c r="EH67" i="2"/>
  <c r="DU24" i="2"/>
  <c r="ED24" i="2"/>
  <c r="EC24" i="2"/>
  <c r="ED96" i="2"/>
  <c r="EM64" i="2"/>
  <c r="EJ64" i="2"/>
  <c r="EL64" i="2"/>
  <c r="DV44" i="2"/>
  <c r="EF44" i="2"/>
  <c r="EC79" i="2"/>
  <c r="DZ70" i="2"/>
  <c r="EG147" i="2"/>
  <c r="EH147" i="2"/>
  <c r="DV175" i="2"/>
  <c r="EN175" i="2"/>
  <c r="DX184" i="2"/>
  <c r="DY184" i="2" s="1"/>
  <c r="EP94" i="2"/>
  <c r="EB94" i="2"/>
  <c r="EP140" i="2"/>
  <c r="EV140" i="2"/>
  <c r="EV114" i="2"/>
  <c r="DV114" i="2"/>
  <c r="EA46" i="2"/>
  <c r="ET46" i="2" s="1"/>
  <c r="DW46" i="2"/>
  <c r="ER52" i="2"/>
  <c r="EJ52" i="2"/>
  <c r="EC192" i="2"/>
  <c r="EA107" i="2"/>
  <c r="ET107" i="2" s="1"/>
  <c r="EC107" i="2"/>
  <c r="EN172" i="2"/>
  <c r="EE172" i="2"/>
  <c r="ED128" i="2"/>
  <c r="EE128" i="2"/>
  <c r="EK120" i="2"/>
  <c r="DW120" i="2"/>
  <c r="EE50" i="2"/>
  <c r="EM50" i="2"/>
  <c r="EK50" i="2"/>
  <c r="ES80" i="2"/>
  <c r="EU80" i="2" s="1"/>
  <c r="ER80" i="2"/>
  <c r="EL177" i="2"/>
  <c r="DZ177" i="2"/>
  <c r="ER194" i="2"/>
  <c r="EJ194" i="2"/>
  <c r="DV90" i="2"/>
  <c r="EI90" i="2"/>
  <c r="EH38" i="2"/>
  <c r="DZ112" i="2"/>
  <c r="EV112" i="2"/>
  <c r="EJ112" i="2"/>
  <c r="EL167" i="2"/>
  <c r="EA167" i="2"/>
  <c r="ET167" i="2" s="1"/>
  <c r="ED99" i="2"/>
  <c r="EC99" i="2"/>
  <c r="DU91" i="2"/>
  <c r="EI91" i="2"/>
  <c r="EI201" i="2"/>
  <c r="EB201" i="2"/>
  <c r="EF67" i="2"/>
  <c r="EJ67" i="2"/>
  <c r="EB24" i="2"/>
  <c r="EN24" i="2"/>
  <c r="EJ96" i="2"/>
  <c r="EQ64" i="2"/>
  <c r="EN64" i="2"/>
  <c r="EM44" i="2"/>
  <c r="EP44" i="2"/>
  <c r="EQ70" i="2"/>
  <c r="EC147" i="2"/>
  <c r="EJ175" i="2"/>
  <c r="ER175" i="2"/>
  <c r="DV193" i="2"/>
  <c r="EV94" i="2"/>
  <c r="EE94" i="2"/>
  <c r="EG14" i="2"/>
  <c r="EF14" i="2"/>
  <c r="EB14" i="2"/>
  <c r="DX17" i="2"/>
  <c r="DY17" i="2" s="1"/>
  <c r="DV17" i="2"/>
  <c r="EI17" i="2"/>
  <c r="EA13" i="2"/>
  <c r="ET13" i="2" s="1"/>
  <c r="EO13" i="2"/>
  <c r="EF13" i="2"/>
  <c r="EG110" i="2"/>
  <c r="EJ110" i="2"/>
  <c r="EV66" i="2"/>
  <c r="EE66" i="2"/>
  <c r="EJ72" i="2"/>
  <c r="EN72" i="2"/>
  <c r="ES135" i="2"/>
  <c r="EU135" i="2" s="1"/>
  <c r="DU135" i="2"/>
  <c r="EP43" i="2"/>
  <c r="EK43" i="2"/>
  <c r="EQ109" i="2"/>
  <c r="EA109" i="2"/>
  <c r="ET109" i="2" s="1"/>
  <c r="EV163" i="2"/>
  <c r="EB163" i="2"/>
  <c r="EC123" i="2"/>
  <c r="EM123" i="2"/>
  <c r="ER60" i="2"/>
  <c r="EB60" i="2"/>
  <c r="DU160" i="2"/>
  <c r="EP14" i="2"/>
  <c r="EQ14" i="2"/>
  <c r="DX14" i="2"/>
  <c r="DY14" i="2" s="1"/>
  <c r="EP17" i="2"/>
  <c r="EH17" i="2"/>
  <c r="EE17" i="2"/>
  <c r="EG13" i="2"/>
  <c r="EQ13" i="2"/>
  <c r="DZ13" i="2"/>
  <c r="ES13" i="2"/>
  <c r="EU13" i="2" s="1"/>
  <c r="EH110" i="2"/>
  <c r="EK110" i="2"/>
  <c r="EA66" i="2"/>
  <c r="ET66" i="2" s="1"/>
  <c r="EI66" i="2"/>
  <c r="EV72" i="2"/>
  <c r="EH72" i="2"/>
  <c r="EC135" i="2"/>
  <c r="ED135" i="2"/>
  <c r="EA43" i="2"/>
  <c r="ET43" i="2" s="1"/>
  <c r="EJ43" i="2"/>
  <c r="ED109" i="2"/>
  <c r="EV109" i="2"/>
  <c r="DZ163" i="2"/>
  <c r="EE163" i="2"/>
  <c r="EF123" i="2"/>
  <c r="ES123" i="2"/>
  <c r="EU123" i="2" s="1"/>
  <c r="DZ60" i="2"/>
  <c r="EG60" i="2"/>
  <c r="EB160" i="2"/>
  <c r="EL14" i="2"/>
  <c r="EO14" i="2"/>
  <c r="DZ14" i="2"/>
  <c r="ER17" i="2"/>
  <c r="EB17" i="2"/>
  <c r="ES17" i="2"/>
  <c r="EU17" i="2" s="1"/>
  <c r="DW13" i="2"/>
  <c r="EC13" i="2"/>
  <c r="EV13" i="2"/>
  <c r="EM110" i="2"/>
  <c r="DZ110" i="2"/>
  <c r="DU66" i="2"/>
  <c r="EL66" i="2"/>
  <c r="DV72" i="2"/>
  <c r="DU72" i="2"/>
  <c r="ER135" i="2"/>
  <c r="EJ135" i="2"/>
  <c r="DX43" i="2"/>
  <c r="DY43" i="2" s="1"/>
  <c r="DW43" i="2"/>
  <c r="DU109" i="2"/>
  <c r="EN109" i="2"/>
  <c r="EQ163" i="2"/>
  <c r="EI163" i="2"/>
  <c r="EB123" i="2"/>
  <c r="EH123" i="2"/>
  <c r="EV60" i="2"/>
  <c r="EL60" i="2"/>
  <c r="EH160" i="2"/>
  <c r="DW14" i="2"/>
  <c r="EV14" i="2"/>
  <c r="EH14" i="2"/>
  <c r="EA17" i="2"/>
  <c r="ET17" i="2" s="1"/>
  <c r="DW17" i="2"/>
  <c r="EQ17" i="2"/>
  <c r="EK13" i="2"/>
  <c r="EP13" i="2"/>
  <c r="ED13" i="2"/>
  <c r="DX110" i="2"/>
  <c r="DY110" i="2" s="1"/>
  <c r="DU110" i="2"/>
  <c r="ED66" i="2"/>
  <c r="DX72" i="2"/>
  <c r="DY72" i="2" s="1"/>
  <c r="EI72" i="2"/>
  <c r="EK135" i="2"/>
  <c r="EQ135" i="2"/>
  <c r="EN43" i="2"/>
  <c r="EH43" i="2"/>
  <c r="EF109" i="2"/>
  <c r="EK109" i="2"/>
  <c r="EA163" i="2"/>
  <c r="ET163" i="2" s="1"/>
  <c r="EK163" i="2"/>
  <c r="EI123" i="2"/>
  <c r="ER123" i="2"/>
  <c r="DV60" i="2"/>
  <c r="EQ60" i="2"/>
  <c r="EJ62" i="2"/>
  <c r="EN60" i="2"/>
  <c r="EH60" i="2"/>
  <c r="DV14" i="2"/>
  <c r="EE14" i="2"/>
  <c r="DU17" i="2"/>
  <c r="EL17" i="2"/>
  <c r="DX13" i="2"/>
  <c r="DY13" i="2" s="1"/>
  <c r="DU13" i="2"/>
  <c r="EV110" i="2"/>
  <c r="EB66" i="2"/>
  <c r="EA72" i="2"/>
  <c r="ET72" i="2" s="1"/>
  <c r="EH135" i="2"/>
  <c r="ER43" i="2"/>
  <c r="DV43" i="2"/>
  <c r="EO109" i="2"/>
  <c r="ER163" i="2"/>
  <c r="EJ123" i="2"/>
  <c r="EO60" i="2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DV9" i="2"/>
  <c r="DU9" i="2"/>
  <c r="DW9" i="2"/>
  <c r="DX9" i="2" s="1"/>
  <c r="DY9" i="2" s="1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P9" i="2" l="1"/>
  <c r="DZ9" i="2"/>
  <c r="P2" i="9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E9" i="2" l="1"/>
  <c r="BJ17" i="2"/>
  <c r="BJ16" i="2"/>
  <c r="BJ15" i="2"/>
  <c r="BJ14" i="2"/>
  <c r="BJ11" i="2"/>
  <c r="BJ12" i="2"/>
  <c r="BJ13" i="2"/>
  <c r="BJ10" i="2"/>
  <c r="BJ9" i="2"/>
  <c r="BM9" i="2"/>
  <c r="CT3" i="2" s="1"/>
  <c r="B16" i="5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E8" i="2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DJ9" i="2"/>
  <c r="B19" i="9"/>
  <c r="EE6" i="2"/>
  <c r="EE2" i="2"/>
  <c r="CN3" i="2"/>
  <c r="CN4" i="2" s="1"/>
  <c r="D24" i="9"/>
  <c r="EA2" i="2" l="1"/>
  <c r="EJ2" i="2" s="1"/>
  <c r="EL2" i="2" s="1"/>
  <c r="EN2" i="2" s="1"/>
  <c r="EA9" i="2"/>
  <c r="EA3" i="2"/>
  <c r="EA6" i="2"/>
  <c r="EA8" i="2"/>
  <c r="EA4" i="2"/>
  <c r="EA5" i="2"/>
  <c r="EQ9" i="2"/>
  <c r="CT11" i="2"/>
  <c r="CT19" i="2" s="1"/>
  <c r="EI7" i="2"/>
  <c r="EO7" i="2"/>
  <c r="BM3" i="2"/>
  <c r="BM16" i="2" s="1"/>
  <c r="B22" i="5" s="1"/>
  <c r="HY4" i="2"/>
  <c r="Y33" i="8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Q8" i="2"/>
  <c r="Y37" i="8"/>
  <c r="HY9" i="2"/>
  <c r="HZ9" i="2"/>
  <c r="HY10" i="2" s="1"/>
  <c r="Y39" i="8" s="1"/>
  <c r="EQ5" i="2"/>
  <c r="BK31" i="8"/>
  <c r="BK30" i="8" s="1"/>
  <c r="EQ4" i="2"/>
  <c r="R7" i="9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S2" i="2" l="1"/>
  <c r="EK2" i="2"/>
  <c r="EM2" i="2" s="1"/>
  <c r="EO2" i="2" s="1"/>
  <c r="EC2" i="2"/>
  <c r="EF2" i="2" s="1"/>
  <c r="EH2" i="2" s="1"/>
  <c r="ED5" i="2"/>
  <c r="EG5" i="2" s="1"/>
  <c r="EI5" i="2" s="1"/>
  <c r="ES5" i="2"/>
  <c r="EC5" i="2"/>
  <c r="EF5" i="2" s="1"/>
  <c r="EH5" i="2" s="1"/>
  <c r="EJ5" i="2"/>
  <c r="EL5" i="2" s="1"/>
  <c r="EN5" i="2" s="1"/>
  <c r="EK5" i="2"/>
  <c r="EM5" i="2" s="1"/>
  <c r="EO5" i="2" s="1"/>
  <c r="EK4" i="2"/>
  <c r="EM4" i="2" s="1"/>
  <c r="EO4" i="2" s="1"/>
  <c r="EJ4" i="2"/>
  <c r="EL4" i="2" s="1"/>
  <c r="EN4" i="2" s="1"/>
  <c r="EC4" i="2"/>
  <c r="EF4" i="2" s="1"/>
  <c r="EH4" i="2" s="1"/>
  <c r="ES4" i="2"/>
  <c r="ED4" i="2"/>
  <c r="EG4" i="2" s="1"/>
  <c r="EI4" i="2" s="1"/>
  <c r="EC8" i="2"/>
  <c r="EF8" i="2" s="1"/>
  <c r="EH8" i="2" s="1"/>
  <c r="EK8" i="2"/>
  <c r="EM8" i="2" s="1"/>
  <c r="EO8" i="2" s="1"/>
  <c r="ES8" i="2"/>
  <c r="EJ8" i="2"/>
  <c r="EL8" i="2" s="1"/>
  <c r="EN8" i="2" s="1"/>
  <c r="ED8" i="2"/>
  <c r="EG8" i="2" s="1"/>
  <c r="EI8" i="2" s="1"/>
  <c r="ED2" i="2"/>
  <c r="EG2" i="2" s="1"/>
  <c r="EI2" i="2" s="1"/>
  <c r="EC6" i="2"/>
  <c r="EF6" i="2" s="1"/>
  <c r="EH6" i="2" s="1"/>
  <c r="ES6" i="2"/>
  <c r="EK6" i="2"/>
  <c r="EM6" i="2" s="1"/>
  <c r="EO6" i="2" s="1"/>
  <c r="EJ6" i="2"/>
  <c r="EL6" i="2" s="1"/>
  <c r="EN6" i="2" s="1"/>
  <c r="ED6" i="2"/>
  <c r="EG6" i="2" s="1"/>
  <c r="EI6" i="2" s="1"/>
  <c r="EJ3" i="2"/>
  <c r="EL3" i="2" s="1"/>
  <c r="EN3" i="2" s="1"/>
  <c r="EK3" i="2"/>
  <c r="EM3" i="2" s="1"/>
  <c r="EO3" i="2" s="1"/>
  <c r="EC3" i="2"/>
  <c r="EF3" i="2" s="1"/>
  <c r="EH3" i="2" s="1"/>
  <c r="ED3" i="2"/>
  <c r="EG3" i="2" s="1"/>
  <c r="EI3" i="2" s="1"/>
  <c r="ES3" i="2"/>
  <c r="EC9" i="2"/>
  <c r="EF9" i="2" s="1"/>
  <c r="EH9" i="2" s="1"/>
  <c r="ES9" i="2"/>
  <c r="EJ9" i="2"/>
  <c r="EL9" i="2" s="1"/>
  <c r="EN9" i="2" s="1"/>
  <c r="ED9" i="2"/>
  <c r="EG9" i="2" s="1"/>
  <c r="EI9" i="2" s="1"/>
  <c r="EK9" i="2"/>
  <c r="EM9" i="2" s="1"/>
  <c r="EO9" i="2" s="1"/>
  <c r="ER7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V11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7" i="2"/>
  <c r="GO13" i="2"/>
  <c r="GP13" i="2" s="1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4" i="2" l="1"/>
  <c r="EY35" i="2" s="1"/>
  <c r="CT15" i="2"/>
  <c r="CT5" i="2"/>
  <c r="B18" i="5" s="1"/>
  <c r="BB5" i="2" s="1"/>
  <c r="CT12" i="2"/>
  <c r="CT23" i="2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2" i="2" l="1"/>
  <c r="ET8" i="2"/>
  <c r="ER8" i="2" s="1"/>
  <c r="ET5" i="2"/>
  <c r="ET4" i="2"/>
  <c r="ET6" i="2"/>
  <c r="ET3" i="2"/>
  <c r="ET9" i="2"/>
  <c r="R3" i="9"/>
  <c r="Q2" i="9"/>
  <c r="Q3" i="9"/>
  <c r="R14" i="9"/>
  <c r="R2" i="9"/>
  <c r="Q13" i="9"/>
  <c r="Q25" i="9"/>
  <c r="R13" i="9"/>
  <c r="R25" i="9"/>
  <c r="Q12" i="9"/>
  <c r="R11" i="9"/>
  <c r="R12" i="9"/>
  <c r="Q10" i="9"/>
  <c r="Q11" i="9"/>
  <c r="R9" i="9"/>
  <c r="R10" i="9"/>
  <c r="Q8" i="9"/>
  <c r="Q9" i="9"/>
  <c r="R8" i="9"/>
  <c r="Q6" i="9"/>
  <c r="R4" i="9"/>
  <c r="R6" i="9"/>
  <c r="Q4" i="9"/>
  <c r="A20" i="2"/>
  <c r="AL20" i="2"/>
  <c r="A24" i="1"/>
  <c r="GW14" i="2"/>
  <c r="GW12" i="2"/>
  <c r="GW13" i="2" s="1"/>
  <c r="GW10" i="2"/>
  <c r="AA36" i="8"/>
  <c r="AA37" i="8" s="1"/>
  <c r="ER9" i="2" l="1"/>
  <c r="ER3" i="2"/>
  <c r="ER6" i="2"/>
  <c r="ER4" i="2"/>
  <c r="ER5" i="2"/>
  <c r="EY2" i="2"/>
  <c r="ER2" i="2"/>
  <c r="EY31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V9" i="2" l="1"/>
  <c r="EY9" i="2"/>
  <c r="EV8" i="2"/>
  <c r="EV2" i="2"/>
  <c r="EY3" i="2" s="1"/>
  <c r="EY5" i="2" s="1"/>
  <c r="EY12" i="2" s="1"/>
  <c r="EU2" i="2"/>
  <c r="EV6" i="2"/>
  <c r="EV4" i="2"/>
  <c r="EV3" i="2"/>
  <c r="EV5" i="2"/>
  <c r="EU5" i="2"/>
  <c r="EU4" i="2"/>
  <c r="EU6" i="2"/>
  <c r="EU9" i="2"/>
  <c r="EU8" i="2"/>
  <c r="EU3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4" i="2" l="1"/>
  <c r="EY11" i="2" s="1"/>
  <c r="EY6" i="2"/>
  <c r="EY13" i="2" s="1"/>
  <c r="B13" i="9"/>
  <c r="EY28" i="2"/>
  <c r="EY7" i="2"/>
  <c r="EY14" i="2" s="1"/>
  <c r="EY24" i="2"/>
  <c r="B11" i="9"/>
  <c r="EY29" i="2"/>
  <c r="A27" i="1"/>
  <c r="A23" i="2"/>
  <c r="AL23" i="2"/>
  <c r="GW21" i="2"/>
  <c r="B14" i="9" l="1"/>
  <c r="Q5" i="9"/>
  <c r="R5" i="9"/>
  <c r="B15" i="9"/>
  <c r="EY30" i="2"/>
  <c r="EY27" i="2"/>
  <c r="B12" i="9"/>
  <c r="L39" i="8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J14" i="2" l="1"/>
  <c r="A32" i="1"/>
  <c r="AJ17" i="2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5" i="2" l="1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I18" i="5"/>
  <c r="G18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H18" i="5"/>
  <c r="G22" i="5"/>
  <c r="F24" i="5"/>
  <c r="F28" i="5"/>
  <c r="H23" i="5"/>
  <c r="F27" i="5"/>
  <c r="F20" i="5"/>
  <c r="E27" i="5"/>
  <c r="E26" i="5"/>
  <c r="F18" i="5"/>
  <c r="I20" i="5"/>
  <c r="G28" i="5"/>
  <c r="E25" i="5"/>
  <c r="I21" i="5"/>
  <c r="G25" i="5"/>
  <c r="E18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AK17" i="2" l="1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7" i="5" l="1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<sst xmlns="http://schemas.openxmlformats.org/spreadsheetml/2006/main" count="865" uniqueCount="345">
  <si>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</si>
  <si>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</si>
  <si>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</si>
  <si>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</si>
  <si>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</si>
  <si>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</si>
  <si>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</si>
  <si>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</si>
  <si>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</si>
  <si>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</si>
  <si>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</si>
  <si>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</si>
  <si>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Mustaqeem et al. (A)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</si>
  <si>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</si>
  <si>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</si>
  <si>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</si>
  <si>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</si>
  <si>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</si>
  <si>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</si>
  <si>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</si>
  <si>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</si>
  <si>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Mustaqeem et al. (B)</t>
  </si>
  <si>
    <t>Hsu et al.</t>
  </si>
  <si>
    <t>No</t>
  </si>
  <si>
    <t>Van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</si>
  <si>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</si>
  <si>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</si>
  <si>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</si>
  <si>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</si>
  <si>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</si>
  <si>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</si>
  <si>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</si>
  <si>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</si>
  <si>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</si>
  <si>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</si>
  <si>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</si>
  <si>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</si>
  <si>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</si>
  <si>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</si>
  <si>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</si>
  <si>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</si>
  <si>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</si>
  <si>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</si>
  <si>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</si>
  <si>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</si>
  <si>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</si>
  <si>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</si>
  <si>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</si>
  <si>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</si>
  <si>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</si>
  <si>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</si>
  <si>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</si>
  <si>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</si>
  <si>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</si>
  <si>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</si>
  <si>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</si>
  <si>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</si>
  <si>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</si>
  <si>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</si>
  <si>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</si>
  <si>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</si>
  <si>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</si>
  <si>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</si>
  <si>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</si>
  <si>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</si>
  <si>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</si>
  <si>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</si>
  <si>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</si>
  <si>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</si>
  <si>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</si>
  <si>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</si>
  <si>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</si>
  <si>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</si>
  <si>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</si>
  <si>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</si>
  <si>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</si>
  <si>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</si>
  <si>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</si>
  <si>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</si>
  <si>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</si>
  <si>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</si>
  <si>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</si>
  <si>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</si>
  <si>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</si>
  <si>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</si>
  <si>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</si>
  <si>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</si>
  <si>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</si>
  <si>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</si>
  <si>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</si>
  <si>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</si>
  <si>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</si>
  <si>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</si>
  <si>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</si>
  <si>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</si>
  <si>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</si>
  <si>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</si>
  <si>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</si>
  <si>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</si>
  <si>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</si>
  <si>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</si>
  <si>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</si>
  <si>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</si>
  <si>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</si>
  <si>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</si>
  <si>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</si>
  <si>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</si>
  <si>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</si>
  <si>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</si>
  <si>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</si>
  <si>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</si>
  <si>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</si>
  <si>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</si>
  <si>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</si>
  <si>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</si>
  <si>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</si>
  <si>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</si>
  <si>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</si>
  <si>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</si>
  <si>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</si>
  <si>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</si>
  <si>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</si>
  <si>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</si>
  <si>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</si>
  <si>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</si>
  <si>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</si>
  <si>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</si>
  <si>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</si>
  <si>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</si>
  <si>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</si>
  <si>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</si>
  <si>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</si>
  <si>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</si>
  <si>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</si>
  <si>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</si>
  <si>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</si>
  <si>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</si>
  <si>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</si>
  <si>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</si>
  <si>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</si>
  <si>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</si>
  <si>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</si>
  <si>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</si>
  <si>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</si>
  <si>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</si>
  <si>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</si>
  <si>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</si>
  <si>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</si>
  <si>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</si>
  <si>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</si>
  <si>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</si>
  <si>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</si>
  <si>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</si>
  <si>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</si>
  <si>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</si>
  <si>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</si>
  <si>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</si>
  <si>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</si>
  <si>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</si>
  <si>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</si>
  <si>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</si>
  <si>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</si>
  <si>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</si>
  <si>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</si>
  <si>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</si>
  <si>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</si>
  <si>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</si>
  <si>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</si>
  <si>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</si>
  <si>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</si>
  <si>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</si>
  <si>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</si>
  <si>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</si>
  <si>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</si>
  <si>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</si>
  <si>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</si>
  <si>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</si>
  <si>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</si>
  <si>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</si>
  <si>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</si>
  <si>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</si>
  <si>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</si>
  <si>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</si>
  <si>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</si>
  <si>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</si>
  <si>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</si>
  <si>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</si>
  <si>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</si>
  <si>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</si>
  <si>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</si>
  <si>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</si>
  <si>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</si>
  <si>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</si>
  <si>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</si>
  <si>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</si>
  <si>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</si>
  <si>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</si>
  <si>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</si>
  <si>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</si>
  <si>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</si>
  <si>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</si>
  <si>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</si>
  <si>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</si>
  <si>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</si>
  <si>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</si>
  <si>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</si>
  <si>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</si>
  <si>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</si>
  <si>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</si>
  <si>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</si>
  <si>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</si>
  <si>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</si>
  <si>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</si>
  <si>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</si>
  <si>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</si>
  <si>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</si>
  <si>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</si>
  <si>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</si>
  <si>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</si>
  <si>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</si>
  <si>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</si>
  <si>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</si>
  <si>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</si>
  <si>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</si>
  <si>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</si>
  <si>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</si>
  <si>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</si>
  <si>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</si>
  <si>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</si>
  <si>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</si>
  <si>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</si>
  <si>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</si>
  <si>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</si>
  <si>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</si>
  <si>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</si>
  <si>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</si>
  <si>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</si>
  <si>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</si>
  <si>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</si>
  <si>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</si>
  <si>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</si>
  <si>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</si>
  <si>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</si>
  <si>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</si>
  <si>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</si>
  <si>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</si>
  <si>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</si>
  <si>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</si>
  <si>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</si>
  <si>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</si>
  <si>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</si>
  <si>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</si>
  <si>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</si>
  <si>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</si>
  <si>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</si>
  <si>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</si>
  <si>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</si>
  <si>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</si>
  <si>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</si>
  <si>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</si>
  <si>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</si>
  <si>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</si>
  <si>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</si>
  <si>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</si>
  <si>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</si>
  <si>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</si>
  <si>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</si>
  <si>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</si>
  <si>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</si>
  <si>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</si>
  <si>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</si>
  <si>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</si>
  <si>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</si>
  <si>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</si>
  <si>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</si>
  <si>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</si>
  <si>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</si>
  <si>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</si>
  <si>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</si>
  <si>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</si>
  <si>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</si>
  <si>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</si>
  <si>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</si>
  <si>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</si>
  <si>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</si>
  <si>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</si>
  <si>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</si>
  <si>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</si>
  <si>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</si>
  <si>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</si>
  <si>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</si>
  <si>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</si>
  <si>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</si>
  <si>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</si>
  <si>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</si>
  <si>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</si>
  <si>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</si>
  <si>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</si>
  <si>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</si>
  <si>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</si>
  <si>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</si>
  <si>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</si>
  <si>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</si>
  <si>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</si>
  <si>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</si>
  <si>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</si>
  <si>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</si>
  <si>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</si>
  <si>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</si>
  <si>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</si>
  <si>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</si>
  <si>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</si>
  <si>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</si>
  <si>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</si>
  <si>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</si>
  <si>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</si>
  <si>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</si>
  <si>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</si>
  <si>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</si>
  <si>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</si>
  <si>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</si>
  <si>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</si>
  <si>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</si>
  <si>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</si>
  <si>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</si>
  <si>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</si>
  <si>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</si>
  <si>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</si>
  <si>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</si>
  <si>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</si>
  <si>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</si>
  <si>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</si>
  <si>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</si>
  <si>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</si>
  <si>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</si>
  <si>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</si>
  <si>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</si>
  <si>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</si>
  <si>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</si>
  <si>
    <t>Yeh et al.</t>
  </si>
  <si>
    <t>Yildirim et al.</t>
  </si>
  <si>
    <t>Neumann et al.</t>
  </si>
  <si>
    <t>Hazarika et al. (A)</t>
  </si>
  <si>
    <t>English</t>
  </si>
  <si>
    <t xml:space="preserve">Chinese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</si>
</sst>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8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1" fontId="13" fillId="38" borderId="0" xfId="10" applyNumberFormat="1" applyFill="1">
      <protection locked="0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49" fontId="13" fillId="37" borderId="0" xfId="10" applyNumberFormat="1" applyFill="1">
      <protection locked="0"/>
    </xf>
    <xf numFmtId="1" fontId="0" fillId="37" borderId="0" xfId="0" applyNumberFormat="1" applyFill="1"/>
    <xf numFmtId="1" fontId="13" fillId="39" borderId="0" xfId="12" applyNumberFormat="1" applyFill="1"/>
    <xf numFmtId="0" fontId="26" fillId="37" borderId="0" xfId="0" applyFont="1" applyFill="1"/>
    <xf numFmtId="49" fontId="14" fillId="9" borderId="0" xfId="10" applyNumberFormat="1" applyFont="1">
      <protection locked="0"/>
    </xf>
    <xf numFmtId="0" fontId="27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0.50447717013390825</c:v>
                </c:pt>
                <c:pt idx="1">
                  <c:v>0.49552282986609175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0.52105510891234208</c:v>
                  </c:pt>
                  <c:pt idx="9">
                    <c:v>0.74175108320563532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0.35904641540766868</c:v>
                  </c:pt>
                  <c:pt idx="9">
                    <c:v>0.50845619386372509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1.1547711733101051</c:v>
                </c:pt>
                <c:pt idx="9">
                  <c:v>1.6166146357723934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0.50447717013390825</c:v>
                </c:pt>
                <c:pt idx="9">
                  <c:v>0.49552282986609175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20.891449738947145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1.2806315395003767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0.50447717013390825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10.199931553355135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1.2033142205997929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0.50447717013390825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0.52105510891234208</c:v>
                  </c:pt>
                  <c:pt idx="9">
                    <c:v>0.74175108320563532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0.35904641540766868</c:v>
                  </c:pt>
                  <c:pt idx="9">
                    <c:v>0.50845619386372509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1.1547711733101051</c:v>
                </c:pt>
                <c:pt idx="9">
                  <c:v>1.6166146357723934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0.50447717013390825</c:v>
                </c:pt>
                <c:pt idx="9">
                  <c:v>0.49552282986609175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20.891449738947145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1.2806315395003767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0.50447717013390825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10.199931553355135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1.2033142205997929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0.50447717013390825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0.52105510703820301</c:v>
                  </c:pt>
                  <c:pt idx="9">
                    <c:v>0.74175106368387822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0.35904641451777997</c:v>
                  </c:pt>
                  <c:pt idx="9">
                    <c:v>0.5084561846907627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1.1547711733101051</c:v>
                </c:pt>
                <c:pt idx="9">
                  <c:v>1.6166146357723934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</c:v>
                </c:pt>
                <c:pt idx="9">
                  <c:v>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0.50447717013390825</c:v>
                </c:pt>
                <c:pt idx="9">
                  <c:v>0.49552282986609175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20.891449738947145</c:v>
                  </c:pt>
                  <c:pt idx="1">
                    <c:v>20.891449738947145</c:v>
                  </c:pt>
                  <c:pt idx="2">
                    <c:v>20.891449738947145</c:v>
                  </c:pt>
                  <c:pt idx="3">
                    <c:v>20.891449738947145</c:v>
                  </c:pt>
                  <c:pt idx="4">
                    <c:v>20.891449738947145</c:v>
                  </c:pt>
                  <c:pt idx="5">
                    <c:v>0</c:v>
                  </c:pt>
                  <c:pt idx="6">
                    <c:v>20.891449738947145</c:v>
                  </c:pt>
                  <c:pt idx="7">
                    <c:v>20.891449738947145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1.2806315395003767</c:v>
                  </c:pt>
                  <c:pt idx="1">
                    <c:v>1.2806315395003767</c:v>
                  </c:pt>
                  <c:pt idx="2">
                    <c:v>1.2806315395003767</c:v>
                  </c:pt>
                  <c:pt idx="3">
                    <c:v>1.2806315395003767</c:v>
                  </c:pt>
                  <c:pt idx="4">
                    <c:v>1.2806315395003767</c:v>
                  </c:pt>
                  <c:pt idx="5">
                    <c:v>0</c:v>
                  </c:pt>
                  <c:pt idx="6">
                    <c:v>1.2806315395003767</c:v>
                  </c:pt>
                  <c:pt idx="7">
                    <c:v>1.2806315395003767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1.3642597248868167</c:v>
                </c:pt>
                <c:pt idx="1">
                  <c:v>1.3642597248868167</c:v>
                </c:pt>
                <c:pt idx="2">
                  <c:v>1.3642597248868167</c:v>
                </c:pt>
                <c:pt idx="3">
                  <c:v>1.3642597248868167</c:v>
                </c:pt>
                <c:pt idx="4">
                  <c:v>1.3642597248868167</c:v>
                </c:pt>
                <c:pt idx="5">
                  <c:v>#N/A</c:v>
                </c:pt>
                <c:pt idx="6">
                  <c:v>1.3642597248868167</c:v>
                </c:pt>
                <c:pt idx="7">
                  <c:v>1.3642597248868167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0.14285714285714285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0.14285714285714285</c:v>
                </c:pt>
                <c:pt idx="7">
                  <c:v>0.14285714285714285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10.199931553355135</c:v>
                  </c:pt>
                  <c:pt idx="1">
                    <c:v>10.199931553355135</c:v>
                  </c:pt>
                  <c:pt idx="2">
                    <c:v>10.199931553355135</c:v>
                  </c:pt>
                  <c:pt idx="3">
                    <c:v>10.199931553355135</c:v>
                  </c:pt>
                  <c:pt idx="4">
                    <c:v>10.199931553355135</c:v>
                  </c:pt>
                  <c:pt idx="5">
                    <c:v>0</c:v>
                  </c:pt>
                  <c:pt idx="6">
                    <c:v>10.199931553355135</c:v>
                  </c:pt>
                  <c:pt idx="7">
                    <c:v>10.199931553355135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1.2033142205997929</c:v>
                  </c:pt>
                  <c:pt idx="1">
                    <c:v>1.2033142205997929</c:v>
                  </c:pt>
                  <c:pt idx="2">
                    <c:v>1.2033142205997929</c:v>
                  </c:pt>
                  <c:pt idx="3">
                    <c:v>1.2033142205997929</c:v>
                  </c:pt>
                  <c:pt idx="4">
                    <c:v>1.2033142205997929</c:v>
                  </c:pt>
                  <c:pt idx="5">
                    <c:v>0</c:v>
                  </c:pt>
                  <c:pt idx="6">
                    <c:v>1.2033142205997929</c:v>
                  </c:pt>
                  <c:pt idx="7">
                    <c:v>1.2033142205997929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1.3642597248868167</c:v>
                </c:pt>
                <c:pt idx="1">
                  <c:v>1.3642597248868167</c:v>
                </c:pt>
                <c:pt idx="2">
                  <c:v>1.3642597248868167</c:v>
                </c:pt>
                <c:pt idx="3">
                  <c:v>1.3642597248868167</c:v>
                </c:pt>
                <c:pt idx="4">
                  <c:v>1.3642597248868167</c:v>
                </c:pt>
                <c:pt idx="5">
                  <c:v>#N/A</c:v>
                </c:pt>
                <c:pt idx="6">
                  <c:v>1.3642597248868167</c:v>
                </c:pt>
                <c:pt idx="7">
                  <c:v>1.3642597248868167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0.14285714285714285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0.14285714285714285</c:v>
                </c:pt>
                <c:pt idx="7">
                  <c:v>0.14285714285714285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0.14285714285714285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0.14285714285714285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0.52105510703820301</c:v>
                  </c:pt>
                  <c:pt idx="9">
                    <c:v>0.74175106368387822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0.35904641451777997</c:v>
                  </c:pt>
                  <c:pt idx="9">
                    <c:v>0.5084561846907627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1.1547711733101051</c:v>
                </c:pt>
                <c:pt idx="9">
                  <c:v>1.6166146357723934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</c:v>
                </c:pt>
                <c:pt idx="9">
                  <c:v>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0.50447717013390825</c:v>
                </c:pt>
                <c:pt idx="9">
                  <c:v>0.49552282986609175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20.891449738947145</c:v>
                  </c:pt>
                  <c:pt idx="1">
                    <c:v>20.891449738947145</c:v>
                  </c:pt>
                  <c:pt idx="2">
                    <c:v>20.891449738947145</c:v>
                  </c:pt>
                  <c:pt idx="3">
                    <c:v>20.891449738947145</c:v>
                  </c:pt>
                  <c:pt idx="4">
                    <c:v>20.891449738947145</c:v>
                  </c:pt>
                  <c:pt idx="5">
                    <c:v>0</c:v>
                  </c:pt>
                  <c:pt idx="6">
                    <c:v>20.891449738947145</c:v>
                  </c:pt>
                  <c:pt idx="7">
                    <c:v>20.891449738947145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1.2806315395003767</c:v>
                  </c:pt>
                  <c:pt idx="1">
                    <c:v>1.2806315395003767</c:v>
                  </c:pt>
                  <c:pt idx="2">
                    <c:v>1.2806315395003767</c:v>
                  </c:pt>
                  <c:pt idx="3">
                    <c:v>1.2806315395003767</c:v>
                  </c:pt>
                  <c:pt idx="4">
                    <c:v>1.2806315395003767</c:v>
                  </c:pt>
                  <c:pt idx="5">
                    <c:v>0</c:v>
                  </c:pt>
                  <c:pt idx="6">
                    <c:v>1.2806315395003767</c:v>
                  </c:pt>
                  <c:pt idx="7">
                    <c:v>1.2806315395003767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1.3642597248868167</c:v>
                </c:pt>
                <c:pt idx="1">
                  <c:v>1.3642597248868167</c:v>
                </c:pt>
                <c:pt idx="2">
                  <c:v>1.3642597248868167</c:v>
                </c:pt>
                <c:pt idx="3">
                  <c:v>1.3642597248868167</c:v>
                </c:pt>
                <c:pt idx="4">
                  <c:v>1.3642597248868167</c:v>
                </c:pt>
                <c:pt idx="5">
                  <c:v>#N/A</c:v>
                </c:pt>
                <c:pt idx="6">
                  <c:v>1.3642597248868167</c:v>
                </c:pt>
                <c:pt idx="7">
                  <c:v>1.3642597248868167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0.14285714285714285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0.14285714285714285</c:v>
                </c:pt>
                <c:pt idx="7">
                  <c:v>0.14285714285714285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10.199931553355135</c:v>
                  </c:pt>
                  <c:pt idx="1">
                    <c:v>10.199931553355135</c:v>
                  </c:pt>
                  <c:pt idx="2">
                    <c:v>10.199931553355135</c:v>
                  </c:pt>
                  <c:pt idx="3">
                    <c:v>10.199931553355135</c:v>
                  </c:pt>
                  <c:pt idx="4">
                    <c:v>10.199931553355135</c:v>
                  </c:pt>
                  <c:pt idx="5">
                    <c:v>0</c:v>
                  </c:pt>
                  <c:pt idx="6">
                    <c:v>10.199931553355135</c:v>
                  </c:pt>
                  <c:pt idx="7">
                    <c:v>10.199931553355135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1.2033142205997929</c:v>
                  </c:pt>
                  <c:pt idx="1">
                    <c:v>1.2033142205997929</c:v>
                  </c:pt>
                  <c:pt idx="2">
                    <c:v>1.2033142205997929</c:v>
                  </c:pt>
                  <c:pt idx="3">
                    <c:v>1.2033142205997929</c:v>
                  </c:pt>
                  <c:pt idx="4">
                    <c:v>1.2033142205997929</c:v>
                  </c:pt>
                  <c:pt idx="5">
                    <c:v>0</c:v>
                  </c:pt>
                  <c:pt idx="6">
                    <c:v>1.2033142205997929</c:v>
                  </c:pt>
                  <c:pt idx="7">
                    <c:v>1.2033142205997929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1.3642597248868167</c:v>
                </c:pt>
                <c:pt idx="1">
                  <c:v>1.3642597248868167</c:v>
                </c:pt>
                <c:pt idx="2">
                  <c:v>1.3642597248868167</c:v>
                </c:pt>
                <c:pt idx="3">
                  <c:v>1.3642597248868167</c:v>
                </c:pt>
                <c:pt idx="4">
                  <c:v>1.3642597248868167</c:v>
                </c:pt>
                <c:pt idx="5">
                  <c:v>#N/A</c:v>
                </c:pt>
                <c:pt idx="6">
                  <c:v>1.3642597248868167</c:v>
                </c:pt>
                <c:pt idx="7">
                  <c:v>1.3642597248868167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0.14285714285714285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0.14285714285714285</c:v>
                </c:pt>
                <c:pt idx="7">
                  <c:v>0.14285714285714285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0.14285714285714285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0.14285714285714285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20.891449738947145</c:v>
                  </c:pt>
                  <c:pt idx="1">
                    <c:v>20.891449738947145</c:v>
                  </c:pt>
                  <c:pt idx="2">
                    <c:v>20.891449738947145</c:v>
                  </c:pt>
                  <c:pt idx="3">
                    <c:v>20.891449738947145</c:v>
                  </c:pt>
                  <c:pt idx="4">
                    <c:v>20.891449738947145</c:v>
                  </c:pt>
                  <c:pt idx="5">
                    <c:v>0</c:v>
                  </c:pt>
                  <c:pt idx="6">
                    <c:v>20.891449738947145</c:v>
                  </c:pt>
                  <c:pt idx="7">
                    <c:v>20.891449738947145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1.2806315395003767</c:v>
                  </c:pt>
                  <c:pt idx="1">
                    <c:v>1.2806315395003767</c:v>
                  </c:pt>
                  <c:pt idx="2">
                    <c:v>1.2806315395003767</c:v>
                  </c:pt>
                  <c:pt idx="3">
                    <c:v>1.2806315395003767</c:v>
                  </c:pt>
                  <c:pt idx="4">
                    <c:v>1.2806315395003767</c:v>
                  </c:pt>
                  <c:pt idx="5">
                    <c:v>0</c:v>
                  </c:pt>
                  <c:pt idx="6">
                    <c:v>1.2806315395003767</c:v>
                  </c:pt>
                  <c:pt idx="7">
                    <c:v>1.2806315395003767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1.3642597248868167</c:v>
                </c:pt>
                <c:pt idx="1">
                  <c:v>1.3642597248868167</c:v>
                </c:pt>
                <c:pt idx="2">
                  <c:v>1.3642597248868167</c:v>
                </c:pt>
                <c:pt idx="3">
                  <c:v>1.3642597248868167</c:v>
                </c:pt>
                <c:pt idx="4">
                  <c:v>1.3642597248868167</c:v>
                </c:pt>
                <c:pt idx="5">
                  <c:v>#N/A</c:v>
                </c:pt>
                <c:pt idx="6">
                  <c:v>1.3642597248868167</c:v>
                </c:pt>
                <c:pt idx="7">
                  <c:v>1.3642597248868167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0.14285714285714285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0.14285714285714285</c:v>
                </c:pt>
                <c:pt idx="7">
                  <c:v>0.14285714285714285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10.199931553355135</c:v>
                  </c:pt>
                  <c:pt idx="1">
                    <c:v>10.199931553355135</c:v>
                  </c:pt>
                  <c:pt idx="2">
                    <c:v>10.199931553355135</c:v>
                  </c:pt>
                  <c:pt idx="3">
                    <c:v>10.199931553355135</c:v>
                  </c:pt>
                  <c:pt idx="4">
                    <c:v>10.199931553355135</c:v>
                  </c:pt>
                  <c:pt idx="5">
                    <c:v>0</c:v>
                  </c:pt>
                  <c:pt idx="6">
                    <c:v>10.199931553355135</c:v>
                  </c:pt>
                  <c:pt idx="7">
                    <c:v>10.199931553355135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1.2033142205997929</c:v>
                  </c:pt>
                  <c:pt idx="1">
                    <c:v>1.2033142205997929</c:v>
                  </c:pt>
                  <c:pt idx="2">
                    <c:v>1.2033142205997929</c:v>
                  </c:pt>
                  <c:pt idx="3">
                    <c:v>1.2033142205997929</c:v>
                  </c:pt>
                  <c:pt idx="4">
                    <c:v>1.2033142205997929</c:v>
                  </c:pt>
                  <c:pt idx="5">
                    <c:v>0</c:v>
                  </c:pt>
                  <c:pt idx="6">
                    <c:v>1.2033142205997929</c:v>
                  </c:pt>
                  <c:pt idx="7">
                    <c:v>1.2033142205997929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1.3642597248868167</c:v>
                </c:pt>
                <c:pt idx="1">
                  <c:v>1.3642597248868167</c:v>
                </c:pt>
                <c:pt idx="2">
                  <c:v>1.3642597248868167</c:v>
                </c:pt>
                <c:pt idx="3">
                  <c:v>1.3642597248868167</c:v>
                </c:pt>
                <c:pt idx="4">
                  <c:v>1.3642597248868167</c:v>
                </c:pt>
                <c:pt idx="5">
                  <c:v>#N/A</c:v>
                </c:pt>
                <c:pt idx="6">
                  <c:v>1.3642597248868167</c:v>
                </c:pt>
                <c:pt idx="7">
                  <c:v>1.3642597248868167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0.14285714285714285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0.14285714285714285</c:v>
                </c:pt>
                <c:pt idx="7">
                  <c:v>0.14285714285714285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0.14285714285714285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0.14285714285714285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20.891449738947145</c:v>
                  </c:pt>
                  <c:pt idx="1">
                    <c:v>20.891449738947145</c:v>
                  </c:pt>
                  <c:pt idx="2">
                    <c:v>20.891449738947145</c:v>
                  </c:pt>
                  <c:pt idx="3">
                    <c:v>20.891449738947145</c:v>
                  </c:pt>
                  <c:pt idx="4">
                    <c:v>20.891449738947145</c:v>
                  </c:pt>
                  <c:pt idx="5">
                    <c:v>0</c:v>
                  </c:pt>
                  <c:pt idx="6">
                    <c:v>20.891449738947145</c:v>
                  </c:pt>
                  <c:pt idx="7">
                    <c:v>20.891449738947145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1.2806315395003767</c:v>
                  </c:pt>
                  <c:pt idx="1">
                    <c:v>1.2806315395003767</c:v>
                  </c:pt>
                  <c:pt idx="2">
                    <c:v>1.2806315395003767</c:v>
                  </c:pt>
                  <c:pt idx="3">
                    <c:v>1.2806315395003767</c:v>
                  </c:pt>
                  <c:pt idx="4">
                    <c:v>1.2806315395003767</c:v>
                  </c:pt>
                  <c:pt idx="5">
                    <c:v>0</c:v>
                  </c:pt>
                  <c:pt idx="6">
                    <c:v>1.2806315395003767</c:v>
                  </c:pt>
                  <c:pt idx="7">
                    <c:v>1.2806315395003767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1.3642597248868167</c:v>
                </c:pt>
                <c:pt idx="1">
                  <c:v>1.3642597248868167</c:v>
                </c:pt>
                <c:pt idx="2">
                  <c:v>1.3642597248868167</c:v>
                </c:pt>
                <c:pt idx="3">
                  <c:v>1.3642597248868167</c:v>
                </c:pt>
                <c:pt idx="4">
                  <c:v>1.3642597248868167</c:v>
                </c:pt>
                <c:pt idx="5">
                  <c:v>#N/A</c:v>
                </c:pt>
                <c:pt idx="6">
                  <c:v>1.3642597248868167</c:v>
                </c:pt>
                <c:pt idx="7">
                  <c:v>1.3642597248868167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0.14285714285714285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0.14285714285714285</c:v>
                </c:pt>
                <c:pt idx="7">
                  <c:v>0.14285714285714285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10.199931553355135</c:v>
                  </c:pt>
                  <c:pt idx="1">
                    <c:v>10.199931553355135</c:v>
                  </c:pt>
                  <c:pt idx="2">
                    <c:v>10.199931553355135</c:v>
                  </c:pt>
                  <c:pt idx="3">
                    <c:v>10.199931553355135</c:v>
                  </c:pt>
                  <c:pt idx="4">
                    <c:v>10.199931553355135</c:v>
                  </c:pt>
                  <c:pt idx="5">
                    <c:v>0</c:v>
                  </c:pt>
                  <c:pt idx="6">
                    <c:v>10.199931553355135</c:v>
                  </c:pt>
                  <c:pt idx="7">
                    <c:v>10.199931553355135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1.2033142205997929</c:v>
                  </c:pt>
                  <c:pt idx="1">
                    <c:v>1.2033142205997929</c:v>
                  </c:pt>
                  <c:pt idx="2">
                    <c:v>1.2033142205997929</c:v>
                  </c:pt>
                  <c:pt idx="3">
                    <c:v>1.2033142205997929</c:v>
                  </c:pt>
                  <c:pt idx="4">
                    <c:v>1.2033142205997929</c:v>
                  </c:pt>
                  <c:pt idx="5">
                    <c:v>0</c:v>
                  </c:pt>
                  <c:pt idx="6">
                    <c:v>1.2033142205997929</c:v>
                  </c:pt>
                  <c:pt idx="7">
                    <c:v>1.2033142205997929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1.3642597248868167</c:v>
                </c:pt>
                <c:pt idx="1">
                  <c:v>1.3642597248868167</c:v>
                </c:pt>
                <c:pt idx="2">
                  <c:v>1.3642597248868167</c:v>
                </c:pt>
                <c:pt idx="3">
                  <c:v>1.3642597248868167</c:v>
                </c:pt>
                <c:pt idx="4">
                  <c:v>1.3642597248868167</c:v>
                </c:pt>
                <c:pt idx="5">
                  <c:v>#N/A</c:v>
                </c:pt>
                <c:pt idx="6">
                  <c:v>1.3642597248868167</c:v>
                </c:pt>
                <c:pt idx="7">
                  <c:v>1.3642597248868167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0.14285714285714285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0.14285714285714285</c:v>
                </c:pt>
                <c:pt idx="7">
                  <c:v>0.14285714285714285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0.14285714285714285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1.3642597248868167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0.14285714285714285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5.1797987847395158E-3</c:v>
                </c:pt>
                <c:pt idx="9">
                  <c:v>1.1793855302279485E-2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5.976690905468672E-3</c:v>
                </c:pt>
                <c:pt idx="9">
                  <c:v>1.8928466293788637E-2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27.702537295121299</c:v>
                </c:pt>
                <c:pt idx="9">
                  <c:v>26.945980063062656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1.1793855302279485E-2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1.1793855302279485E-2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1.1793855302279485E-2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1.603761163367964E-2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5.2633199879088961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1.6305208813314858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5.2633199879088961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-11.075683854843209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5.2633199879088961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14.336725617506179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5.2633199879088961</c:v>
                </c:pt>
                <c:pt idx="9">
                  <c:v>5.190951749252025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0.75740335714132823</c:v>
                </c:pt>
                <c:pt idx="9">
                  <c:v>2.4933918202949612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0.14390220599949552</c:v>
                </c:pt>
                <c:pt idx="9">
                  <c:v>0.48033423170505085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0.18999414861669803</c:v>
                </c:pt>
                <c:pt idx="9">
                  <c:v>0.19264290024350392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-2.6275227311070024</c:v>
                </c:pt>
                <c:pt idx="1">
                  <c:v>0.30978942665032372</c:v>
                </c:pt>
                <c:pt idx="2">
                  <c:v>3.2471015844076501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0.23117148029220469</c:v>
                </c:pt>
                <c:pt idx="1">
                  <c:v>0</c:v>
                </c:pt>
                <c:pt idx="2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0.30978942665032372</c:v>
                </c:pt>
                <c:pt idx="1">
                  <c:v>0.30978942665032372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2.4862468282023404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2.4862468282023404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0.30978942665032372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0.21190719026785432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1.7188051923282557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1.7188051923282557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0.30978942665032372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0.21190719026785432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2.4862468282023404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2.4862468282023404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0.30978942665032372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1.7188051923282557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1.7188051923282557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0.30978942665032372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-0.56594882193286311</c:v>
                </c:pt>
                <c:pt idx="9">
                  <c:v>0.56594882193286311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0.75740335714132823</c:v>
                </c:pt>
                <c:pt idx="9">
                  <c:v>2.4933918202949612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0.75740335714132823</c:v>
                </c:pt>
                <c:pt idx="1">
                  <c:v>2.4933918202949612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1.6253975887181447</c:v>
                </c:pt>
                <c:pt idx="1">
                  <c:v>1.6253975887181447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-1.05</c:v>
                </c:pt>
                <c:pt idx="2">
                  <c:v>-1.05; -0.75</c:v>
                </c:pt>
                <c:pt idx="3">
                  <c:v>-0.75; -0.45</c:v>
                </c:pt>
                <c:pt idx="4">
                  <c:v>-0.45; -0.15</c:v>
                </c:pt>
                <c:pt idx="5">
                  <c:v>-0.15; 0.15</c:v>
                </c:pt>
                <c:pt idx="6">
                  <c:v>0.15; 0.45</c:v>
                </c:pt>
                <c:pt idx="7">
                  <c:v>0.45; 0.75</c:v>
                </c:pt>
                <c:pt idx="8">
                  <c:v>0.75; 1.05</c:v>
                </c:pt>
                <c:pt idx="9">
                  <c:v>1.05;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-1.05</c:v>
                </c:pt>
                <c:pt idx="2">
                  <c:v>-1.05; -0.75</c:v>
                </c:pt>
                <c:pt idx="3">
                  <c:v>-0.75; -0.45</c:v>
                </c:pt>
                <c:pt idx="4">
                  <c:v>-0.45; -0.15</c:v>
                </c:pt>
                <c:pt idx="5">
                  <c:v>-0.15; 0.15</c:v>
                </c:pt>
                <c:pt idx="6">
                  <c:v>0.15; 0.45</c:v>
                </c:pt>
                <c:pt idx="7">
                  <c:v>0.45; 0.75</c:v>
                </c:pt>
                <c:pt idx="8">
                  <c:v>0.75; 1.05</c:v>
                </c:pt>
                <c:pt idx="9">
                  <c:v>1.05;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0.14685905637589594</c:v>
                </c:pt>
                <c:pt idx="2">
                  <c:v>7.9768296000972266E-2</c:v>
                </c:pt>
                <c:pt idx="3">
                  <c:v>9.9727867911051815E-2</c:v>
                </c:pt>
                <c:pt idx="4">
                  <c:v>0.11402708734183747</c:v>
                </c:pt>
                <c:pt idx="5">
                  <c:v>0.11923538474048501</c:v>
                </c:pt>
                <c:pt idx="6">
                  <c:v>0.11402708734183742</c:v>
                </c:pt>
                <c:pt idx="7">
                  <c:v>9.9727867911051815E-2</c:v>
                </c:pt>
                <c:pt idx="8">
                  <c:v>7.976829600097235E-2</c:v>
                </c:pt>
                <c:pt idx="9">
                  <c:v>0.14685905637589591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384175</xdr:colOff>
      <xdr:row>1</xdr:row>
      <xdr:rowOff>76200</xdr:rowOff>
    </xdr:from>
    <xdr:to>
      <xdr:col>11</xdr:col>
      <xdr:colOff>4800600</xdr:colOff>
      <xdr:row>204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1009650</xdr:colOff>
      <xdr:row>2</xdr:row>
      <xdr:rowOff>61030</xdr:rowOff>
    </xdr:from>
    <xdr:to>
      <xdr:col>17</xdr:col>
      <xdr:colOff>541161</xdr:colOff>
      <xdr:row>29</xdr:row>
      <xdr:rowOff>10582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E14" sqref="E14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9" t="str">
        <f>IF(AND(Sufficient_data="Yes",Include_study?="Yes"),1,"")</f>
        <v/>
      </c>
      <c r="B2" s="111" t="s">
        <v>339</v>
      </c>
      <c r="C2" s="5" t="s">
        <v>23</v>
      </c>
      <c r="D2" s="27">
        <v>65</v>
      </c>
      <c r="E2" s="27"/>
      <c r="F2" s="27">
        <v>75</v>
      </c>
      <c r="G2" s="27"/>
      <c r="H2" s="27">
        <v>2392</v>
      </c>
      <c r="I2" s="27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343</v>
      </c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3" x14ac:dyDescent="0.35">
      <c r="A3" s="109" t="str">
        <f>IF(AND(Sufficient_data="Yes",Include_study?="Yes"),COUNT(A$2:A2)+1,"")</f>
        <v/>
      </c>
      <c r="B3" s="111" t="s">
        <v>339</v>
      </c>
      <c r="C3" s="5" t="s">
        <v>23</v>
      </c>
      <c r="D3" s="27">
        <v>40</v>
      </c>
      <c r="E3" s="27"/>
      <c r="F3" s="27">
        <v>41</v>
      </c>
      <c r="G3" s="27"/>
      <c r="H3" s="27">
        <v>8744</v>
      </c>
      <c r="I3" s="27">
        <v>1305</v>
      </c>
      <c r="J3" s="3" t="str">
        <f t="shared" si="0"/>
        <v>Yes</v>
      </c>
      <c r="K3" s="5" t="s">
        <v>343</v>
      </c>
      <c r="L3" s="27"/>
      <c r="N3" s="2" t="s">
        <v>17</v>
      </c>
      <c r="O3" s="3" t="s">
        <v>3</v>
      </c>
      <c r="P3" s="3" t="s">
        <v>4</v>
      </c>
      <c r="Q3" s="3" t="s">
        <v>18</v>
      </c>
      <c r="S3" s="92"/>
      <c r="T3" s="92"/>
    </row>
    <row r="4" spans="1:20" ht="13" x14ac:dyDescent="0.35">
      <c r="A4" s="109" t="str">
        <f>IF(AND(Sufficient_data="Yes",Include_study?="Yes"),COUNT(A$2:A3)+1,"")</f>
        <v/>
      </c>
      <c r="B4" s="111" t="s">
        <v>339</v>
      </c>
      <c r="C4" s="5" t="s">
        <v>23</v>
      </c>
      <c r="D4" s="27">
        <v>63</v>
      </c>
      <c r="E4" s="27"/>
      <c r="F4" s="27">
        <v>73</v>
      </c>
      <c r="G4" s="27"/>
      <c r="H4" s="27">
        <v>2392</v>
      </c>
      <c r="I4" s="93">
        <v>2187</v>
      </c>
      <c r="J4" s="3" t="str">
        <f t="shared" si="0"/>
        <v>Yes</v>
      </c>
      <c r="K4" s="5" t="s">
        <v>343</v>
      </c>
      <c r="L4" s="27"/>
      <c r="N4" s="2" t="s">
        <v>19</v>
      </c>
      <c r="O4" s="3" t="s">
        <v>5</v>
      </c>
      <c r="P4" s="3" t="s">
        <v>6</v>
      </c>
      <c r="Q4" s="3" t="s">
        <v>20</v>
      </c>
      <c r="S4" s="92"/>
      <c r="T4" s="92"/>
    </row>
    <row r="5" spans="1:20" x14ac:dyDescent="0.3">
      <c r="A5" s="109" t="str">
        <f>IF(AND(Sufficient_data="Yes",Include_study?="Yes"),COUNT(A$2:A4)+1,"")</f>
        <v/>
      </c>
      <c r="B5" s="94" t="s">
        <v>12</v>
      </c>
      <c r="C5" s="5" t="s">
        <v>23</v>
      </c>
      <c r="D5" s="27">
        <v>72</v>
      </c>
      <c r="E5" s="27"/>
      <c r="F5" s="27">
        <v>91</v>
      </c>
      <c r="G5" s="27"/>
      <c r="H5" s="27">
        <v>3344</v>
      </c>
      <c r="I5" s="27">
        <v>2187</v>
      </c>
      <c r="J5" s="3" t="str">
        <f t="shared" si="0"/>
        <v>Yes</v>
      </c>
      <c r="K5" s="5" t="s">
        <v>343</v>
      </c>
      <c r="L5" s="27"/>
      <c r="S5" s="92"/>
      <c r="T5" s="92"/>
    </row>
    <row r="6" spans="1:20" x14ac:dyDescent="0.3">
      <c r="A6" s="109" t="str">
        <f>IF(AND(Sufficient_data="Yes",Include_study?="Yes"),COUNT(A$2:A5)+1,"")</f>
        <v/>
      </c>
      <c r="B6" s="94" t="s">
        <v>21</v>
      </c>
      <c r="C6" s="5" t="s">
        <v>23</v>
      </c>
      <c r="D6" s="27">
        <v>70</v>
      </c>
      <c r="E6" s="27"/>
      <c r="F6" s="27">
        <v>82</v>
      </c>
      <c r="G6" s="27"/>
      <c r="H6" s="27">
        <v>3344</v>
      </c>
      <c r="I6" s="27">
        <v>2187</v>
      </c>
      <c r="J6" s="3" t="str">
        <f t="shared" si="0"/>
        <v>Yes</v>
      </c>
      <c r="K6" s="5" t="s">
        <v>343</v>
      </c>
      <c r="L6" s="27"/>
      <c r="S6" s="92"/>
      <c r="T6" s="92"/>
    </row>
    <row r="7" spans="1:20" x14ac:dyDescent="0.3">
      <c r="A7" s="109" t="str">
        <f>IF(AND(Sufficient_data="Yes",Include_study?="Yes"),COUNT(A$2:A6)+1,"")</f>
        <v/>
      </c>
      <c r="B7" s="111" t="s">
        <v>22</v>
      </c>
      <c r="C7" s="5" t="s">
        <v>23</v>
      </c>
      <c r="D7" s="27">
        <v>62</v>
      </c>
      <c r="E7" s="27"/>
      <c r="F7" s="27">
        <v>66</v>
      </c>
      <c r="G7" s="27"/>
      <c r="H7" s="27">
        <v>3404</v>
      </c>
      <c r="I7" s="27">
        <v>2529</v>
      </c>
      <c r="J7" s="3" t="str">
        <f t="shared" si="0"/>
        <v>Yes</v>
      </c>
      <c r="K7" s="5" t="s">
        <v>344</v>
      </c>
      <c r="L7" s="27"/>
      <c r="S7" s="92"/>
      <c r="T7" s="92"/>
    </row>
    <row r="8" spans="1:20" x14ac:dyDescent="0.3">
      <c r="A8" s="109" t="str">
        <f>IF(AND(Sufficient_data="Yes",Include_study?="Yes"),COUNT(A$2:A7)+1,"")</f>
        <v/>
      </c>
      <c r="B8" s="12" t="s">
        <v>340</v>
      </c>
      <c r="C8" s="5" t="s">
        <v>23</v>
      </c>
      <c r="D8" s="27">
        <v>56</v>
      </c>
      <c r="E8" s="27"/>
      <c r="F8" s="27">
        <v>64</v>
      </c>
      <c r="G8" s="27"/>
      <c r="H8" s="27">
        <v>3344</v>
      </c>
      <c r="I8" s="27">
        <v>2187</v>
      </c>
      <c r="J8" s="3" t="str">
        <f t="shared" si="0"/>
        <v>Yes</v>
      </c>
      <c r="K8" s="5" t="s">
        <v>343</v>
      </c>
      <c r="L8" s="27"/>
      <c r="S8" s="92"/>
      <c r="T8" s="92"/>
    </row>
    <row r="9" spans="1:20" s="98" customFormat="1" x14ac:dyDescent="0.3">
      <c r="A9" s="109" t="str">
        <f>IF(AND(Sufficient_data="Yes",Include_study?="Yes"),COUNT(A$2:A8)+1,"")</f>
        <v/>
      </c>
      <c r="B9" s="12" t="s">
        <v>24</v>
      </c>
      <c r="C9" s="5" t="s">
        <v>23</v>
      </c>
      <c r="D9" s="27">
        <v>65</v>
      </c>
      <c r="E9" s="27"/>
      <c r="F9" s="27">
        <v>84</v>
      </c>
      <c r="G9" s="27"/>
      <c r="H9" s="27">
        <v>2646</v>
      </c>
      <c r="I9" s="27">
        <v>2089</v>
      </c>
      <c r="J9" s="100" t="str">
        <f t="shared" si="0"/>
        <v>Yes</v>
      </c>
      <c r="K9" s="99" t="s">
        <v>343</v>
      </c>
      <c r="L9" s="97"/>
    </row>
    <row r="10" spans="1:20" s="98" customFormat="1" x14ac:dyDescent="0.3">
      <c r="A10" s="109">
        <f>IF(AND(Sufficient_data="Yes",Include_study?="Yes"),COUNT(A$2:A9)+1,"")</f>
        <v>1</v>
      </c>
      <c r="B10" s="94" t="s">
        <v>341</v>
      </c>
      <c r="C10" s="5" t="s">
        <v>13</v>
      </c>
      <c r="D10" s="101">
        <v>60</v>
      </c>
      <c r="E10" s="101"/>
      <c r="F10" s="101">
        <v>52</v>
      </c>
      <c r="G10" s="101"/>
      <c r="H10" s="101">
        <v>10039</v>
      </c>
      <c r="I10" s="101">
        <v>10039</v>
      </c>
      <c r="J10" s="100" t="s">
        <v>13</v>
      </c>
      <c r="K10" s="99" t="s">
        <v>343</v>
      </c>
      <c r="L10" s="97"/>
    </row>
    <row r="11" spans="1:20" s="98" customFormat="1" x14ac:dyDescent="0.3">
      <c r="A11" s="109">
        <f>IF(AND(Sufficient_data="Yes",Include_study?="Yes"),COUNT(A$2:A10)+1,"")</f>
        <v>2</v>
      </c>
      <c r="B11" s="94" t="s">
        <v>342</v>
      </c>
      <c r="C11" s="5" t="s">
        <v>13</v>
      </c>
      <c r="D11" s="101">
        <v>64.3</v>
      </c>
      <c r="E11" s="101"/>
      <c r="F11" s="101">
        <v>47.6</v>
      </c>
      <c r="G11" s="101"/>
      <c r="H11" s="101">
        <v>3397</v>
      </c>
      <c r="I11" s="101">
        <v>4036</v>
      </c>
      <c r="J11" s="100" t="s">
        <v>13</v>
      </c>
      <c r="K11" s="99" t="s">
        <v>343</v>
      </c>
      <c r="L11" s="97"/>
    </row>
    <row r="12" spans="1:20" s="94" customFormat="1" x14ac:dyDescent="0.3">
      <c r="A12" s="109" t="str">
        <f>IF(AND(Sufficient_data="Yes",Include_study?="Yes"),COUNT(A$2:A11)+1,"")</f>
        <v/>
      </c>
      <c r="B12" s="107"/>
      <c r="C12" s="5" t="s">
        <v>23</v>
      </c>
      <c r="D12" s="101"/>
      <c r="E12" s="101"/>
      <c r="F12" s="101"/>
      <c r="G12" s="101"/>
      <c r="H12" s="101"/>
      <c r="I12" s="101"/>
      <c r="J12" s="100" t="str">
        <f t="shared" si="0"/>
        <v>No</v>
      </c>
      <c r="K12" s="99"/>
      <c r="L12" s="101"/>
      <c r="S12" s="108"/>
      <c r="T12" s="108"/>
    </row>
    <row r="13" spans="1:20" x14ac:dyDescent="0.3">
      <c r="A13" s="109" t="str">
        <f>IF(AND(Sufficient_data="Yes",Include_study?="Yes"),COUNT(A$2:A12)+1,"")</f>
        <v/>
      </c>
      <c r="B13" s="12"/>
      <c r="C13" s="5" t="s">
        <v>23</v>
      </c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  <c r="S13" s="92"/>
      <c r="T13" s="92"/>
    </row>
    <row r="14" spans="1:20" x14ac:dyDescent="0.3">
      <c r="A14" s="109" t="str">
        <f>IF(AND(Sufficient_data="Yes",Include_study?="Yes"),COUNT(A$2:A13)+1,"")</f>
        <v/>
      </c>
      <c r="B14" s="107"/>
      <c r="C14" s="5" t="s">
        <v>23</v>
      </c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  <c r="S14" s="92"/>
      <c r="T14" s="92"/>
    </row>
    <row r="15" spans="1:20" ht="14.5" x14ac:dyDescent="0.35">
      <c r="A15" s="109" t="str">
        <f>IF(AND(Sufficient_data="Yes",Include_study?="Yes"),COUNT(A$2:A14)+1,"")</f>
        <v/>
      </c>
      <c r="B15" s="110"/>
      <c r="C15" s="5" t="s">
        <v>23</v>
      </c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  <c r="S15" s="92"/>
      <c r="T15" s="92"/>
    </row>
    <row r="16" spans="1:20" x14ac:dyDescent="0.3">
      <c r="A16" s="109" t="str">
        <f>IF(AND(Sufficient_data="Yes",Include_study?="Yes"),COUNT(A$2:A15)+1,"")</f>
        <v/>
      </c>
      <c r="B16" s="12"/>
      <c r="C16" s="5" t="s">
        <v>23</v>
      </c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  <c r="S16" s="92"/>
      <c r="T16" s="92"/>
    </row>
    <row r="17" spans="1:12" x14ac:dyDescent="0.3">
      <c r="A17" s="109" t="str">
        <f>IF(AND(Sufficient_data="Yes",Include_study?="Yes"),COUNT(A$2:A16)+1,"")</f>
        <v/>
      </c>
      <c r="B17" s="12"/>
      <c r="C17" s="5" t="s">
        <v>23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109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109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23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23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23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23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23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23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23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23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23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23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4" activePane="bottomLeft" state="frozen"/>
      <selection pane="bottomLeft" activeCell="E2" sqref="E2:I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6" t="s">
        <v>25</v>
      </c>
      <c r="B1" s="116"/>
      <c r="D1" s="1" t="s">
        <v>26</v>
      </c>
      <c r="E1" s="1" t="s">
        <v>1</v>
      </c>
      <c r="F1" s="1" t="str">
        <f>IF(Present_Effect_size_measure&lt;&gt;"",Present_Effect_size_measure,"")</f>
        <v>Odds Ratio</v>
      </c>
      <c r="G1" s="1" t="s">
        <v>27</v>
      </c>
      <c r="H1" s="1" t="s">
        <v>28</v>
      </c>
      <c r="I1" s="1" t="s">
        <v>29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30</v>
      </c>
      <c r="B2" s="5" t="s">
        <v>31</v>
      </c>
      <c r="D2" s="47">
        <v>1</v>
      </c>
      <c r="E2" s="16" t="str">
        <f>IF(Number&lt;=COUNT(Entry_number),INDEX(Lookup_table,MATCH(Number,Calculations!AK:AK,0),3),"")</f>
        <v>Neumann et al.</v>
      </c>
      <c r="F2" s="4">
        <f>IF(Ranked_number&lt;=COUNT(Entry_number),INDEX(Lookup_table,MATCH(Number,Calculations!AK:AK,0),5),"")</f>
        <v>1.1547711733101051</v>
      </c>
      <c r="G2" s="4">
        <f>IF(Ranked_number&lt;=COUNT(Entry_number),INDEX(Lookup_table,MATCH(Number,Calculations!AK:AK,0),9),"")</f>
        <v>0.79572475790243646</v>
      </c>
      <c r="H2" s="4">
        <f>IF(Ranked_number&lt;=COUNT(Entry_number),INDEX(Lookup_table,MATCH(Number,Calculations!AK:AK,0),10),"")</f>
        <v>1.6758262822224472</v>
      </c>
      <c r="I2" s="8">
        <f>IF(D2&lt;=COUNT(Entry_number),INDEX(Lookup_table,MATCH(Number,Calculations!AK:AK,0),11),"")</f>
        <v>0.50447717013390825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32</v>
      </c>
      <c r="M2" s="117" t="s">
        <v>33</v>
      </c>
      <c r="O2" s="118" t="s">
        <v>34</v>
      </c>
    </row>
    <row r="3" spans="1:15" x14ac:dyDescent="0.3">
      <c r="A3" s="3" t="s">
        <v>35</v>
      </c>
      <c r="B3" s="29">
        <v>0.95</v>
      </c>
      <c r="D3" s="48">
        <v>2</v>
      </c>
      <c r="E3" s="16" t="str">
        <f>IF(Number&lt;=COUNT(Entry_number),INDEX(Lookup_table,MATCH(Number,Calculations!AK:AK,0),3),"")</f>
        <v>Hazarika et al. (A)</v>
      </c>
      <c r="F3" s="4">
        <f>IF(Ranked_number&lt;=COUNT(Entry_number),INDEX(Lookup_table,MATCH(Number,Calculations!AK:AK,0),5),"")</f>
        <v>1.6166146357723934</v>
      </c>
      <c r="G3" s="4">
        <f>IF(Ranked_number&lt;=COUNT(Entry_number),INDEX(Lookup_table,MATCH(Number,Calculations!AK:AK,0),9),"")</f>
        <v>1.1081584419086683</v>
      </c>
      <c r="H3" s="4">
        <f>IF(Ranked_number&lt;=COUNT(Entry_number),INDEX(Lookup_table,MATCH(Number,Calculations!AK:AK,0),10),"")</f>
        <v>2.3583657189780287</v>
      </c>
      <c r="I3" s="8">
        <f>IF(D3&lt;=COUNT(Entry_number),INDEX(Lookup_table,MATCH(Number,Calculations!AK:AK,0),11),"")</f>
        <v>0.49552282986609175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7"/>
      <c r="O3" s="118"/>
    </row>
    <row r="4" spans="1:15" x14ac:dyDescent="0.3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36</v>
      </c>
      <c r="M4" s="117"/>
      <c r="O4" s="118"/>
    </row>
    <row r="5" spans="1:15" x14ac:dyDescent="0.3">
      <c r="A5" s="116" t="s">
        <v>37</v>
      </c>
      <c r="B5" s="116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7"/>
      <c r="O5" s="118"/>
    </row>
    <row r="6" spans="1:15" x14ac:dyDescent="0.3">
      <c r="A6" s="3" t="s">
        <v>38</v>
      </c>
      <c r="B6" s="5" t="s">
        <v>39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40</v>
      </c>
      <c r="M6" s="117"/>
      <c r="O6" s="118"/>
    </row>
    <row r="7" spans="1:15" x14ac:dyDescent="0.3">
      <c r="A7" s="3" t="s">
        <v>41</v>
      </c>
      <c r="B7" s="5" t="s">
        <v>42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43</v>
      </c>
      <c r="M7" s="117"/>
      <c r="O7" s="118"/>
    </row>
    <row r="8" spans="1:15" x14ac:dyDescent="0.3">
      <c r="A8" s="3" t="s">
        <v>44</v>
      </c>
      <c r="B8" s="5" t="s">
        <v>42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7"/>
      <c r="O8" s="118"/>
    </row>
    <row r="9" spans="1:15" x14ac:dyDescent="0.3">
      <c r="A9" s="3" t="s">
        <v>45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7"/>
      <c r="O9" s="118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7"/>
      <c r="O10" s="118"/>
    </row>
    <row r="11" spans="1:15" x14ac:dyDescent="0.3">
      <c r="A11" s="116" t="s">
        <v>46</v>
      </c>
      <c r="B11" s="116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7"/>
      <c r="O11" s="118"/>
    </row>
    <row r="12" spans="1:15" x14ac:dyDescent="0.3">
      <c r="A12" s="3" t="s">
        <v>47</v>
      </c>
      <c r="B12" s="5" t="s">
        <v>32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7"/>
      <c r="O12" s="118"/>
    </row>
    <row r="13" spans="1:15" x14ac:dyDescent="0.3">
      <c r="A13" s="3" t="s">
        <v>48</v>
      </c>
      <c r="B13" s="5" t="s">
        <v>49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7"/>
      <c r="O13" s="118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7"/>
      <c r="O14" s="118"/>
    </row>
    <row r="15" spans="1:15" x14ac:dyDescent="0.3">
      <c r="A15" s="116" t="s">
        <v>50</v>
      </c>
      <c r="B15" s="116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7"/>
      <c r="O15" s="118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1.3642597248868167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7"/>
      <c r="O16" s="118"/>
    </row>
    <row r="17" spans="1:15" x14ac:dyDescent="0.3">
      <c r="A17" s="3" t="s">
        <v>27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0.16094550428702381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7"/>
      <c r="O17" s="118"/>
    </row>
    <row r="18" spans="1:15" x14ac:dyDescent="0.3">
      <c r="A18" s="3" t="s">
        <v>28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11.564191278241951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7"/>
      <c r="O18" s="118"/>
    </row>
    <row r="19" spans="1:15" x14ac:dyDescent="0.3">
      <c r="A19" s="3" t="s">
        <v>51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8.3628185386439929E-2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7"/>
      <c r="O19" s="118"/>
    </row>
    <row r="20" spans="1:15" x14ac:dyDescent="0.3">
      <c r="A20" s="3" t="s">
        <v>52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22.255709463833963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7"/>
      <c r="O20" s="118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7"/>
      <c r="O21" s="118"/>
    </row>
    <row r="22" spans="1:15" x14ac:dyDescent="0.3">
      <c r="A22" s="3" t="s">
        <v>53</v>
      </c>
      <c r="B22" s="4">
        <f>IF(B16&lt;&gt;"",IF(Weighting_method="Inverse variance",Z_value,IF(Weighting_method="Mantel-Haenszel",Z_value_MH,IF(Weighting_method="Peto",Z_value_Peto,""))),"")</f>
        <v>1.8465804971925199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7"/>
      <c r="O22" s="118"/>
    </row>
    <row r="23" spans="1:15" x14ac:dyDescent="0.3">
      <c r="A23" s="3" t="s">
        <v>54</v>
      </c>
      <c r="B23" s="26">
        <f>IF(Valid_options="Yes",IF(B22&lt;&gt;"",1-NORMSDIST(ABS(B22)),""),"")</f>
        <v>3.2403981454881436E-2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7"/>
      <c r="O23" s="118"/>
    </row>
    <row r="24" spans="1:15" x14ac:dyDescent="0.3">
      <c r="A24" s="3" t="s">
        <v>55</v>
      </c>
      <c r="B24" s="26">
        <f>IF(Valid_options="Yes",IF(B22&lt;&gt;"",2*(1-NORMSDIST(ABS(B22))),""),"")</f>
        <v>6.4807962909762873E-2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7"/>
      <c r="O24" s="118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7"/>
      <c r="O25" s="118"/>
    </row>
    <row r="26" spans="1:15" ht="12" customHeight="1" x14ac:dyDescent="0.3">
      <c r="A26" s="3" t="s">
        <v>56</v>
      </c>
      <c r="B26" s="7">
        <f>SUMIF(Sufficient_data,"Yes",Number_of_subjects)</f>
        <v>27511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7"/>
      <c r="O26" s="118"/>
    </row>
    <row r="27" spans="1:15" x14ac:dyDescent="0.3">
      <c r="A27" s="3" t="s">
        <v>57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7"/>
      <c r="O27" s="118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7"/>
      <c r="O28" s="118"/>
    </row>
    <row r="29" spans="1:15" x14ac:dyDescent="0.3">
      <c r="A29" s="116" t="s">
        <v>58</v>
      </c>
      <c r="B29" s="116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7"/>
      <c r="O29" s="118"/>
    </row>
    <row r="30" spans="1:15" x14ac:dyDescent="0.3">
      <c r="A30" s="3" t="s">
        <v>59</v>
      </c>
      <c r="B30" s="4">
        <f>IF(Valid_options="Yes",IF(Weighting_method="Inverse variance",Q_,IF(Weighting_method="Mantel-Haenszel",Q_MH,IF(Weighting_method="Peto",Q_Peto,""))),NA())</f>
        <v>1.546072336864051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7"/>
      <c r="O30" s="118"/>
    </row>
    <row r="31" spans="1:15" ht="13" x14ac:dyDescent="0.35">
      <c r="A31" s="3" t="s">
        <v>60</v>
      </c>
      <c r="B31" s="26">
        <f>IF(Valid_options="Yes",IF(B30&lt;&gt;"",CHIDIST(B30,k_-1),""),"")</f>
        <v>0.21371620824838089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7"/>
      <c r="O31" s="118"/>
    </row>
    <row r="32" spans="1:15" ht="13.5" x14ac:dyDescent="0.3">
      <c r="A32" s="3" t="s">
        <v>61</v>
      </c>
      <c r="B32" s="8">
        <f>IF(Valid_options="Yes",IF(B30&lt;&gt;"",MAX(0,(B30-(k_-1))/B30),""),"")</f>
        <v>0.35319973318432651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7"/>
      <c r="O32" s="118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1.9988722198765501E-2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7"/>
      <c r="O33" s="118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0.14138147756607122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7"/>
      <c r="O34" s="118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7"/>
      <c r="O35" s="118"/>
    </row>
    <row r="36" spans="1:15" x14ac:dyDescent="0.3">
      <c r="A36" s="116" t="s">
        <v>62</v>
      </c>
      <c r="B36" s="120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7"/>
      <c r="O36" s="118"/>
    </row>
    <row r="37" spans="1:15" x14ac:dyDescent="0.3">
      <c r="A37" s="121" t="s">
        <v>39</v>
      </c>
      <c r="B37" s="121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7"/>
      <c r="O37" s="118"/>
    </row>
    <row r="38" spans="1:15" x14ac:dyDescent="0.3">
      <c r="A38" s="115" t="s">
        <v>63</v>
      </c>
      <c r="B38" s="115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7"/>
      <c r="O38" s="118"/>
    </row>
    <row r="39" spans="1:15" x14ac:dyDescent="0.3">
      <c r="A39" s="115" t="s">
        <v>64</v>
      </c>
      <c r="B39" s="115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7"/>
      <c r="O39" s="118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7"/>
      <c r="O40" s="118"/>
    </row>
    <row r="41" spans="1:15" x14ac:dyDescent="0.3">
      <c r="A41" s="116" t="s">
        <v>65</v>
      </c>
      <c r="B41" s="120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7"/>
      <c r="O41" s="118"/>
    </row>
    <row r="42" spans="1:15" x14ac:dyDescent="0.3">
      <c r="A42" s="121" t="str">
        <f>IF(Weighting_method="Peto","Peto Odds Ratio","Odds Ratio")</f>
        <v>Odds Ratio</v>
      </c>
      <c r="B42" s="121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7"/>
      <c r="O42" s="118"/>
    </row>
    <row r="43" spans="1:15" x14ac:dyDescent="0.3">
      <c r="A43" s="115" t="str">
        <f>IF(Weighting_method="Inverse variance","Risk Ratio","")</f>
        <v>Risk Ratio</v>
      </c>
      <c r="B43" s="115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7"/>
      <c r="O43" s="118"/>
    </row>
    <row r="44" spans="1:15" x14ac:dyDescent="0.3">
      <c r="A44" s="115" t="str">
        <f>IF(Weighting_method="Inverse variance","Risk Difference","")</f>
        <v>Risk Difference</v>
      </c>
      <c r="B44" s="115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7"/>
      <c r="O44" s="118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7"/>
      <c r="O45" s="118"/>
    </row>
    <row r="46" spans="1:15" x14ac:dyDescent="0.3">
      <c r="A46" s="116" t="s">
        <v>66</v>
      </c>
      <c r="B46" s="120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7"/>
      <c r="O46" s="118"/>
    </row>
    <row r="47" spans="1:15" x14ac:dyDescent="0.3">
      <c r="A47" s="121" t="str">
        <f>IF(Model_effect_size_measure&lt;&gt;"",Model_effect_size_measure,"")</f>
        <v>Odds Ratio</v>
      </c>
      <c r="B47" s="121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7"/>
      <c r="O47" s="118"/>
    </row>
    <row r="48" spans="1:15" x14ac:dyDescent="0.3">
      <c r="A48" s="115" t="str">
        <f>IF(OR(Model_effect_size_measure="Odds Ratio",Model_effect_size_measure="Peto Odds Ratio"),"Risk Ratio",IF(Model_effect_size_measure="Risk Ratio","Risk Difference",""))</f>
        <v>Risk Ratio</v>
      </c>
      <c r="B48" s="115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7"/>
      <c r="O48" s="118"/>
    </row>
    <row r="49" spans="1:15" x14ac:dyDescent="0.3">
      <c r="A49" s="115" t="str">
        <f>IF(OR(Model_effect_size_measure="Odds Ratio",Model_effect_size_measure="Peto Odds Ratio"),"Risk Difference","")</f>
        <v>Risk Difference</v>
      </c>
      <c r="B49" s="115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7"/>
      <c r="O49" s="118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7"/>
      <c r="O50" s="118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7"/>
      <c r="O51" s="118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7"/>
      <c r="O52" s="118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7"/>
      <c r="O53" s="118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7"/>
      <c r="O54" s="118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7"/>
      <c r="O55" s="118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7"/>
      <c r="O56" s="118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7"/>
      <c r="O57" s="118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7"/>
      <c r="O58" s="118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7"/>
      <c r="O59" s="118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7"/>
      <c r="O60" s="118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7"/>
      <c r="O61" s="118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7"/>
      <c r="O62" s="118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7"/>
      <c r="O63" s="118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7"/>
      <c r="O64" s="118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7"/>
      <c r="O65" s="118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7"/>
      <c r="O66" s="118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7"/>
      <c r="O67" s="118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7"/>
      <c r="O68" s="118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7"/>
      <c r="O69" s="118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7"/>
      <c r="O70" s="118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7"/>
      <c r="O71" s="118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7"/>
      <c r="O72" s="118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7"/>
      <c r="O73" s="118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7"/>
      <c r="O74" s="118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7"/>
      <c r="O75" s="118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7"/>
      <c r="O76" s="118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7"/>
      <c r="O77" s="118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7"/>
      <c r="O78" s="118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7"/>
      <c r="O79" s="118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7"/>
      <c r="O80" s="118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7"/>
      <c r="O81" s="118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7"/>
      <c r="O82" s="118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7"/>
      <c r="O83" s="118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7"/>
      <c r="O84" s="118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7"/>
      <c r="O85" s="118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7"/>
      <c r="O86" s="118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7"/>
      <c r="O87" s="118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7"/>
      <c r="O88" s="118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7"/>
      <c r="O89" s="118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7"/>
      <c r="O90" s="118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7"/>
      <c r="O91" s="118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7"/>
      <c r="O92" s="118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7"/>
      <c r="O93" s="118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7"/>
      <c r="O94" s="118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7"/>
      <c r="O95" s="118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7"/>
      <c r="O96" s="118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7"/>
      <c r="O97" s="118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7"/>
      <c r="O98" s="118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7"/>
      <c r="O99" s="118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7"/>
      <c r="O100" s="118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7"/>
      <c r="O101" s="118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7"/>
      <c r="O102" s="118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7"/>
      <c r="O103" s="118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7"/>
      <c r="O104" s="118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7"/>
      <c r="O105" s="118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7"/>
      <c r="O106" s="118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7"/>
      <c r="O107" s="118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7"/>
      <c r="O108" s="118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7"/>
      <c r="O109" s="118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7"/>
      <c r="O110" s="118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7"/>
      <c r="O111" s="118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7"/>
      <c r="O112" s="118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7"/>
      <c r="O113" s="118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7"/>
      <c r="O114" s="118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7"/>
      <c r="O115" s="118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7"/>
      <c r="O116" s="118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7"/>
      <c r="O117" s="118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7"/>
      <c r="O118" s="118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7"/>
      <c r="O119" s="118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7"/>
      <c r="O120" s="118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7"/>
      <c r="O121" s="118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7"/>
      <c r="O122" s="118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7"/>
      <c r="O123" s="118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7"/>
      <c r="O124" s="118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7"/>
      <c r="O125" s="118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7"/>
      <c r="O126" s="118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7"/>
      <c r="O127" s="118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7"/>
      <c r="O128" s="118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7"/>
      <c r="O129" s="118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7"/>
      <c r="O130" s="118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7"/>
      <c r="O131" s="118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7"/>
      <c r="O132" s="118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7"/>
      <c r="O133" s="118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7"/>
      <c r="O134" s="118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7"/>
      <c r="O135" s="118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7"/>
      <c r="O136" s="118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7"/>
      <c r="O137" s="118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7"/>
      <c r="O138" s="118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7"/>
      <c r="O139" s="118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7"/>
      <c r="O140" s="118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7"/>
      <c r="O141" s="118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7"/>
      <c r="O142" s="118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7"/>
      <c r="O143" s="118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7"/>
      <c r="O144" s="118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7"/>
      <c r="O145" s="118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7"/>
      <c r="O146" s="118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7"/>
      <c r="O147" s="118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7"/>
      <c r="O148" s="118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7"/>
      <c r="O149" s="118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7"/>
      <c r="O150" s="118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7"/>
      <c r="O151" s="118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7"/>
      <c r="O152" s="118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7"/>
      <c r="O153" s="118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7"/>
      <c r="O154" s="118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7"/>
      <c r="O155" s="118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7"/>
      <c r="O156" s="118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7"/>
      <c r="O157" s="118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7"/>
      <c r="O158" s="118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7"/>
      <c r="O159" s="118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7"/>
      <c r="O160" s="118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7"/>
      <c r="O161" s="118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7"/>
      <c r="O162" s="118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7"/>
      <c r="O163" s="118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7"/>
      <c r="O164" s="118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7"/>
      <c r="O165" s="118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7"/>
      <c r="O166" s="118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7"/>
      <c r="O167" s="118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7"/>
      <c r="O168" s="118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7"/>
      <c r="O169" s="118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7"/>
      <c r="O170" s="118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7"/>
      <c r="O171" s="118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7"/>
      <c r="O172" s="118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7"/>
      <c r="O173" s="118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7"/>
      <c r="O174" s="118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7"/>
      <c r="O175" s="118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7"/>
      <c r="O176" s="118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7"/>
      <c r="O177" s="118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7"/>
      <c r="O178" s="118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7"/>
      <c r="O179" s="118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7"/>
      <c r="O180" s="118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7"/>
      <c r="O181" s="118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7"/>
      <c r="O182" s="118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7"/>
      <c r="O183" s="118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7"/>
      <c r="O184" s="118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7"/>
      <c r="O185" s="118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7"/>
      <c r="O186" s="118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7"/>
      <c r="O187" s="118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7"/>
      <c r="O188" s="118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7"/>
      <c r="O189" s="118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7"/>
      <c r="O190" s="118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7"/>
      <c r="O191" s="118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7"/>
      <c r="O192" s="118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7"/>
      <c r="O193" s="118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7"/>
      <c r="O194" s="118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7"/>
      <c r="O195" s="118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7"/>
      <c r="O196" s="118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7"/>
      <c r="O197" s="118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7"/>
      <c r="O198" s="118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7"/>
      <c r="O199" s="118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7"/>
      <c r="O200" s="118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7"/>
      <c r="O201" s="119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N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6" t="s">
        <v>25</v>
      </c>
      <c r="B1" s="116"/>
      <c r="C1" s="116"/>
      <c r="D1" s="116"/>
      <c r="F1" s="1" t="s">
        <v>26</v>
      </c>
      <c r="G1" s="1" t="s">
        <v>67</v>
      </c>
      <c r="H1" s="1" t="str">
        <f>Subgroup_effect_size_measure</f>
        <v>Odds Ratio</v>
      </c>
      <c r="I1" s="1" t="s">
        <v>27</v>
      </c>
      <c r="J1" s="1" t="s">
        <v>28</v>
      </c>
      <c r="K1" s="1" t="s">
        <v>29</v>
      </c>
      <c r="L1" s="1" t="s">
        <v>59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51</v>
      </c>
      <c r="R1" s="1" t="s">
        <v>52</v>
      </c>
      <c r="S1" s="86"/>
      <c r="U1" s="85"/>
      <c r="W1" s="85"/>
      <c r="Y1" s="85"/>
      <c r="AA1" s="85"/>
    </row>
    <row r="2" spans="1:27" x14ac:dyDescent="0.3">
      <c r="A2" s="3" t="s">
        <v>72</v>
      </c>
      <c r="B2" s="124" t="s">
        <v>73</v>
      </c>
      <c r="C2" s="124"/>
      <c r="D2" s="124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 xml:space="preserve">Chinese </v>
      </c>
      <c r="H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22" t="s">
        <v>74</v>
      </c>
      <c r="U2" s="118" t="s">
        <v>75</v>
      </c>
      <c r="W2" s="118" t="s">
        <v>76</v>
      </c>
      <c r="Y2" s="118" t="s">
        <v>77</v>
      </c>
      <c r="AA2" s="118" t="s">
        <v>78</v>
      </c>
    </row>
    <row r="3" spans="1:27" x14ac:dyDescent="0.3">
      <c r="A3" s="3" t="s">
        <v>79</v>
      </c>
      <c r="B3" s="125" t="s">
        <v>42</v>
      </c>
      <c r="C3" s="125"/>
      <c r="D3" s="125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Neumann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1.1547711733101051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0.79572475879232518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1.6758262803483082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0.50447717013390825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2"/>
      <c r="U3" s="118"/>
      <c r="W3" s="118"/>
      <c r="Y3" s="118"/>
      <c r="AA3" s="118"/>
    </row>
    <row r="4" spans="1:27" ht="11.25" customHeight="1" x14ac:dyDescent="0.3">
      <c r="A4" s="3" t="s">
        <v>45</v>
      </c>
      <c r="B4" s="126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6"/>
      <c r="D4" s="126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1.6166146357723934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1.1081584510816307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2.3583656994562716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0.49552282986609175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2"/>
      <c r="U4" s="118"/>
      <c r="W4" s="118"/>
      <c r="Y4" s="118"/>
      <c r="AA4" s="118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1.3642597248868167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1.3642597248868167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1.3642597248868167</v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>
        <f>IF(COUNTIF(Calculations!DP:DP,Subgroup_number)=1,INDEX(Calculations!DP:EU,MATCH(Subgroup_number,Calculations!DP:DP,0),5),IF(Subgroup_number=Calculations!EY$25,Calculations!EY$17,""))</f>
        <v>1.546072336864051</v>
      </c>
      <c r="M5" s="26">
        <f>IF(COUNTIF(Calculations!DP:DP,Subgroup_number)=1,INDEX(Calculations!DP:EU,MATCH(Subgroup_number,Calculations!DP:DP,0),6),IF(Subgroup_number=Calculations!EY$25,Calculations!EY$18,""))</f>
        <v>0.21371620824838089</v>
      </c>
      <c r="N5" s="8">
        <f>IF(COUNTIF(Calculations!DP:DP,Subgroup_number)=1,INDEX(Calculations!DP:EU,MATCH(Subgroup_number,Calculations!DP:DP,0),7),IF(Subgroup_number=Calculations!EY$25,Calculations!EY$19,""))</f>
        <v>0.35319973318432651</v>
      </c>
      <c r="O5" s="4">
        <f>IF(COUNTIF(Calculations!DP:DP,Subgroup_number)=1,INDEX(Calculations!DP:EU,MATCH(Subgroup_number,Calculations!DP:DP,0),9),IF(Subgroup_number=Calculations!EY$25,Calculations!EY$20,""))</f>
        <v>1.9988722198765501E-2</v>
      </c>
      <c r="P5" s="4">
        <f>IF(COUNTIF(Calculations!DP:DP,Subgroup_number)=1,INDEX(Calculations!DP:EU,MATCH(Subgroup_number,Calculations!DP:DP,0),10),IF(Subgroup_number=Calculations!EY$25,Calculations!EY$21,""))</f>
        <v>0.14138147756607122</v>
      </c>
      <c r="Q5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1.3642597248868167</v>
      </c>
      <c r="R5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1.3642597248868167</v>
      </c>
      <c r="S5" s="122"/>
      <c r="U5" s="118"/>
      <c r="W5" s="118"/>
      <c r="Y5" s="118"/>
      <c r="AA5" s="118"/>
    </row>
    <row r="6" spans="1:27" x14ac:dyDescent="0.3">
      <c r="A6" s="3" t="s">
        <v>80</v>
      </c>
      <c r="B6" s="125" t="s">
        <v>81</v>
      </c>
      <c r="C6" s="125"/>
      <c r="D6" s="125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2"/>
      <c r="U6" s="118"/>
      <c r="W6" s="118"/>
      <c r="Y6" s="118"/>
      <c r="AA6" s="118"/>
    </row>
    <row r="7" spans="1:27" x14ac:dyDescent="0.3">
      <c r="A7" s="3" t="s">
        <v>82</v>
      </c>
      <c r="B7" s="125" t="s">
        <v>83</v>
      </c>
      <c r="C7" s="125"/>
      <c r="D7" s="125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2"/>
      <c r="U7" s="118"/>
      <c r="W7" s="118"/>
      <c r="Y7" s="118"/>
      <c r="AA7" s="118"/>
    </row>
    <row r="8" spans="1:27" x14ac:dyDescent="0.3">
      <c r="A8" s="3" t="s">
        <v>35</v>
      </c>
      <c r="B8" s="127">
        <v>0.95</v>
      </c>
      <c r="C8" s="127"/>
      <c r="D8" s="127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2"/>
      <c r="U8" s="118"/>
      <c r="W8" s="118"/>
      <c r="Y8" s="118"/>
      <c r="AA8" s="118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2"/>
      <c r="U9" s="118"/>
      <c r="W9" s="118"/>
      <c r="Y9" s="118"/>
      <c r="AA9" s="118"/>
    </row>
    <row r="10" spans="1:27" x14ac:dyDescent="0.3">
      <c r="A10" s="116" t="s">
        <v>50</v>
      </c>
      <c r="B10" s="116"/>
      <c r="C10" s="116"/>
      <c r="D10" s="116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2"/>
      <c r="U10" s="118"/>
      <c r="W10" s="118"/>
      <c r="Y10" s="118"/>
      <c r="AA10" s="118"/>
    </row>
    <row r="11" spans="1:27" x14ac:dyDescent="0.3">
      <c r="A11" s="3" t="str">
        <f>Subgroup_effect_size_measure</f>
        <v>Odds Ratio</v>
      </c>
      <c r="B11" s="128">
        <f>Calculations!EY9</f>
        <v>1.3642597248868167</v>
      </c>
      <c r="C11" s="128"/>
      <c r="D11" s="128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2"/>
      <c r="U11" s="118"/>
      <c r="W11" s="118"/>
      <c r="Y11" s="118"/>
      <c r="AA11" s="118"/>
    </row>
    <row r="12" spans="1:27" x14ac:dyDescent="0.3">
      <c r="A12" s="3" t="s">
        <v>27</v>
      </c>
      <c r="B12" s="129">
        <f>Calculations!EY11</f>
        <v>1.3642597248868167</v>
      </c>
      <c r="C12" s="129"/>
      <c r="D12" s="129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2"/>
      <c r="U12" s="118"/>
      <c r="W12" s="118"/>
      <c r="Y12" s="118"/>
      <c r="AA12" s="118"/>
    </row>
    <row r="13" spans="1:27" x14ac:dyDescent="0.3">
      <c r="A13" s="3" t="s">
        <v>28</v>
      </c>
      <c r="B13" s="129">
        <f>Calculations!EY12</f>
        <v>1.3642597248868167</v>
      </c>
      <c r="C13" s="129"/>
      <c r="D13" s="129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2"/>
      <c r="U13" s="118"/>
      <c r="W13" s="118"/>
      <c r="Y13" s="118"/>
      <c r="AA13" s="118"/>
    </row>
    <row r="14" spans="1:27" x14ac:dyDescent="0.3">
      <c r="A14" s="3" t="s">
        <v>51</v>
      </c>
      <c r="B14" s="129">
        <f>Calculations!EY13</f>
        <v>1.3642597248868167</v>
      </c>
      <c r="C14" s="129"/>
      <c r="D14" s="129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2"/>
      <c r="U14" s="118"/>
      <c r="W14" s="118"/>
      <c r="Y14" s="118"/>
      <c r="AA14" s="118"/>
    </row>
    <row r="15" spans="1:27" x14ac:dyDescent="0.3">
      <c r="A15" s="3" t="s">
        <v>52</v>
      </c>
      <c r="B15" s="129">
        <f>Calculations!EY14</f>
        <v>1.3642597248868167</v>
      </c>
      <c r="C15" s="129"/>
      <c r="D15" s="129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2"/>
      <c r="U15" s="118"/>
      <c r="W15" s="118"/>
      <c r="Y15" s="118"/>
      <c r="AA15" s="118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2"/>
      <c r="U16" s="118"/>
      <c r="W16" s="118"/>
      <c r="Y16" s="118"/>
      <c r="AA16" s="118"/>
    </row>
    <row r="17" spans="1:27" x14ac:dyDescent="0.3">
      <c r="A17" s="3" t="s">
        <v>56</v>
      </c>
      <c r="B17" s="130">
        <f>SUMIF(Sufficient_data,"Yes",Number_of_subjects)</f>
        <v>27511</v>
      </c>
      <c r="C17" s="130"/>
      <c r="D17" s="130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2"/>
      <c r="U17" s="118"/>
      <c r="W17" s="118"/>
      <c r="Y17" s="118"/>
      <c r="AA17" s="118"/>
    </row>
    <row r="18" spans="1:27" x14ac:dyDescent="0.3">
      <c r="A18" s="3" t="s">
        <v>57</v>
      </c>
      <c r="B18" s="130">
        <f>COUNT(Subgroup_weightf)</f>
        <v>2</v>
      </c>
      <c r="C18" s="130"/>
      <c r="D18" s="130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2"/>
      <c r="U18" s="118"/>
      <c r="W18" s="118"/>
      <c r="Y18" s="118"/>
      <c r="AA18" s="118"/>
    </row>
    <row r="19" spans="1:27" x14ac:dyDescent="0.3">
      <c r="A19" s="3" t="s">
        <v>84</v>
      </c>
      <c r="B19" s="130">
        <f>COUNT(Calculations!DZ:DZ)</f>
        <v>7</v>
      </c>
      <c r="C19" s="130"/>
      <c r="D19" s="130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2"/>
      <c r="U19" s="118"/>
      <c r="W19" s="118"/>
      <c r="Y19" s="118"/>
      <c r="AA19" s="118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2"/>
      <c r="U20" s="118"/>
      <c r="W20" s="118"/>
      <c r="Y20" s="118"/>
      <c r="AA20" s="118"/>
    </row>
    <row r="21" spans="1:27" x14ac:dyDescent="0.3">
      <c r="A21" s="1" t="s">
        <v>85</v>
      </c>
      <c r="B21" s="1" t="str">
        <f>IF(Within_subgroup_weighting=Calculations!EX42,"Sum of squares (Q)","Sum of squares (Q*)")</f>
        <v>Sum of squares (Q*)</v>
      </c>
      <c r="C21" s="1" t="s">
        <v>86</v>
      </c>
      <c r="D21" s="1" t="s">
        <v>87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2"/>
      <c r="U21" s="118"/>
      <c r="W21" s="118"/>
      <c r="Y21" s="118"/>
      <c r="AA21" s="118"/>
    </row>
    <row r="22" spans="1:27" x14ac:dyDescent="0.3">
      <c r="A22" s="3" t="s">
        <v>88</v>
      </c>
      <c r="B22" s="4">
        <f>B24-B23</f>
        <v>-5.9999999999999947</v>
      </c>
      <c r="C22" s="7">
        <f>Number_of_subgroups-1</f>
        <v>6</v>
      </c>
      <c r="D22" s="26" t="e">
        <f>CHIDIST(B22,C22)</f>
        <v>#NUM!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2"/>
      <c r="U22" s="118"/>
      <c r="W22" s="118"/>
      <c r="Y22" s="118"/>
      <c r="AA22" s="118"/>
    </row>
    <row r="23" spans="1:27" x14ac:dyDescent="0.3">
      <c r="A23" s="3" t="s">
        <v>89</v>
      </c>
      <c r="B23" s="4">
        <f>SUM(Calculations!EP:EP)</f>
        <v>6.9999999999999938</v>
      </c>
      <c r="C23" s="7">
        <f>Subgroup_k-Number_of_subgroups</f>
        <v>-5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2"/>
      <c r="U23" s="118"/>
      <c r="W23" s="118"/>
      <c r="Y23" s="118"/>
      <c r="AA23" s="118"/>
    </row>
    <row r="24" spans="1:27" x14ac:dyDescent="0.3">
      <c r="A24" s="3" t="s">
        <v>16</v>
      </c>
      <c r="B24" s="4">
        <f>SUMPRODUCT(Calculations!DE:DE,Subgroup_effect_size,Subgroup_effect_size)-SUMPRODUCT(Calculations!DE:DE,Subgroup_effect_size)^2/SUM(Calculations!DE:DE)</f>
        <v>0.99999999999999911</v>
      </c>
      <c r="C24" s="7">
        <f>Subgroup_k-1</f>
        <v>1</v>
      </c>
      <c r="D24" s="26">
        <f t="shared" ref="D24" si="0">CHIDIST(B24,C24)</f>
        <v>0.3173105078629142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2"/>
      <c r="U24" s="118"/>
      <c r="W24" s="118"/>
      <c r="Y24" s="118"/>
      <c r="AA24" s="118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2"/>
      <c r="U25" s="118"/>
      <c r="W25" s="118"/>
      <c r="Y25" s="118"/>
      <c r="AA25" s="118"/>
    </row>
    <row r="26" spans="1:27" ht="13.5" x14ac:dyDescent="0.3">
      <c r="A26" s="3" t="s">
        <v>90</v>
      </c>
      <c r="B26" s="8">
        <f>B22/B24</f>
        <v>-6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2"/>
      <c r="U26" s="118"/>
      <c r="W26" s="118"/>
      <c r="Y26" s="118"/>
      <c r="AA26" s="118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2"/>
      <c r="U27" s="118"/>
      <c r="W27" s="118"/>
      <c r="Y27" s="118"/>
      <c r="AA27" s="118"/>
    </row>
    <row r="28" spans="1:27" x14ac:dyDescent="0.3">
      <c r="A28" s="116" t="s">
        <v>62</v>
      </c>
      <c r="B28" s="116"/>
      <c r="C28" s="116"/>
      <c r="D28" s="116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2"/>
      <c r="U28" s="118"/>
      <c r="W28" s="118"/>
      <c r="Y28" s="118"/>
      <c r="AA28" s="118"/>
    </row>
    <row r="29" spans="1:27" x14ac:dyDescent="0.3">
      <c r="A29" s="121" t="s">
        <v>73</v>
      </c>
      <c r="B29" s="121"/>
      <c r="C29" s="121"/>
      <c r="D29" s="121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2"/>
      <c r="U29" s="118"/>
      <c r="W29" s="118"/>
      <c r="Y29" s="118"/>
      <c r="AA29" s="118"/>
    </row>
    <row r="30" spans="1:27" x14ac:dyDescent="0.3">
      <c r="A30" s="115" t="s">
        <v>63</v>
      </c>
      <c r="B30" s="115"/>
      <c r="C30" s="115"/>
      <c r="D30" s="115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2"/>
      <c r="U30" s="118"/>
      <c r="W30" s="118"/>
      <c r="Y30" s="118"/>
      <c r="AA30" s="118"/>
    </row>
    <row r="31" spans="1:27" x14ac:dyDescent="0.3">
      <c r="A31" s="115" t="s">
        <v>64</v>
      </c>
      <c r="B31" s="115"/>
      <c r="C31" s="115"/>
      <c r="D31" s="115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2"/>
      <c r="U31" s="118"/>
      <c r="W31" s="118"/>
      <c r="Y31" s="118"/>
      <c r="AA31" s="118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2"/>
      <c r="U32" s="118"/>
      <c r="W32" s="118"/>
      <c r="Y32" s="118"/>
      <c r="AA32" s="118"/>
    </row>
    <row r="33" spans="1:27" x14ac:dyDescent="0.3">
      <c r="A33" s="116" t="s">
        <v>91</v>
      </c>
      <c r="B33" s="116"/>
      <c r="C33" s="116"/>
      <c r="D33" s="116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2"/>
      <c r="U33" s="118"/>
      <c r="W33" s="118"/>
      <c r="Y33" s="118"/>
      <c r="AA33" s="118"/>
    </row>
    <row r="34" spans="1:27" x14ac:dyDescent="0.3">
      <c r="A34" s="121" t="str">
        <f>IF(Subgroup_weighting_method="Peto","Peto Odds Ratio","Odds Ratio")</f>
        <v>Odds Ratio</v>
      </c>
      <c r="B34" s="121"/>
      <c r="C34" s="121"/>
      <c r="D34" s="121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2"/>
      <c r="U34" s="118"/>
      <c r="W34" s="118"/>
      <c r="Y34" s="118"/>
      <c r="AA34" s="118"/>
    </row>
    <row r="35" spans="1:27" x14ac:dyDescent="0.3">
      <c r="A35" s="115" t="str">
        <f>IF(Subgroup_weighting_method="Inverse variance","Risk Ratio","")</f>
        <v>Risk Ratio</v>
      </c>
      <c r="B35" s="115"/>
      <c r="C35" s="115"/>
      <c r="D35" s="115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2"/>
      <c r="U35" s="118"/>
      <c r="W35" s="118"/>
      <c r="Y35" s="118"/>
      <c r="AA35" s="118"/>
    </row>
    <row r="36" spans="1:27" x14ac:dyDescent="0.3">
      <c r="A36" s="115" t="str">
        <f>IF(Subgroup_weighting_method="Inverse Variance","Risk Difference","")</f>
        <v>Risk Difference</v>
      </c>
      <c r="B36" s="115"/>
      <c r="C36" s="115"/>
      <c r="D36" s="115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2"/>
      <c r="U36" s="118"/>
      <c r="W36" s="118"/>
      <c r="Y36" s="118"/>
      <c r="AA36" s="118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2"/>
      <c r="U37" s="118"/>
      <c r="W37" s="118"/>
      <c r="Y37" s="118"/>
      <c r="AA37" s="118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2"/>
      <c r="U38" s="118"/>
      <c r="W38" s="118"/>
      <c r="Y38" s="118"/>
      <c r="AA38" s="118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2"/>
      <c r="U39" s="118"/>
      <c r="W39" s="118"/>
      <c r="Y39" s="118"/>
      <c r="AA39" s="118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2"/>
      <c r="U40" s="118"/>
      <c r="W40" s="118"/>
      <c r="Y40" s="118"/>
      <c r="AA40" s="118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2"/>
      <c r="U41" s="118"/>
      <c r="W41" s="118"/>
      <c r="Y41" s="118"/>
      <c r="AA41" s="118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2"/>
      <c r="U42" s="118"/>
      <c r="W42" s="118"/>
      <c r="Y42" s="118"/>
      <c r="AA42" s="118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2"/>
      <c r="U43" s="118"/>
      <c r="W43" s="118"/>
      <c r="Y43" s="118"/>
      <c r="AA43" s="118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2"/>
      <c r="U44" s="118"/>
      <c r="W44" s="118"/>
      <c r="Y44" s="118"/>
      <c r="AA44" s="118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2"/>
      <c r="U45" s="118"/>
      <c r="W45" s="118"/>
      <c r="Y45" s="118"/>
      <c r="AA45" s="118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2"/>
      <c r="U46" s="118"/>
      <c r="W46" s="118"/>
      <c r="Y46" s="118"/>
      <c r="AA46" s="118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2"/>
      <c r="U47" s="118"/>
      <c r="W47" s="118"/>
      <c r="Y47" s="118"/>
      <c r="AA47" s="118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2"/>
      <c r="U48" s="118"/>
      <c r="W48" s="118"/>
      <c r="Y48" s="118"/>
      <c r="AA48" s="118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2"/>
      <c r="U49" s="118"/>
      <c r="W49" s="118"/>
      <c r="Y49" s="118"/>
      <c r="AA49" s="118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2"/>
      <c r="U50" s="118"/>
      <c r="W50" s="118"/>
      <c r="Y50" s="118"/>
      <c r="AA50" s="118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2"/>
      <c r="U51" s="118"/>
      <c r="W51" s="118"/>
      <c r="Y51" s="118"/>
      <c r="AA51" s="118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2"/>
      <c r="U52" s="118"/>
      <c r="W52" s="118"/>
      <c r="Y52" s="118"/>
      <c r="AA52" s="118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2"/>
      <c r="U53" s="118"/>
      <c r="W53" s="118"/>
      <c r="Y53" s="118"/>
      <c r="AA53" s="118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2"/>
      <c r="U54" s="118"/>
      <c r="W54" s="118"/>
      <c r="Y54" s="118"/>
      <c r="AA54" s="118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2"/>
      <c r="U55" s="118"/>
      <c r="W55" s="118"/>
      <c r="Y55" s="118"/>
      <c r="AA55" s="118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2"/>
      <c r="U56" s="118"/>
      <c r="W56" s="118"/>
      <c r="Y56" s="118"/>
      <c r="AA56" s="118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2"/>
      <c r="U57" s="118"/>
      <c r="W57" s="118"/>
      <c r="Y57" s="118"/>
      <c r="AA57" s="118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2"/>
      <c r="U58" s="118"/>
      <c r="W58" s="118"/>
      <c r="Y58" s="118"/>
      <c r="AA58" s="118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2"/>
      <c r="U59" s="118"/>
      <c r="W59" s="118"/>
      <c r="Y59" s="118"/>
      <c r="AA59" s="118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2"/>
      <c r="U60" s="118"/>
      <c r="W60" s="118"/>
      <c r="Y60" s="118"/>
      <c r="AA60" s="118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2"/>
      <c r="U61" s="118"/>
      <c r="W61" s="118"/>
      <c r="Y61" s="118"/>
      <c r="AA61" s="118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2"/>
      <c r="U62" s="118"/>
      <c r="W62" s="118"/>
      <c r="Y62" s="118"/>
      <c r="AA62" s="118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2"/>
      <c r="U63" s="118"/>
      <c r="W63" s="118"/>
      <c r="Y63" s="118"/>
      <c r="AA63" s="118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2"/>
      <c r="U64" s="118"/>
      <c r="W64" s="118"/>
      <c r="Y64" s="118"/>
      <c r="AA64" s="118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2"/>
      <c r="U65" s="118"/>
      <c r="W65" s="118"/>
      <c r="Y65" s="118"/>
      <c r="AA65" s="118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2"/>
      <c r="U66" s="118"/>
      <c r="W66" s="118"/>
      <c r="Y66" s="118"/>
      <c r="AA66" s="118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2"/>
      <c r="U67" s="118"/>
      <c r="W67" s="118"/>
      <c r="Y67" s="118"/>
      <c r="AA67" s="118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2"/>
      <c r="U68" s="118"/>
      <c r="W68" s="118"/>
      <c r="Y68" s="118"/>
      <c r="AA68" s="118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2"/>
      <c r="U69" s="118"/>
      <c r="W69" s="118"/>
      <c r="Y69" s="118"/>
      <c r="AA69" s="118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2"/>
      <c r="U70" s="118"/>
      <c r="W70" s="118"/>
      <c r="Y70" s="118"/>
      <c r="AA70" s="118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2"/>
      <c r="U71" s="118"/>
      <c r="W71" s="118"/>
      <c r="Y71" s="118"/>
      <c r="AA71" s="118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2"/>
      <c r="U72" s="118"/>
      <c r="W72" s="118"/>
      <c r="Y72" s="118"/>
      <c r="AA72" s="118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2"/>
      <c r="U73" s="118"/>
      <c r="W73" s="118"/>
      <c r="Y73" s="118"/>
      <c r="AA73" s="118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2"/>
      <c r="U74" s="118"/>
      <c r="W74" s="118"/>
      <c r="Y74" s="118"/>
      <c r="AA74" s="118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2"/>
      <c r="U75" s="118"/>
      <c r="W75" s="118"/>
      <c r="Y75" s="118"/>
      <c r="AA75" s="118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2"/>
      <c r="U76" s="118"/>
      <c r="W76" s="118"/>
      <c r="Y76" s="118"/>
      <c r="AA76" s="118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2"/>
      <c r="U77" s="118"/>
      <c r="W77" s="118"/>
      <c r="Y77" s="118"/>
      <c r="AA77" s="118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2"/>
      <c r="U78" s="118"/>
      <c r="W78" s="118"/>
      <c r="Y78" s="118"/>
      <c r="AA78" s="118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2"/>
      <c r="U79" s="118"/>
      <c r="W79" s="118"/>
      <c r="Y79" s="118"/>
      <c r="AA79" s="118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2"/>
      <c r="U80" s="118"/>
      <c r="W80" s="118"/>
      <c r="Y80" s="118"/>
      <c r="AA80" s="118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2"/>
      <c r="U81" s="118"/>
      <c r="W81" s="118"/>
      <c r="Y81" s="118"/>
      <c r="AA81" s="118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2"/>
      <c r="U82" s="118"/>
      <c r="W82" s="118"/>
      <c r="Y82" s="118"/>
      <c r="AA82" s="118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2"/>
      <c r="U83" s="118"/>
      <c r="W83" s="118"/>
      <c r="Y83" s="118"/>
      <c r="AA83" s="118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2"/>
      <c r="U84" s="118"/>
      <c r="W84" s="118"/>
      <c r="Y84" s="118"/>
      <c r="AA84" s="118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2"/>
      <c r="U85" s="118"/>
      <c r="W85" s="118"/>
      <c r="Y85" s="118"/>
      <c r="AA85" s="118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2"/>
      <c r="U86" s="118"/>
      <c r="W86" s="118"/>
      <c r="Y86" s="118"/>
      <c r="AA86" s="118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2"/>
      <c r="U87" s="118"/>
      <c r="W87" s="118"/>
      <c r="Y87" s="118"/>
      <c r="AA87" s="118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2"/>
      <c r="U88" s="118"/>
      <c r="W88" s="118"/>
      <c r="Y88" s="118"/>
      <c r="AA88" s="118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2"/>
      <c r="U89" s="118"/>
      <c r="W89" s="118"/>
      <c r="Y89" s="118"/>
      <c r="AA89" s="118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2"/>
      <c r="U90" s="118"/>
      <c r="W90" s="118"/>
      <c r="Y90" s="118"/>
      <c r="AA90" s="118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2"/>
      <c r="U91" s="118"/>
      <c r="W91" s="118"/>
      <c r="Y91" s="118"/>
      <c r="AA91" s="118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2"/>
      <c r="U92" s="118"/>
      <c r="W92" s="118"/>
      <c r="Y92" s="118"/>
      <c r="AA92" s="118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2"/>
      <c r="U93" s="118"/>
      <c r="W93" s="118"/>
      <c r="Y93" s="118"/>
      <c r="AA93" s="118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2"/>
      <c r="U94" s="118"/>
      <c r="W94" s="118"/>
      <c r="Y94" s="118"/>
      <c r="AA94" s="118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2"/>
      <c r="U95" s="118"/>
      <c r="W95" s="118"/>
      <c r="Y95" s="118"/>
      <c r="AA95" s="118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2"/>
      <c r="U96" s="118"/>
      <c r="W96" s="118"/>
      <c r="Y96" s="118"/>
      <c r="AA96" s="118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2"/>
      <c r="U97" s="118"/>
      <c r="W97" s="118"/>
      <c r="Y97" s="118"/>
      <c r="AA97" s="118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2"/>
      <c r="U98" s="118"/>
      <c r="W98" s="118"/>
      <c r="Y98" s="118"/>
      <c r="AA98" s="118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2"/>
      <c r="U99" s="118"/>
      <c r="W99" s="118"/>
      <c r="Y99" s="118"/>
      <c r="AA99" s="118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2"/>
      <c r="U100" s="118"/>
      <c r="W100" s="118"/>
      <c r="Y100" s="118"/>
      <c r="AA100" s="118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2"/>
      <c r="U101" s="118"/>
      <c r="W101" s="118"/>
      <c r="Y101" s="118"/>
      <c r="AA101" s="118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2"/>
      <c r="U102" s="118"/>
      <c r="W102" s="118"/>
      <c r="Y102" s="118"/>
      <c r="AA102" s="118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2"/>
      <c r="U103" s="118"/>
      <c r="W103" s="118"/>
      <c r="Y103" s="118"/>
      <c r="AA103" s="118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2"/>
      <c r="U104" s="118"/>
      <c r="W104" s="118"/>
      <c r="Y104" s="118"/>
      <c r="AA104" s="118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2"/>
      <c r="U105" s="118"/>
      <c r="W105" s="118"/>
      <c r="Y105" s="118"/>
      <c r="AA105" s="118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2"/>
      <c r="U106" s="118"/>
      <c r="W106" s="118"/>
      <c r="Y106" s="118"/>
      <c r="AA106" s="118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2"/>
      <c r="U107" s="118"/>
      <c r="W107" s="118"/>
      <c r="Y107" s="118"/>
      <c r="AA107" s="118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2"/>
      <c r="U108" s="118"/>
      <c r="W108" s="118"/>
      <c r="Y108" s="118"/>
      <c r="AA108" s="118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2"/>
      <c r="U109" s="118"/>
      <c r="W109" s="118"/>
      <c r="Y109" s="118"/>
      <c r="AA109" s="118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2"/>
      <c r="U110" s="118"/>
      <c r="W110" s="118"/>
      <c r="Y110" s="118"/>
      <c r="AA110" s="118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2"/>
      <c r="U111" s="118"/>
      <c r="W111" s="118"/>
      <c r="Y111" s="118"/>
      <c r="AA111" s="118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2"/>
      <c r="U112" s="118"/>
      <c r="W112" s="118"/>
      <c r="Y112" s="118"/>
      <c r="AA112" s="118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2"/>
      <c r="U113" s="118"/>
      <c r="W113" s="118"/>
      <c r="Y113" s="118"/>
      <c r="AA113" s="118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2"/>
      <c r="U114" s="118"/>
      <c r="W114" s="118"/>
      <c r="Y114" s="118"/>
      <c r="AA114" s="118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2"/>
      <c r="U115" s="118"/>
      <c r="W115" s="118"/>
      <c r="Y115" s="118"/>
      <c r="AA115" s="118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2"/>
      <c r="U116" s="118"/>
      <c r="W116" s="118"/>
      <c r="Y116" s="118"/>
      <c r="AA116" s="118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2"/>
      <c r="U117" s="118"/>
      <c r="W117" s="118"/>
      <c r="Y117" s="118"/>
      <c r="AA117" s="118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2"/>
      <c r="U118" s="118"/>
      <c r="W118" s="118"/>
      <c r="Y118" s="118"/>
      <c r="AA118" s="118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2"/>
      <c r="U119" s="118"/>
      <c r="W119" s="118"/>
      <c r="Y119" s="118"/>
      <c r="AA119" s="118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2"/>
      <c r="U120" s="118"/>
      <c r="W120" s="118"/>
      <c r="Y120" s="118"/>
      <c r="AA120" s="118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2"/>
      <c r="U121" s="118"/>
      <c r="W121" s="118"/>
      <c r="Y121" s="118"/>
      <c r="AA121" s="118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2"/>
      <c r="U122" s="118"/>
      <c r="W122" s="118"/>
      <c r="Y122" s="118"/>
      <c r="AA122" s="118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2"/>
      <c r="U123" s="118"/>
      <c r="W123" s="118"/>
      <c r="Y123" s="118"/>
      <c r="AA123" s="118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2"/>
      <c r="U124" s="118"/>
      <c r="W124" s="118"/>
      <c r="Y124" s="118"/>
      <c r="AA124" s="118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2"/>
      <c r="U125" s="118"/>
      <c r="W125" s="118"/>
      <c r="Y125" s="118"/>
      <c r="AA125" s="118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2"/>
      <c r="U126" s="118"/>
      <c r="W126" s="118"/>
      <c r="Y126" s="118"/>
      <c r="AA126" s="118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2"/>
      <c r="U127" s="118"/>
      <c r="W127" s="118"/>
      <c r="Y127" s="118"/>
      <c r="AA127" s="118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2"/>
      <c r="U128" s="118"/>
      <c r="W128" s="118"/>
      <c r="Y128" s="118"/>
      <c r="AA128" s="118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2"/>
      <c r="U129" s="118"/>
      <c r="W129" s="118"/>
      <c r="Y129" s="118"/>
      <c r="AA129" s="118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2"/>
      <c r="U130" s="118"/>
      <c r="W130" s="118"/>
      <c r="Y130" s="118"/>
      <c r="AA130" s="118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2"/>
      <c r="U131" s="118"/>
      <c r="W131" s="118"/>
      <c r="Y131" s="118"/>
      <c r="AA131" s="118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2"/>
      <c r="U132" s="118"/>
      <c r="W132" s="118"/>
      <c r="Y132" s="118"/>
      <c r="AA132" s="118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2"/>
      <c r="U133" s="118"/>
      <c r="W133" s="118"/>
      <c r="Y133" s="118"/>
      <c r="AA133" s="118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2"/>
      <c r="U134" s="118"/>
      <c r="W134" s="118"/>
      <c r="Y134" s="118"/>
      <c r="AA134" s="118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2"/>
      <c r="U135" s="118"/>
      <c r="W135" s="118"/>
      <c r="Y135" s="118"/>
      <c r="AA135" s="118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2"/>
      <c r="U136" s="118"/>
      <c r="W136" s="118"/>
      <c r="Y136" s="118"/>
      <c r="AA136" s="118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2"/>
      <c r="U137" s="118"/>
      <c r="W137" s="118"/>
      <c r="Y137" s="118"/>
      <c r="AA137" s="118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2"/>
      <c r="U138" s="118"/>
      <c r="W138" s="118"/>
      <c r="Y138" s="118"/>
      <c r="AA138" s="118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2"/>
      <c r="U139" s="118"/>
      <c r="W139" s="118"/>
      <c r="Y139" s="118"/>
      <c r="AA139" s="118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2"/>
      <c r="U140" s="118"/>
      <c r="W140" s="118"/>
      <c r="Y140" s="118"/>
      <c r="AA140" s="118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2"/>
      <c r="U141" s="118"/>
      <c r="W141" s="118"/>
      <c r="Y141" s="118"/>
      <c r="AA141" s="118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2"/>
      <c r="U142" s="118"/>
      <c r="W142" s="118"/>
      <c r="Y142" s="118"/>
      <c r="AA142" s="118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2"/>
      <c r="U143" s="118"/>
      <c r="W143" s="118"/>
      <c r="Y143" s="118"/>
      <c r="AA143" s="118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2"/>
      <c r="U144" s="118"/>
      <c r="W144" s="118"/>
      <c r="Y144" s="118"/>
      <c r="AA144" s="118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2"/>
      <c r="U145" s="118"/>
      <c r="W145" s="118"/>
      <c r="Y145" s="118"/>
      <c r="AA145" s="118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2"/>
      <c r="U146" s="118"/>
      <c r="W146" s="118"/>
      <c r="Y146" s="118"/>
      <c r="AA146" s="118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2"/>
      <c r="U147" s="118"/>
      <c r="W147" s="118"/>
      <c r="Y147" s="118"/>
      <c r="AA147" s="118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2"/>
      <c r="U148" s="118"/>
      <c r="W148" s="118"/>
      <c r="Y148" s="118"/>
      <c r="AA148" s="118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2"/>
      <c r="U149" s="118"/>
      <c r="W149" s="118"/>
      <c r="Y149" s="118"/>
      <c r="AA149" s="118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2"/>
      <c r="U150" s="118"/>
      <c r="W150" s="118"/>
      <c r="Y150" s="118"/>
      <c r="AA150" s="118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2"/>
      <c r="U151" s="118"/>
      <c r="W151" s="118"/>
      <c r="Y151" s="118"/>
      <c r="AA151" s="118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2"/>
      <c r="U152" s="118"/>
      <c r="W152" s="118"/>
      <c r="Y152" s="118"/>
      <c r="AA152" s="118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2"/>
      <c r="U153" s="118"/>
      <c r="W153" s="118"/>
      <c r="Y153" s="118"/>
      <c r="AA153" s="118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2"/>
      <c r="U154" s="118"/>
      <c r="W154" s="118"/>
      <c r="Y154" s="118"/>
      <c r="AA154" s="118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2"/>
      <c r="U155" s="118"/>
      <c r="W155" s="118"/>
      <c r="Y155" s="118"/>
      <c r="AA155" s="118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2"/>
      <c r="U156" s="118"/>
      <c r="W156" s="118"/>
      <c r="Y156" s="118"/>
      <c r="AA156" s="118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2"/>
      <c r="U157" s="118"/>
      <c r="W157" s="118"/>
      <c r="Y157" s="118"/>
      <c r="AA157" s="118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2"/>
      <c r="U158" s="118"/>
      <c r="W158" s="118"/>
      <c r="Y158" s="118"/>
      <c r="AA158" s="118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2"/>
      <c r="U159" s="118"/>
      <c r="W159" s="118"/>
      <c r="Y159" s="118"/>
      <c r="AA159" s="118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2"/>
      <c r="U160" s="118"/>
      <c r="W160" s="118"/>
      <c r="Y160" s="118"/>
      <c r="AA160" s="118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2"/>
      <c r="U161" s="118"/>
      <c r="W161" s="118"/>
      <c r="Y161" s="118"/>
      <c r="AA161" s="118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2"/>
      <c r="U162" s="118"/>
      <c r="W162" s="118"/>
      <c r="Y162" s="118"/>
      <c r="AA162" s="118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2"/>
      <c r="U163" s="118"/>
      <c r="W163" s="118"/>
      <c r="Y163" s="118"/>
      <c r="AA163" s="118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2"/>
      <c r="U164" s="118"/>
      <c r="W164" s="118"/>
      <c r="Y164" s="118"/>
      <c r="AA164" s="118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2"/>
      <c r="U165" s="118"/>
      <c r="W165" s="118"/>
      <c r="Y165" s="118"/>
      <c r="AA165" s="118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2"/>
      <c r="U166" s="118"/>
      <c r="W166" s="118"/>
      <c r="Y166" s="118"/>
      <c r="AA166" s="118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2"/>
      <c r="U167" s="118"/>
      <c r="W167" s="118"/>
      <c r="Y167" s="118"/>
      <c r="AA167" s="118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2"/>
      <c r="U168" s="118"/>
      <c r="W168" s="118"/>
      <c r="Y168" s="118"/>
      <c r="AA168" s="118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2"/>
      <c r="U169" s="118"/>
      <c r="W169" s="118"/>
      <c r="Y169" s="118"/>
      <c r="AA169" s="118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2"/>
      <c r="U170" s="118"/>
      <c r="W170" s="118"/>
      <c r="Y170" s="118"/>
      <c r="AA170" s="118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2"/>
      <c r="U171" s="118"/>
      <c r="W171" s="118"/>
      <c r="Y171" s="118"/>
      <c r="AA171" s="118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2"/>
      <c r="U172" s="118"/>
      <c r="W172" s="118"/>
      <c r="Y172" s="118"/>
      <c r="AA172" s="118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2"/>
      <c r="U173" s="118"/>
      <c r="W173" s="118"/>
      <c r="Y173" s="118"/>
      <c r="AA173" s="118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2"/>
      <c r="U174" s="118"/>
      <c r="W174" s="118"/>
      <c r="Y174" s="118"/>
      <c r="AA174" s="118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2"/>
      <c r="U175" s="118"/>
      <c r="W175" s="118"/>
      <c r="Y175" s="118"/>
      <c r="AA175" s="118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2"/>
      <c r="U176" s="118"/>
      <c r="W176" s="118"/>
      <c r="Y176" s="118"/>
      <c r="AA176" s="118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2"/>
      <c r="U177" s="118"/>
      <c r="W177" s="118"/>
      <c r="Y177" s="118"/>
      <c r="AA177" s="118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2"/>
      <c r="U178" s="118"/>
      <c r="W178" s="118"/>
      <c r="Y178" s="118"/>
      <c r="AA178" s="118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2"/>
      <c r="U179" s="118"/>
      <c r="W179" s="118"/>
      <c r="Y179" s="118"/>
      <c r="AA179" s="118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2"/>
      <c r="U180" s="118"/>
      <c r="W180" s="118"/>
      <c r="Y180" s="118"/>
      <c r="AA180" s="118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2"/>
      <c r="U181" s="118"/>
      <c r="W181" s="118"/>
      <c r="Y181" s="118"/>
      <c r="AA181" s="118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2"/>
      <c r="U182" s="118"/>
      <c r="W182" s="118"/>
      <c r="Y182" s="118"/>
      <c r="AA182" s="118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2"/>
      <c r="U183" s="118"/>
      <c r="W183" s="118"/>
      <c r="Y183" s="118"/>
      <c r="AA183" s="118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2"/>
      <c r="U184" s="118"/>
      <c r="W184" s="118"/>
      <c r="Y184" s="118"/>
      <c r="AA184" s="118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2"/>
      <c r="U185" s="118"/>
      <c r="W185" s="118"/>
      <c r="Y185" s="118"/>
      <c r="AA185" s="118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2"/>
      <c r="U186" s="118"/>
      <c r="W186" s="118"/>
      <c r="Y186" s="118"/>
      <c r="AA186" s="118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2"/>
      <c r="U187" s="118"/>
      <c r="W187" s="118"/>
      <c r="Y187" s="118"/>
      <c r="AA187" s="118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2"/>
      <c r="U188" s="118"/>
      <c r="W188" s="118"/>
      <c r="Y188" s="118"/>
      <c r="AA188" s="118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2"/>
      <c r="U189" s="118"/>
      <c r="W189" s="118"/>
      <c r="Y189" s="118"/>
      <c r="AA189" s="118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2"/>
      <c r="U190" s="118"/>
      <c r="W190" s="118"/>
      <c r="Y190" s="118"/>
      <c r="AA190" s="118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2"/>
      <c r="U191" s="118"/>
      <c r="W191" s="118"/>
      <c r="Y191" s="118"/>
      <c r="AA191" s="118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2"/>
      <c r="U192" s="118"/>
      <c r="W192" s="118"/>
      <c r="Y192" s="118"/>
      <c r="AA192" s="118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2"/>
      <c r="U193" s="118"/>
      <c r="W193" s="118"/>
      <c r="Y193" s="118"/>
      <c r="AA193" s="118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2"/>
      <c r="U194" s="118"/>
      <c r="W194" s="118"/>
      <c r="Y194" s="118"/>
      <c r="AA194" s="118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2"/>
      <c r="U195" s="118"/>
      <c r="W195" s="118"/>
      <c r="Y195" s="118"/>
      <c r="AA195" s="118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2"/>
      <c r="U196" s="118"/>
      <c r="W196" s="118"/>
      <c r="Y196" s="118"/>
      <c r="AA196" s="118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2"/>
      <c r="U197" s="118"/>
      <c r="W197" s="118"/>
      <c r="Y197" s="118"/>
      <c r="AA197" s="118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2"/>
      <c r="U198" s="118"/>
      <c r="W198" s="118"/>
      <c r="Y198" s="118"/>
      <c r="AA198" s="118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2"/>
      <c r="U199" s="118"/>
      <c r="W199" s="118"/>
      <c r="Y199" s="118"/>
      <c r="AA199" s="118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2"/>
      <c r="U200" s="118"/>
      <c r="W200" s="118"/>
      <c r="Y200" s="118"/>
      <c r="AA200" s="118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23"/>
      <c r="U201" s="119"/>
      <c r="W201" s="119"/>
      <c r="Y201" s="119"/>
      <c r="AA201" s="119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6" t="s">
        <v>25</v>
      </c>
      <c r="B1" s="116"/>
      <c r="D1" s="1" t="s">
        <v>1</v>
      </c>
      <c r="E1" s="1" t="s">
        <v>11</v>
      </c>
      <c r="F1" s="1" t="str">
        <f>Moderator_effect_size_measure</f>
        <v>Log Odds Ratio</v>
      </c>
      <c r="G1" s="1" t="s">
        <v>29</v>
      </c>
    </row>
    <row r="2" spans="1:7" x14ac:dyDescent="0.3">
      <c r="A2" s="3" t="s">
        <v>38</v>
      </c>
      <c r="B2" s="5" t="s">
        <v>73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79</v>
      </c>
      <c r="B3" s="5" t="s">
        <v>92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45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30</v>
      </c>
      <c r="B6" s="5" t="s">
        <v>93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35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6" t="s">
        <v>62</v>
      </c>
      <c r="B9" s="116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1" t="s">
        <v>73</v>
      </c>
      <c r="B10" s="121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15" t="s">
        <v>63</v>
      </c>
      <c r="B11" s="115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15" t="s">
        <v>64</v>
      </c>
      <c r="B12" s="115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6" t="s">
        <v>91</v>
      </c>
      <c r="B14" s="116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1" t="str">
        <f>IF(Moderator_weighting_method="Peto","Log Peto Odds Ratio","Log Odds Ratio")</f>
        <v>Log Odds Ratio</v>
      </c>
      <c r="B15" s="121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15" t="str">
        <f>IF(Moderator_weighting_method="Inverse variance","Log Risk Ratio","")</f>
        <v>Log Risk Ratio</v>
      </c>
      <c r="B16" s="115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15" t="str">
        <f>IF(Moderator_weighting_method="Inverse Variance","Risk Difference","")</f>
        <v>Risk Difference</v>
      </c>
      <c r="B17" s="115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94</v>
      </c>
      <c r="K28" s="1" t="s">
        <v>95</v>
      </c>
      <c r="L28" s="1" t="s">
        <v>96</v>
      </c>
      <c r="M28" s="1" t="s">
        <v>97</v>
      </c>
      <c r="N28" s="25" t="s">
        <v>98</v>
      </c>
      <c r="O28" s="1" t="s">
        <v>53</v>
      </c>
      <c r="P28" s="1" t="s">
        <v>99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100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85</v>
      </c>
      <c r="J32" s="1" t="str">
        <f>IF(Moderator_model="Fixed effect","Sum of squares (Q)","Sum of squares (Q*)")</f>
        <v>Sum of squares (Q)</v>
      </c>
      <c r="K32" s="1" t="s">
        <v>86</v>
      </c>
      <c r="L32" s="1" t="s">
        <v>87</v>
      </c>
      <c r="N32" s="1" t="s">
        <v>101</v>
      </c>
      <c r="O32" s="1" t="s">
        <v>102</v>
      </c>
      <c r="P32" s="1" t="s">
        <v>99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30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103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104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105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106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72" zoomScaleNormal="100" workbookViewId="0">
      <pane ySplit="1" topLeftCell="A2" activePane="bottomLeft" state="frozen"/>
      <selection pane="bottomLeft" activeCell="S10" sqref="S10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25</v>
      </c>
      <c r="B1" s="1"/>
      <c r="D1" s="1" t="s">
        <v>1</v>
      </c>
      <c r="E1" s="1" t="str">
        <f>Additional_effect_size_measure</f>
        <v>Log Odds Ratio</v>
      </c>
      <c r="F1" s="1" t="s">
        <v>107</v>
      </c>
      <c r="M1" s="85"/>
      <c r="O1" s="116" t="s">
        <v>108</v>
      </c>
      <c r="P1" s="116"/>
      <c r="Q1" s="116"/>
      <c r="R1" s="116"/>
      <c r="S1" s="28"/>
      <c r="T1" s="85"/>
      <c r="V1" s="1" t="s">
        <v>1</v>
      </c>
      <c r="W1" s="1" t="s">
        <v>109</v>
      </c>
      <c r="AE1" s="85"/>
      <c r="AG1" s="1" t="s">
        <v>1</v>
      </c>
      <c r="AH1" s="1" t="s">
        <v>110</v>
      </c>
      <c r="AI1" s="1" t="s">
        <v>111</v>
      </c>
      <c r="AR1" s="85"/>
      <c r="AT1" s="1" t="s">
        <v>1</v>
      </c>
      <c r="AU1" s="1" t="s">
        <v>112</v>
      </c>
      <c r="AV1" s="1" t="s">
        <v>113</v>
      </c>
      <c r="BC1" s="85"/>
      <c r="BE1" s="1" t="s">
        <v>1</v>
      </c>
      <c r="BF1" s="75" t="s">
        <v>114</v>
      </c>
      <c r="BG1" s="1" t="s">
        <v>115</v>
      </c>
      <c r="BP1" s="85"/>
      <c r="BR1" s="1" t="s">
        <v>116</v>
      </c>
      <c r="BS1" s="1"/>
      <c r="BT1" s="85"/>
    </row>
    <row r="2" spans="1:72" x14ac:dyDescent="0.3">
      <c r="A2" s="3" t="s">
        <v>38</v>
      </c>
      <c r="B2" s="5" t="s">
        <v>73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18" t="s">
        <v>117</v>
      </c>
      <c r="O2" s="3"/>
      <c r="P2" s="3" t="s">
        <v>118</v>
      </c>
      <c r="Q2" s="3" t="s">
        <v>95</v>
      </c>
      <c r="R2" s="3" t="s">
        <v>96</v>
      </c>
      <c r="S2" s="3" t="s">
        <v>97</v>
      </c>
      <c r="T2" s="118" t="s">
        <v>119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18" t="s">
        <v>120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18" t="s">
        <v>121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18" t="s">
        <v>122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18" t="s">
        <v>123</v>
      </c>
      <c r="BR2" s="132" t="s">
        <v>124</v>
      </c>
      <c r="BS2" s="132"/>
      <c r="BT2" s="118" t="s">
        <v>125</v>
      </c>
    </row>
    <row r="3" spans="1:72" x14ac:dyDescent="0.3">
      <c r="A3" s="3" t="s">
        <v>79</v>
      </c>
      <c r="B3" s="5" t="s">
        <v>92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18"/>
      <c r="O3" s="3" t="s">
        <v>100</v>
      </c>
      <c r="P3" s="4">
        <f>IF(Additional_valid_options="Yes",INTERCEPT(Z_score,Inverse_standard_error),NA())</f>
        <v>127.01531631006667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18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18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18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18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18"/>
      <c r="BR3" s="3" t="s">
        <v>126</v>
      </c>
      <c r="BS3" s="4">
        <f>SUM(Calculations!JH:JH)/SQRT(k_)</f>
        <v>2.2986593142137259</v>
      </c>
      <c r="BT3" s="118"/>
    </row>
    <row r="4" spans="1:72" x14ac:dyDescent="0.3">
      <c r="A4" s="3" t="s">
        <v>45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18"/>
      <c r="O4" s="3" t="s">
        <v>127</v>
      </c>
      <c r="P4" s="4">
        <f>IF(Additional_valid_options="Yes",SLOPE(Z_score,Inverse_standard_error),NA())</f>
        <v>-23.988264677612218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18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18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18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18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18"/>
      <c r="BR4" s="3" t="s">
        <v>128</v>
      </c>
      <c r="BS4" s="7">
        <f>MAX(0,ROUNDUP(k_*(BS3/NORMSINV((1-Additional_confidence_level)))^2-k_,0))</f>
        <v>2</v>
      </c>
      <c r="BT4" s="118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18"/>
      <c r="T5" s="118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8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8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8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8"/>
      <c r="BR5" s="3" t="s">
        <v>129</v>
      </c>
      <c r="BS5" s="4" t="b">
        <f>BS4&lt;5*k_+10</f>
        <v>1</v>
      </c>
      <c r="BT5" s="118"/>
    </row>
    <row r="6" spans="1:72" x14ac:dyDescent="0.3">
      <c r="A6" s="3" t="s">
        <v>30</v>
      </c>
      <c r="B6" s="5" t="s">
        <v>93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18"/>
      <c r="O6" s="3" t="s">
        <v>130</v>
      </c>
      <c r="P6" s="4" t="e">
        <f>P3/Q3</f>
        <v>#DIV/0!</v>
      </c>
      <c r="T6" s="118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18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18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18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18"/>
      <c r="BT6" s="118"/>
    </row>
    <row r="7" spans="1:72" x14ac:dyDescent="0.3">
      <c r="A7" s="3" t="s">
        <v>35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8"/>
      <c r="O7" s="3" t="s">
        <v>99</v>
      </c>
      <c r="P7" s="26" t="e">
        <f>TDIST(ABS(P6),k_-2,2)</f>
        <v>#DIV/0!</v>
      </c>
      <c r="T7" s="118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8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8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8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8"/>
      <c r="BR7" s="116" t="s">
        <v>131</v>
      </c>
      <c r="BS7" s="116"/>
      <c r="BT7" s="118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8"/>
      <c r="T8" s="118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8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8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8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8"/>
      <c r="BR8" s="3" t="s">
        <v>132</v>
      </c>
      <c r="BS8" s="7">
        <f>MAX(0,ROUNDUP((k_*(1-MAX(Calculations!JI:JI))-1)/MAX(Calculations!JI:JI),0))</f>
        <v>3</v>
      </c>
      <c r="BT8" s="118"/>
    </row>
    <row r="9" spans="1:72" x14ac:dyDescent="0.3">
      <c r="A9" s="116" t="s">
        <v>62</v>
      </c>
      <c r="B9" s="116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8"/>
      <c r="O9" s="116" t="s">
        <v>133</v>
      </c>
      <c r="P9" s="116"/>
      <c r="T9" s="118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8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8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8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8"/>
      <c r="BT9" s="118"/>
    </row>
    <row r="10" spans="1:72" ht="13" x14ac:dyDescent="0.35">
      <c r="A10" s="121" t="s">
        <v>73</v>
      </c>
      <c r="B10" s="121"/>
      <c r="D10" s="44" t="str">
        <f t="shared" si="0"/>
        <v>Neumann et al.</v>
      </c>
      <c r="E10" s="3">
        <f t="shared" si="1"/>
        <v>0.14390220599949552</v>
      </c>
      <c r="F10" s="3">
        <f t="shared" si="2"/>
        <v>0.18999414861669803</v>
      </c>
      <c r="M10" s="118"/>
      <c r="O10" s="3" t="s">
        <v>134</v>
      </c>
      <c r="P10" s="4">
        <f>IF(Additional_valid_options="Yes",SUM(Calculations!HT:HT)/2-SUM(Calculations!HU:HU)/2,NA())</f>
        <v>1</v>
      </c>
      <c r="T10" s="118"/>
      <c r="V10" s="76" t="str">
        <f t="shared" si="3"/>
        <v>Neumann et al.</v>
      </c>
      <c r="W10" s="35">
        <f>IF(AND(Include_study?="Yes",Sufficient_data="Yes"),((E:E-I$29)*SQRT(Calculations!FU:FU))/SQRT(1-Calculations!FU:FU/SUM(Calculations!FU:FU)),"")</f>
        <v>-1.2434115717911145</v>
      </c>
      <c r="AE10" s="118"/>
      <c r="AG10" s="76" t="str">
        <f t="shared" si="4"/>
        <v>Neumann et al.</v>
      </c>
      <c r="AH10" s="3">
        <f t="shared" si="5"/>
        <v>5.1797987847395158E-3</v>
      </c>
      <c r="AI10" s="35">
        <f t="shared" si="6"/>
        <v>5.976690905468672E-3</v>
      </c>
      <c r="AR10" s="118"/>
      <c r="AT10" s="76" t="str">
        <f t="shared" si="7"/>
        <v>Neumann et al.</v>
      </c>
      <c r="AU10" s="3">
        <f t="shared" si="8"/>
        <v>5.2633199879088961</v>
      </c>
      <c r="AV10" s="35">
        <f t="shared" si="9"/>
        <v>0.75740335714132823</v>
      </c>
      <c r="BC10" s="118"/>
      <c r="BE10" s="76" t="str">
        <f t="shared" si="10"/>
        <v>Neumann et al.</v>
      </c>
      <c r="BF10" s="3">
        <f>IF(AND(Include_study?="Yes",Sufficient_data="Yes"),NORMSINV(Calculations!IW10),"")</f>
        <v>-0.56594882193286311</v>
      </c>
      <c r="BG10" s="35">
        <f t="shared" si="11"/>
        <v>0.75740335714132823</v>
      </c>
      <c r="BP10" s="118"/>
      <c r="BR10" s="116" t="s">
        <v>135</v>
      </c>
      <c r="BS10" s="116"/>
      <c r="BT10" s="118"/>
    </row>
    <row r="11" spans="1:72" x14ac:dyDescent="0.3">
      <c r="A11" s="115" t="s">
        <v>63</v>
      </c>
      <c r="B11" s="115"/>
      <c r="D11" s="44" t="str">
        <f t="shared" si="0"/>
        <v>Hazarika et al. (A)</v>
      </c>
      <c r="E11" s="3">
        <f t="shared" si="1"/>
        <v>0.48033423170505085</v>
      </c>
      <c r="F11" s="3">
        <f t="shared" si="2"/>
        <v>0.19264290024350392</v>
      </c>
      <c r="M11" s="118"/>
      <c r="O11" s="3" t="s">
        <v>136</v>
      </c>
      <c r="P11" s="4">
        <f>IF(Additional_valid_options="Yes",(SUM(Calculations!HT:HT)/2-SUM(Calculations!HU:HU)/2)/(1/2*k_*(k_-1)),NA())</f>
        <v>1</v>
      </c>
      <c r="T11" s="118"/>
      <c r="V11" s="76" t="str">
        <f t="shared" si="3"/>
        <v>Hazarika et al. (A)</v>
      </c>
      <c r="W11" s="35">
        <f>IF(AND(Include_study?="Yes",Sufficient_data="Yes"),((E:E-I$29)*SQRT(Calculations!FU:FU))/SQRT(1-Calculations!FU:FU/SUM(Calculations!FU:FU)),"")</f>
        <v>1.2434115717911145</v>
      </c>
      <c r="AE11" s="118"/>
      <c r="AG11" s="76" t="str">
        <f t="shared" si="4"/>
        <v>Hazarika et al. (A)</v>
      </c>
      <c r="AH11" s="3">
        <f t="shared" si="5"/>
        <v>1.1793855302279485E-2</v>
      </c>
      <c r="AI11" s="35">
        <f t="shared" si="6"/>
        <v>1.8928466293788637E-2</v>
      </c>
      <c r="AR11" s="118"/>
      <c r="AT11" s="76" t="str">
        <f t="shared" si="7"/>
        <v>Hazarika et al. (A)</v>
      </c>
      <c r="AU11" s="3">
        <f t="shared" si="8"/>
        <v>5.190951749252025</v>
      </c>
      <c r="AV11" s="35">
        <f t="shared" si="9"/>
        <v>2.4933918202949612</v>
      </c>
      <c r="BC11" s="118"/>
      <c r="BE11" s="76" t="str">
        <f t="shared" si="10"/>
        <v>Hazarika et al. (A)</v>
      </c>
      <c r="BF11" s="3">
        <f>IF(AND(Include_study?="Yes",Sufficient_data="Yes"),NORMSINV(Calculations!IW11),"")</f>
        <v>0.56594882193286311</v>
      </c>
      <c r="BG11" s="35">
        <f t="shared" si="11"/>
        <v>2.4933918202949612</v>
      </c>
      <c r="BP11" s="118"/>
      <c r="BR11" s="3" t="s">
        <v>104</v>
      </c>
      <c r="BS11" s="4">
        <f>I29</f>
        <v>0.30978942665032372</v>
      </c>
      <c r="BT11" s="118"/>
    </row>
    <row r="12" spans="1:72" ht="13" x14ac:dyDescent="0.35">
      <c r="A12" s="115" t="s">
        <v>64</v>
      </c>
      <c r="B12" s="115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8"/>
      <c r="O12" s="3" t="s">
        <v>137</v>
      </c>
      <c r="P12" s="4">
        <f>P10/SQRT((k_*(k_-1)*(2*k_+5)/18))</f>
        <v>1</v>
      </c>
      <c r="T12" s="118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8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8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8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8"/>
      <c r="BR12" s="3" t="s">
        <v>138</v>
      </c>
      <c r="BS12" s="5">
        <v>0</v>
      </c>
      <c r="BT12" s="118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8"/>
      <c r="O13" s="3" t="s">
        <v>87</v>
      </c>
      <c r="P13" s="26">
        <f>2*(1-NORMSDIST(ABS(P12)))</f>
        <v>0.31731050786291393</v>
      </c>
      <c r="T13" s="118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8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8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8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8"/>
      <c r="BR13" s="3" t="s">
        <v>139</v>
      </c>
      <c r="BS13" s="5">
        <v>-0.69</v>
      </c>
      <c r="BT13" s="118"/>
    </row>
    <row r="14" spans="1:72" x14ac:dyDescent="0.3">
      <c r="A14" s="116" t="s">
        <v>91</v>
      </c>
      <c r="B14" s="116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8"/>
      <c r="T14" s="118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8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8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8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8"/>
      <c r="BR14" s="3" t="s">
        <v>128</v>
      </c>
      <c r="BS14" s="7">
        <f>MAX(0,ROUNDUP(k_*(BS11-BS12)/(BS12-BS13),0))</f>
        <v>1</v>
      </c>
      <c r="BT14" s="118"/>
    </row>
    <row r="15" spans="1:72" x14ac:dyDescent="0.3">
      <c r="A15" s="121" t="str">
        <f>IF(Additional_weighting_method="Peto","Log Peto Odds Ratio","Log Odds Ratio")</f>
        <v>Log Odds Ratio</v>
      </c>
      <c r="B15" s="121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8"/>
      <c r="T15" s="118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8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8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8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8"/>
      <c r="BT15" s="118"/>
    </row>
    <row r="16" spans="1:72" x14ac:dyDescent="0.3">
      <c r="A16" s="115" t="str">
        <f>IF(Additional_weighting_method="Inverse variance","Log Risk Ratio","")</f>
        <v>Log Risk Ratio</v>
      </c>
      <c r="B16" s="115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8"/>
      <c r="T16" s="118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8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8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8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8"/>
      <c r="BR16" s="116" t="s">
        <v>140</v>
      </c>
      <c r="BS16" s="116"/>
      <c r="BT16" s="118"/>
    </row>
    <row r="17" spans="1:72" x14ac:dyDescent="0.3">
      <c r="A17" s="115" t="str">
        <f>IF(Additional_weighting_method="Inverse Variance","Risk Difference","")</f>
        <v>Risk Difference</v>
      </c>
      <c r="B17" s="115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8"/>
      <c r="T17" s="118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8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8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8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8"/>
      <c r="BR17" s="3" t="s">
        <v>128</v>
      </c>
      <c r="BS17" s="7">
        <f>MAX(0,ROUNDUP(-2*SUM(Calculations!JJ:JJ),0))</f>
        <v>14</v>
      </c>
      <c r="BT17" s="118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8"/>
      <c r="T18" s="118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8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8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8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8"/>
      <c r="BR18" s="3" t="s">
        <v>141</v>
      </c>
      <c r="BS18" s="26">
        <f>CHIDIST(BS17,k_*2)</f>
        <v>7.2950557244361299E-3</v>
      </c>
      <c r="BT18" s="118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8"/>
      <c r="T19" s="118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8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8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8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8"/>
      <c r="BT19" s="118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8"/>
      <c r="T20" s="118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8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8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8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8"/>
      <c r="BT20" s="118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8"/>
      <c r="T21" s="118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8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8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8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8"/>
      <c r="BT21" s="118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8"/>
      <c r="T22" s="118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8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8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8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8"/>
      <c r="BT22" s="118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8"/>
      <c r="T23" s="118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8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8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8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8"/>
      <c r="BT23" s="118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8"/>
      <c r="T24" s="118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8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8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8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8"/>
      <c r="BT24" s="118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8"/>
      <c r="T25" s="118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8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8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8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8"/>
      <c r="BT25" s="118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8"/>
      <c r="T26" s="118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8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8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8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8"/>
      <c r="BT26" s="118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8"/>
      <c r="T27" s="118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8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8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8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8"/>
      <c r="BT27" s="118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104</v>
      </c>
      <c r="I28" s="28" t="s">
        <v>142</v>
      </c>
      <c r="K28" s="116" t="s">
        <v>58</v>
      </c>
      <c r="L28" s="116"/>
      <c r="M28" s="118"/>
      <c r="T28" s="118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8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8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3" t="s">
        <v>143</v>
      </c>
      <c r="AY28" s="133"/>
      <c r="AZ28" s="133"/>
      <c r="BA28" s="133"/>
      <c r="BB28" s="134"/>
      <c r="BC28" s="118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3" t="s">
        <v>143</v>
      </c>
      <c r="BJ28" s="133"/>
      <c r="BK28" s="133"/>
      <c r="BL28" s="133"/>
      <c r="BM28" s="133"/>
      <c r="BP28" s="118"/>
      <c r="BT28" s="118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0.30978942665032372</v>
      </c>
      <c r="K29" s="3" t="s">
        <v>59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1.546072336864051</v>
      </c>
      <c r="M29" s="118"/>
      <c r="T29" s="118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144</v>
      </c>
      <c r="Z29" s="1" t="s">
        <v>145</v>
      </c>
      <c r="AA29" s="1" t="s">
        <v>146</v>
      </c>
      <c r="AE29" s="118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8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118</v>
      </c>
      <c r="AZ29" s="3" t="s">
        <v>95</v>
      </c>
      <c r="BA29" s="3" t="s">
        <v>96</v>
      </c>
      <c r="BB29" s="3" t="s">
        <v>97</v>
      </c>
      <c r="BC29" s="118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118</v>
      </c>
      <c r="BK29" s="3" t="s">
        <v>95</v>
      </c>
      <c r="BL29" s="3" t="s">
        <v>96</v>
      </c>
      <c r="BM29" s="3" t="s">
        <v>97</v>
      </c>
      <c r="BP29" s="118"/>
      <c r="BT29" s="118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0.13527290233525041</v>
      </c>
      <c r="K30" s="3" t="s">
        <v>60</v>
      </c>
      <c r="L30" s="26">
        <f>IF(Additional_valid_options="Yes",CHIDIST(L29,k_-1+IF(Trim_and_fill="On",L39,0)),"")</f>
        <v>0.21371620824838089</v>
      </c>
      <c r="M30" s="118"/>
      <c r="T30" s="118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8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8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100</v>
      </c>
      <c r="AY30" s="4">
        <v>0</v>
      </c>
      <c r="AZ30" s="4"/>
      <c r="BA30" s="4"/>
      <c r="BB30" s="4"/>
      <c r="BC30" s="118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100</v>
      </c>
      <c r="BJ30" s="4">
        <f>INTERCEPT(BG:BG,BF:BF)</f>
        <v>1.6253975887181447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18"/>
      <c r="BT30" s="118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27</v>
      </c>
      <c r="I31" s="4">
        <f>IF(Additional_valid_options="Yes",I29-ABS(TINV((1-Additional_confidence_level),k_-1))*I30,"")</f>
        <v>-1.4090157656779319</v>
      </c>
      <c r="K31" s="3" t="s">
        <v>61</v>
      </c>
      <c r="L31" s="8">
        <f>IF(Additional_valid_options="Yes",IF(L29-(k_-1+IF(Trim_and_fill="On",L39,0))&lt;=0,0,(L29-(k_-1+IF(Trim_and_fill="On",L39,0)))/L29),"")</f>
        <v>0.35319973318432651</v>
      </c>
      <c r="M31" s="118"/>
      <c r="T31" s="118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-1.05</v>
      </c>
      <c r="Z31" s="4">
        <f t="array" ref="Z31:Z39">FREQUENCY(W:W,Calculations!HZ2:HZ10)/k_</f>
        <v>0.5</v>
      </c>
      <c r="AA31" s="4">
        <f>NORMSDIST(Calculations!HZ2)</f>
        <v>0.14685905637589594</v>
      </c>
      <c r="AE31" s="118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8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127</v>
      </c>
      <c r="AY31" s="4">
        <f>I29</f>
        <v>0.30978942665032372</v>
      </c>
      <c r="AZ31" s="4">
        <f>I30</f>
        <v>0.13527290233525041</v>
      </c>
      <c r="BA31" s="4">
        <f>AY31-ABS(TINV((1-Additional_confidence_level),k_-1))*AZ31</f>
        <v>-1.4090157656779319</v>
      </c>
      <c r="BB31" s="4">
        <f>AY31+ABS(TINV((1-Additional_confidence_level),k_-1))*AZ31</f>
        <v>2.0285946189785795</v>
      </c>
      <c r="BC31" s="118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127</v>
      </c>
      <c r="BJ31" s="4">
        <f>SLOPE(BG:BG,BF:BF)</f>
        <v>1.5336973908919702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18"/>
      <c r="BT31" s="118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28</v>
      </c>
      <c r="I32" s="4">
        <f>IF(Additional_valid_options="Yes",I29+ABS(TINV((1-Additional_confidence_level),k_-1))*I30,"")</f>
        <v>2.0285946189785795</v>
      </c>
      <c r="K32" s="3" t="s">
        <v>147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1.9988722198765501E-2</v>
      </c>
      <c r="M32" s="118"/>
      <c r="T32" s="118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-1.05; -0.75</v>
      </c>
      <c r="Z32" s="4">
        <v>0</v>
      </c>
      <c r="AA32" s="4">
        <f>NORMSDIST(Calculations!HZ3)-(SUM(AA$31:AA31))</f>
        <v>7.9768296000972266E-2</v>
      </c>
      <c r="AE32" s="118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3" t="s">
        <v>104</v>
      </c>
      <c r="AL32" s="133"/>
      <c r="AM32" s="133"/>
      <c r="AR32" s="118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8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8"/>
      <c r="BT32" s="118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51</v>
      </c>
      <c r="I33" s="4">
        <f>IF(Additional_valid_options="Yes",I29-ABS(TINV((1-Additional_confidence_level),k_-1))*SQRT(I30^2+Calculations!GH12),"")</f>
        <v>-2.1764574015520166</v>
      </c>
      <c r="K33" s="3" t="s">
        <v>71</v>
      </c>
      <c r="L33" s="4">
        <f>IF(Additional_valid_options="Yes",SQRT(L32),"")</f>
        <v>0.14138147756607122</v>
      </c>
      <c r="M33" s="118"/>
      <c r="T33" s="118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-0.75; -0.45</v>
      </c>
      <c r="Z33" s="4">
        <v>0</v>
      </c>
      <c r="AA33" s="4">
        <f>NORMSDIST(Calculations!HZ4)-(SUM(AA$31:AA32))</f>
        <v>9.9727867911051815E-2</v>
      </c>
      <c r="AE33" s="118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1" t="s">
        <v>148</v>
      </c>
      <c r="AL33" s="131"/>
      <c r="AM33" s="131"/>
      <c r="AR33" s="118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8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149</v>
      </c>
      <c r="BJ33" s="5" t="s">
        <v>150</v>
      </c>
      <c r="BP33" s="118"/>
      <c r="BT33" s="118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52</v>
      </c>
      <c r="I34" s="4">
        <f>IF(Additional_valid_options="Yes",I29+ABS(TINV((1-Additional_confidence_level),k_-1))*SQRT(I30^2+Calculations!GH12),"")</f>
        <v>2.7960362548526643</v>
      </c>
      <c r="M34" s="118"/>
      <c r="T34" s="118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-0.45; -0.15</v>
      </c>
      <c r="Z34" s="4">
        <v>0</v>
      </c>
      <c r="AA34" s="4">
        <f>NORMSDIST(Calculations!HZ5)-(SUM(AA$31:AA33))</f>
        <v>0.11402708734183747</v>
      </c>
      <c r="AE34" s="118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151</v>
      </c>
      <c r="AL34" s="3"/>
      <c r="AM34" s="4">
        <f>EXP(SUMPRODUCT(LogRiskRatio,Calculations!IE:IE)/SUM(Calculations!IE:IE))</f>
        <v>1.35982774272124</v>
      </c>
      <c r="AR34" s="118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8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8"/>
      <c r="BT34" s="118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8"/>
      <c r="T35" s="118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-0.15; 0.15</v>
      </c>
      <c r="Z35" s="4">
        <v>0</v>
      </c>
      <c r="AA35" s="4">
        <f>NORMSDIST(Calculations!HZ6)-(SUM(AA$31:AA34))</f>
        <v>0.11923538474048501</v>
      </c>
      <c r="AE35" s="118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8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8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8"/>
      <c r="BT35" s="118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104</v>
      </c>
      <c r="I36" s="90" t="s">
        <v>152</v>
      </c>
      <c r="K36" s="1" t="s">
        <v>153</v>
      </c>
      <c r="L36" s="5" t="s">
        <v>154</v>
      </c>
      <c r="M36" s="118"/>
      <c r="T36" s="118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0.15; 0.45</v>
      </c>
      <c r="Z36" s="4">
        <v>0</v>
      </c>
      <c r="AA36" s="4">
        <f>NORMSDIST(Calculations!HZ7)-(SUM(AA$31:AA35))</f>
        <v>0.11402708734183742</v>
      </c>
      <c r="AE36" s="118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8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8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8"/>
      <c r="BT36" s="118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0.30978942665032372</v>
      </c>
      <c r="K37" s="3" t="s">
        <v>155</v>
      </c>
      <c r="L37" s="5" t="s">
        <v>156</v>
      </c>
      <c r="M37" s="118"/>
      <c r="T37" s="118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0.45; 0.75</v>
      </c>
      <c r="Z37" s="4">
        <v>0</v>
      </c>
      <c r="AA37" s="4">
        <f>NORMSDIST(Calculations!HZ8)-(SUM(AA$31:AA36))</f>
        <v>9.9727867911051815E-2</v>
      </c>
      <c r="AE37" s="118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8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8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8"/>
      <c r="BT37" s="118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0.13527290233525041</v>
      </c>
      <c r="K38" s="3" t="s">
        <v>157</v>
      </c>
      <c r="L38" s="91" t="str">
        <f>IF(Trim_and_fill="Off","",IF(I29&gt;0,"Left",IF(I29&lt;0,"Right","NA")))</f>
        <v>Left</v>
      </c>
      <c r="M38" s="118"/>
      <c r="T38" s="118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0.75; 1.05</v>
      </c>
      <c r="Z38" s="4">
        <v>0</v>
      </c>
      <c r="AA38" s="4">
        <f>NORMSDIST(Calculations!HZ9)-(SUM(AA$31:AA37))</f>
        <v>7.976829600097235E-2</v>
      </c>
      <c r="AE38" s="118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8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8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8"/>
      <c r="BT38" s="118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27</v>
      </c>
      <c r="I39" s="4">
        <f>IF(AND(Trim_and_fill="On",Additional_valid_options="Yes",L38&lt;&gt;""),I37-ABS(TINV((1-Additional_confidence_level),k_+L39-1))*I38,"")</f>
        <v>-1.4090157656779319</v>
      </c>
      <c r="K39" s="3" t="s">
        <v>158</v>
      </c>
      <c r="L39" s="7">
        <f>IF(L38&lt;&gt;"",Calculations!GW21,"")</f>
        <v>0</v>
      </c>
      <c r="M39" s="118"/>
      <c r="T39" s="118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1.05; ∞</v>
      </c>
      <c r="Z39" s="4">
        <v>0.5</v>
      </c>
      <c r="AA39" s="4">
        <f>1-(SUM(AA31:AA38))</f>
        <v>0.14685905637589591</v>
      </c>
      <c r="AE39" s="118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8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8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8"/>
      <c r="BT39" s="118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28</v>
      </c>
      <c r="I40" s="4">
        <f>IF(AND(Trim_and_fill="On",Additional_valid_options="Yes",L38&lt;&gt;""),I37+ABS(TINV((1-Additional_confidence_level),k_+L39-1))*I38,"")</f>
        <v>2.0285946189785795</v>
      </c>
      <c r="M40" s="118"/>
      <c r="T40" s="118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8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8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8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8"/>
      <c r="BT40" s="118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51</v>
      </c>
      <c r="I41" s="4">
        <f>IF(AND(Trim_and_fill="On",Additional_valid_options="Yes",L38&lt;&gt;""),I37-ABS(TINV((1-Additional_confidence_level),k_+L39-1))*SQRT(I38^2+L32),"")</f>
        <v>-2.1764574015520166</v>
      </c>
      <c r="M41" s="118"/>
      <c r="T41" s="118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159</v>
      </c>
      <c r="AE41" s="118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8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8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8"/>
      <c r="BT41" s="118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52</v>
      </c>
      <c r="I42" s="4">
        <f>IF(AND(Trim_and_fill="On",Additional_valid_options="Yes",L38&lt;&gt;""),I37+ABS(TINV((1-Additional_confidence_level),k_+L39-1))*SQRT(I38^2+L32),"")</f>
        <v>2.7960362548526643</v>
      </c>
      <c r="M42" s="118"/>
      <c r="T42" s="118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8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8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8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8"/>
      <c r="BT42" s="118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8"/>
      <c r="T43" s="118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8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8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8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8"/>
      <c r="BT43" s="118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8"/>
      <c r="T44" s="118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8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8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8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8"/>
      <c r="BT44" s="118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8"/>
      <c r="T45" s="118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8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8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8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8"/>
      <c r="BT45" s="118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8"/>
      <c r="T46" s="118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8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8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8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8"/>
      <c r="BT46" s="118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8"/>
      <c r="T47" s="118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8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8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8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8"/>
      <c r="BT47" s="118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8"/>
      <c r="T48" s="118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8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8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8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8"/>
      <c r="BT48" s="118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8"/>
      <c r="T49" s="118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8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8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8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8"/>
      <c r="BT49" s="118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8"/>
      <c r="T50" s="118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8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8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8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8"/>
      <c r="BT50" s="118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8"/>
      <c r="T51" s="118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8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8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8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8"/>
      <c r="BT51" s="118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8"/>
      <c r="T52" s="118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8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8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8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8"/>
      <c r="BT52" s="118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8"/>
      <c r="T53" s="118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8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8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8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8"/>
      <c r="BT53" s="118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8"/>
      <c r="T54" s="118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8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8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8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8"/>
      <c r="BT54" s="118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8"/>
      <c r="T55" s="118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8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8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8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8"/>
      <c r="BT55" s="118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8"/>
      <c r="T56" s="118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8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8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8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8"/>
      <c r="BT56" s="118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8"/>
      <c r="T57" s="118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8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8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8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8"/>
      <c r="BT57" s="118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8"/>
      <c r="T58" s="118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8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8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8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8"/>
      <c r="BT58" s="118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8"/>
      <c r="T59" s="118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8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8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8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8"/>
      <c r="BT59" s="118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8"/>
      <c r="T60" s="118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8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8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8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8"/>
      <c r="BT60" s="118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8"/>
      <c r="T61" s="118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8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8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8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8"/>
      <c r="BT61" s="118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8"/>
      <c r="T62" s="118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8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8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8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8"/>
      <c r="BT62" s="118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8"/>
      <c r="T63" s="118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8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8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8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8"/>
      <c r="BT63" s="118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8"/>
      <c r="T64" s="118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8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8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8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8"/>
      <c r="BT64" s="118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8"/>
      <c r="T65" s="118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8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8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8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8"/>
      <c r="BT65" s="118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8"/>
      <c r="T66" s="118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8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8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8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8"/>
      <c r="BT66" s="118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8"/>
      <c r="T67" s="118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8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8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8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8"/>
      <c r="BT67" s="118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8"/>
      <c r="T68" s="118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8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8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8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8"/>
      <c r="BT68" s="118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8"/>
      <c r="T69" s="118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8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8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8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8"/>
      <c r="BT69" s="118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8"/>
      <c r="T70" s="118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8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8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8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8"/>
      <c r="BT70" s="118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8"/>
      <c r="T71" s="118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8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8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8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8"/>
      <c r="BT71" s="118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8"/>
      <c r="T72" s="118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8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8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8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8"/>
      <c r="BT72" s="118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8"/>
      <c r="T73" s="118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8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8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8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8"/>
      <c r="BT73" s="118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8"/>
      <c r="T74" s="118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8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8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8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8"/>
      <c r="BT74" s="118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8"/>
      <c r="T75" s="118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8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8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8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8"/>
      <c r="BT75" s="118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8"/>
      <c r="T76" s="118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8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8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8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8"/>
      <c r="BT76" s="118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8"/>
      <c r="T77" s="118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8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8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8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8"/>
      <c r="BT77" s="118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8"/>
      <c r="T78" s="118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8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8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8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8"/>
      <c r="BT78" s="118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8"/>
      <c r="T79" s="118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8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8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8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8"/>
      <c r="BT79" s="118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8"/>
      <c r="T80" s="118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8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8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8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8"/>
      <c r="BT80" s="118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8"/>
      <c r="T81" s="118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8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8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8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8"/>
      <c r="BT81" s="118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8"/>
      <c r="T82" s="118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8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8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8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8"/>
      <c r="BT82" s="118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8"/>
      <c r="T83" s="118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8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8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8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8"/>
      <c r="BT83" s="118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8"/>
      <c r="T84" s="118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8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8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8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8"/>
      <c r="BT84" s="118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8"/>
      <c r="T85" s="118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8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8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8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8"/>
      <c r="BT85" s="118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8"/>
      <c r="T86" s="118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8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8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8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8"/>
      <c r="BT86" s="118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8"/>
      <c r="T87" s="118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8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8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8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8"/>
      <c r="BT87" s="118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8"/>
      <c r="T88" s="118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8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8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8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8"/>
      <c r="BT88" s="118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8"/>
      <c r="T89" s="118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8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8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8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8"/>
      <c r="BT89" s="118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8"/>
      <c r="T90" s="118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8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8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8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8"/>
      <c r="BT90" s="118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8"/>
      <c r="T91" s="118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8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8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8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8"/>
      <c r="BT91" s="118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8"/>
      <c r="T92" s="118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8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8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8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8"/>
      <c r="BT92" s="118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8"/>
      <c r="T93" s="118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8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8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8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8"/>
      <c r="BT93" s="118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8"/>
      <c r="T94" s="118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8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8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8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8"/>
      <c r="BT94" s="118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8"/>
      <c r="T95" s="118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8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8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8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8"/>
      <c r="BT95" s="118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8"/>
      <c r="T96" s="118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8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8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8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8"/>
      <c r="BT96" s="118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8"/>
      <c r="T97" s="118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8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8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8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8"/>
      <c r="BT97" s="118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8"/>
      <c r="T98" s="118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8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8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8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8"/>
      <c r="BT98" s="118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8"/>
      <c r="T99" s="118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8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8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8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8"/>
      <c r="BT99" s="118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8"/>
      <c r="T100" s="118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8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8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8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8"/>
      <c r="BT100" s="118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8"/>
      <c r="T101" s="118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8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8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8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8"/>
      <c r="BT101" s="118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8"/>
      <c r="T102" s="118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8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8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8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8"/>
      <c r="BT102" s="118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8"/>
      <c r="T103" s="118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8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8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8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8"/>
      <c r="BT103" s="118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8"/>
      <c r="T104" s="118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8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8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8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8"/>
      <c r="BT104" s="118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8"/>
      <c r="T105" s="118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8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8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8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8"/>
      <c r="BT105" s="118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8"/>
      <c r="T106" s="118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8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8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8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8"/>
      <c r="BT106" s="118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8"/>
      <c r="T107" s="118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8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8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8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8"/>
      <c r="BT107" s="118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8"/>
      <c r="T108" s="118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8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8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8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8"/>
      <c r="BT108" s="118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8"/>
      <c r="T109" s="118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8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8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8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8"/>
      <c r="BT109" s="118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8"/>
      <c r="T110" s="118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8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8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8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8"/>
      <c r="BT110" s="118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8"/>
      <c r="T111" s="118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8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8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8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8"/>
      <c r="BT111" s="118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8"/>
      <c r="T112" s="118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8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8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8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8"/>
      <c r="BT112" s="118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8"/>
      <c r="T113" s="118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8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8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8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8"/>
      <c r="BT113" s="118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8"/>
      <c r="T114" s="118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8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8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8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8"/>
      <c r="BT114" s="118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8"/>
      <c r="T115" s="118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8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8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8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8"/>
      <c r="BT115" s="118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8"/>
      <c r="T116" s="118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8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8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8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8"/>
      <c r="BT116" s="118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8"/>
      <c r="T117" s="118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8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8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8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8"/>
      <c r="BT117" s="118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8"/>
      <c r="T118" s="118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8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8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8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8"/>
      <c r="BT118" s="118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8"/>
      <c r="T119" s="118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8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8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8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8"/>
      <c r="BT119" s="118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8"/>
      <c r="T120" s="118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8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8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8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8"/>
      <c r="BT120" s="118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8"/>
      <c r="T121" s="118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8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8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8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8"/>
      <c r="BT121" s="118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8"/>
      <c r="T122" s="118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8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8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8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8"/>
      <c r="BT122" s="118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8"/>
      <c r="T123" s="118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8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8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8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8"/>
      <c r="BT123" s="118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8"/>
      <c r="T124" s="118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8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8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8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8"/>
      <c r="BT124" s="118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8"/>
      <c r="T125" s="118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8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8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8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8"/>
      <c r="BT125" s="118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8"/>
      <c r="T126" s="118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8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8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8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8"/>
      <c r="BT126" s="118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8"/>
      <c r="T127" s="118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8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8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8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8"/>
      <c r="BT127" s="118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8"/>
      <c r="T128" s="118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8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8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8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8"/>
      <c r="BT128" s="118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8"/>
      <c r="T129" s="118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8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8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8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8"/>
      <c r="BT129" s="118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8"/>
      <c r="T130" s="118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8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8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8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8"/>
      <c r="BT130" s="118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8"/>
      <c r="T131" s="118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8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8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8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8"/>
      <c r="BT131" s="118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8"/>
      <c r="T132" s="118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8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8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8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8"/>
      <c r="BT132" s="118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8"/>
      <c r="T133" s="118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8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8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8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8"/>
      <c r="BT133" s="118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8"/>
      <c r="T134" s="118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8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8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8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8"/>
      <c r="BT134" s="118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8"/>
      <c r="T135" s="118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8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8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8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8"/>
      <c r="BT135" s="118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8"/>
      <c r="T136" s="118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8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8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8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8"/>
      <c r="BT136" s="118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8"/>
      <c r="T137" s="118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8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8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8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8"/>
      <c r="BT137" s="118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8"/>
      <c r="T138" s="118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8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8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8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8"/>
      <c r="BT138" s="118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8"/>
      <c r="T139" s="118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8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8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8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8"/>
      <c r="BT139" s="118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8"/>
      <c r="T140" s="118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8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8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8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8"/>
      <c r="BT140" s="118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8"/>
      <c r="T141" s="118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8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8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8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8"/>
      <c r="BT141" s="118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8"/>
      <c r="T142" s="118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8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8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8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8"/>
      <c r="BT142" s="118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8"/>
      <c r="T143" s="118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8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8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8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8"/>
      <c r="BT143" s="118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8"/>
      <c r="T144" s="118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8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8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8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8"/>
      <c r="BT144" s="118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8"/>
      <c r="T145" s="118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8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8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8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8"/>
      <c r="BT145" s="118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8"/>
      <c r="T146" s="118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8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8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8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8"/>
      <c r="BT146" s="118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8"/>
      <c r="T147" s="118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8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8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8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8"/>
      <c r="BT147" s="118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8"/>
      <c r="T148" s="118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8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8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8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8"/>
      <c r="BT148" s="118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8"/>
      <c r="T149" s="118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8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8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8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8"/>
      <c r="BT149" s="118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8"/>
      <c r="T150" s="118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8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8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8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8"/>
      <c r="BT150" s="118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8"/>
      <c r="T151" s="118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8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8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8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8"/>
      <c r="BT151" s="118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8"/>
      <c r="T152" s="118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8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8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8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8"/>
      <c r="BT152" s="118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8"/>
      <c r="T153" s="118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8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8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8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8"/>
      <c r="BT153" s="118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8"/>
      <c r="T154" s="118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8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8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8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8"/>
      <c r="BT154" s="118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8"/>
      <c r="T155" s="118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8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8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8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8"/>
      <c r="BT155" s="118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8"/>
      <c r="T156" s="118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8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8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8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8"/>
      <c r="BT156" s="118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8"/>
      <c r="T157" s="118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8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8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8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8"/>
      <c r="BT157" s="118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8"/>
      <c r="T158" s="118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8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8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8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8"/>
      <c r="BT158" s="118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8"/>
      <c r="T159" s="118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8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8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8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8"/>
      <c r="BT159" s="118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8"/>
      <c r="T160" s="118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8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8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8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8"/>
      <c r="BT160" s="118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8"/>
      <c r="T161" s="118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8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8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8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8"/>
      <c r="BT161" s="118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8"/>
      <c r="T162" s="118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8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8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8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8"/>
      <c r="BT162" s="118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8"/>
      <c r="T163" s="118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8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8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8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8"/>
      <c r="BT163" s="118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8"/>
      <c r="T164" s="118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8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8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8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8"/>
      <c r="BT164" s="118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8"/>
      <c r="T165" s="118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8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8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8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8"/>
      <c r="BT165" s="118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8"/>
      <c r="T166" s="118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8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8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8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8"/>
      <c r="BT166" s="118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8"/>
      <c r="T167" s="118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8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8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8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8"/>
      <c r="BT167" s="118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8"/>
      <c r="T168" s="118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8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8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8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8"/>
      <c r="BT168" s="118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8"/>
      <c r="T169" s="118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8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8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8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8"/>
      <c r="BT169" s="118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8"/>
      <c r="T170" s="118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8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8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8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8"/>
      <c r="BT170" s="118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8"/>
      <c r="T171" s="118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8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8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8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8"/>
      <c r="BT171" s="118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8"/>
      <c r="T172" s="118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8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8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8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8"/>
      <c r="BT172" s="118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8"/>
      <c r="T173" s="118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8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8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8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8"/>
      <c r="BT173" s="118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8"/>
      <c r="T174" s="118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8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8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8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8"/>
      <c r="BT174" s="118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8"/>
      <c r="T175" s="118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8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8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8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8"/>
      <c r="BT175" s="118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8"/>
      <c r="T176" s="118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8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8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8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8"/>
      <c r="BT176" s="118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8"/>
      <c r="T177" s="118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8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8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8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8"/>
      <c r="BT177" s="118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8"/>
      <c r="T178" s="118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8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8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8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8"/>
      <c r="BT178" s="118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8"/>
      <c r="T179" s="118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8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8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8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8"/>
      <c r="BT179" s="118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8"/>
      <c r="T180" s="118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8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8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8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8"/>
      <c r="BT180" s="118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8"/>
      <c r="T181" s="118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8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8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8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8"/>
      <c r="BT181" s="118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8"/>
      <c r="T182" s="118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8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8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8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8"/>
      <c r="BT182" s="118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8"/>
      <c r="T183" s="118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8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8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8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8"/>
      <c r="BT183" s="118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8"/>
      <c r="T184" s="118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8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8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8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8"/>
      <c r="BT184" s="118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8"/>
      <c r="T185" s="118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8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8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8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8"/>
      <c r="BT185" s="118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8"/>
      <c r="T186" s="118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8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8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8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8"/>
      <c r="BT186" s="118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8"/>
      <c r="T187" s="118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8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8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8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8"/>
      <c r="BT187" s="118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8"/>
      <c r="T188" s="118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8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8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8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8"/>
      <c r="BT188" s="118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8"/>
      <c r="T189" s="118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8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8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8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8"/>
      <c r="BT189" s="118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8"/>
      <c r="T190" s="118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8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8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8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8"/>
      <c r="BT190" s="118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8"/>
      <c r="T191" s="118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8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8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8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8"/>
      <c r="BT191" s="118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8"/>
      <c r="T192" s="118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8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8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8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8"/>
      <c r="BT192" s="118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8"/>
      <c r="T193" s="118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8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8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8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8"/>
      <c r="BT193" s="118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8"/>
      <c r="T194" s="118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8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8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8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8"/>
      <c r="BT194" s="118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8"/>
      <c r="T195" s="118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8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8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8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8"/>
      <c r="BT195" s="118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8"/>
      <c r="T196" s="118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8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8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8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8"/>
      <c r="BT196" s="118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8"/>
      <c r="T197" s="118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8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8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8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8"/>
      <c r="BT197" s="118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8"/>
      <c r="T198" s="118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8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8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8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8"/>
      <c r="BT198" s="118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8"/>
      <c r="T199" s="118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8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8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8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8"/>
      <c r="BT199" s="118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8"/>
      <c r="T200" s="118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8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8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8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8"/>
      <c r="BT200" s="118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9"/>
      <c r="T201" s="119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9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9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9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9"/>
      <c r="BT201" s="119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160</v>
      </c>
      <c r="H1" s="87"/>
      <c r="I1" s="88"/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P1" s="85"/>
      <c r="Q1" s="1" t="s">
        <v>166</v>
      </c>
      <c r="R1" s="1" t="s">
        <v>167</v>
      </c>
      <c r="S1" s="1" t="s">
        <v>168</v>
      </c>
      <c r="T1" s="1" t="s">
        <v>169</v>
      </c>
      <c r="V1" s="85"/>
      <c r="W1" s="1" t="s">
        <v>170</v>
      </c>
      <c r="X1" s="1" t="s">
        <v>171</v>
      </c>
      <c r="Y1" s="1" t="s">
        <v>172</v>
      </c>
      <c r="Z1" s="1" t="s">
        <v>173</v>
      </c>
      <c r="AB1" s="85"/>
      <c r="AC1" s="1" t="s">
        <v>151</v>
      </c>
      <c r="AD1" s="1" t="s">
        <v>174</v>
      </c>
      <c r="AE1" s="1" t="s">
        <v>175</v>
      </c>
      <c r="AF1" s="1" t="s">
        <v>176</v>
      </c>
      <c r="AG1" s="1" t="s">
        <v>177</v>
      </c>
      <c r="AI1" s="87"/>
      <c r="AJ1" s="116" t="s">
        <v>178</v>
      </c>
      <c r="AK1" s="116"/>
      <c r="AL1" s="1" t="s">
        <v>32</v>
      </c>
      <c r="AM1" s="1" t="s">
        <v>1</v>
      </c>
      <c r="AN1" s="1" t="s">
        <v>36</v>
      </c>
      <c r="AO1" s="1" t="str">
        <f>Present_Effect_size_measure</f>
        <v>Odds Ratio</v>
      </c>
      <c r="AP1" s="1" t="s">
        <v>40</v>
      </c>
      <c r="AQ1" s="1" t="s">
        <v>43</v>
      </c>
      <c r="AR1" s="1" t="str">
        <f>IF(Present_Effect_size_measure="Risk Difference","Standard error","Standard error log")</f>
        <v>Standard error log</v>
      </c>
      <c r="AS1" s="1" t="s">
        <v>27</v>
      </c>
      <c r="AT1" s="1" t="s">
        <v>28</v>
      </c>
      <c r="AU1" s="1" t="s">
        <v>29</v>
      </c>
      <c r="AW1" s="1" t="str">
        <f>Present_Effect_size_measure</f>
        <v>Odds Ratio</v>
      </c>
      <c r="AX1" s="1" t="s">
        <v>179</v>
      </c>
      <c r="AY1" s="1" t="s">
        <v>180</v>
      </c>
      <c r="BA1" s="116" t="s">
        <v>181</v>
      </c>
      <c r="BB1" s="116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95</v>
      </c>
      <c r="BH1" s="1" t="s">
        <v>40</v>
      </c>
      <c r="BI1" s="1" t="s">
        <v>43</v>
      </c>
      <c r="BJ1" s="1" t="s">
        <v>103</v>
      </c>
      <c r="BL1" s="116" t="s">
        <v>50</v>
      </c>
      <c r="BM1" s="116"/>
      <c r="BO1" s="85"/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40</v>
      </c>
      <c r="BW1" s="1" t="s">
        <v>188</v>
      </c>
      <c r="BX1" s="1" t="s">
        <v>43</v>
      </c>
      <c r="BY1" s="1" t="s">
        <v>103</v>
      </c>
      <c r="BZ1" s="11"/>
      <c r="CA1" s="116" t="s">
        <v>50</v>
      </c>
      <c r="CB1" s="116"/>
      <c r="CD1" s="85"/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40</v>
      </c>
      <c r="CJ1" s="1" t="s">
        <v>43</v>
      </c>
      <c r="CK1" s="1" t="s">
        <v>103</v>
      </c>
      <c r="CM1" s="116" t="s">
        <v>50</v>
      </c>
      <c r="CN1" s="116"/>
      <c r="CP1" s="85"/>
      <c r="CQ1" s="1" t="s">
        <v>193</v>
      </c>
      <c r="CS1" s="116" t="s">
        <v>42</v>
      </c>
      <c r="CT1" s="116"/>
      <c r="CU1" s="116"/>
      <c r="CV1" s="116"/>
      <c r="CX1" s="87"/>
      <c r="CY1" s="1" t="s">
        <v>194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40</v>
      </c>
      <c r="DE1" s="1" t="s">
        <v>195</v>
      </c>
      <c r="DF1" s="1" t="s">
        <v>196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197</v>
      </c>
      <c r="DI1" s="1" t="s">
        <v>198</v>
      </c>
      <c r="DJ1" s="1" t="s">
        <v>103</v>
      </c>
      <c r="DL1" s="1" t="str">
        <f>Subgroup_effect_size_measure</f>
        <v>Odds Ratio</v>
      </c>
      <c r="DM1" s="1" t="s">
        <v>179</v>
      </c>
      <c r="DN1" s="1" t="s">
        <v>180</v>
      </c>
      <c r="DP1" s="1" t="s">
        <v>199</v>
      </c>
      <c r="DQ1" s="1" t="s">
        <v>10</v>
      </c>
      <c r="DR1" s="1" t="s">
        <v>26</v>
      </c>
      <c r="DS1" s="1" t="s">
        <v>200</v>
      </c>
      <c r="DT1" s="1" t="s">
        <v>59</v>
      </c>
      <c r="DU1" s="1" t="s">
        <v>68</v>
      </c>
      <c r="DV1" s="1" t="s">
        <v>69</v>
      </c>
      <c r="DW1" s="1" t="s">
        <v>201</v>
      </c>
      <c r="DX1" s="1" t="s">
        <v>70</v>
      </c>
      <c r="DY1" s="1" t="s">
        <v>71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202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203</v>
      </c>
      <c r="EI1" s="1" t="s">
        <v>204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205</v>
      </c>
      <c r="EO1" s="1" t="s">
        <v>206</v>
      </c>
      <c r="EP1" s="1" t="str">
        <f>IF(Within_subgroup_weighting=EX38,"Sum of squares (Q)","Sum of squares (Q*)")</f>
        <v>Sum of squares (Q*)</v>
      </c>
      <c r="EQ1" s="1" t="s">
        <v>181</v>
      </c>
      <c r="ER1" s="18" t="s">
        <v>207</v>
      </c>
      <c r="ES1" s="1" t="s">
        <v>40</v>
      </c>
      <c r="ET1" s="1" t="s">
        <v>208</v>
      </c>
      <c r="EU1" s="1" t="s">
        <v>209</v>
      </c>
      <c r="EV1" s="1" t="s">
        <v>103</v>
      </c>
      <c r="EX1" s="1" t="s">
        <v>104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210</v>
      </c>
      <c r="FE1" s="1" t="s">
        <v>40</v>
      </c>
      <c r="FF1" s="1" t="s">
        <v>211</v>
      </c>
      <c r="FG1" s="1" t="s">
        <v>212</v>
      </c>
      <c r="FH1" s="1" t="s">
        <v>213</v>
      </c>
      <c r="FJ1" s="1" t="s">
        <v>29</v>
      </c>
      <c r="FK1" s="1" t="s">
        <v>214</v>
      </c>
      <c r="FL1" s="1" t="s">
        <v>212</v>
      </c>
      <c r="FM1" s="1" t="s">
        <v>215</v>
      </c>
      <c r="FO1" s="1" t="s">
        <v>148</v>
      </c>
      <c r="FP1" s="1"/>
      <c r="FR1" s="87"/>
      <c r="FS1" s="88"/>
      <c r="FT1" s="1" t="s">
        <v>40</v>
      </c>
      <c r="FU1" s="1" t="s">
        <v>29</v>
      </c>
      <c r="FV1" s="1" t="s">
        <v>216</v>
      </c>
      <c r="FW1" s="1" t="s">
        <v>217</v>
      </c>
      <c r="FX1" s="1" t="s">
        <v>218</v>
      </c>
      <c r="FY1" s="1" t="s">
        <v>53</v>
      </c>
      <c r="FZ1" s="1" t="s">
        <v>219</v>
      </c>
      <c r="GA1" s="1" t="s">
        <v>220</v>
      </c>
      <c r="GB1" s="1" t="s">
        <v>221</v>
      </c>
      <c r="GC1" s="1" t="s">
        <v>222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6" t="s">
        <v>223</v>
      </c>
      <c r="GH1" s="116"/>
      <c r="GI1" s="116"/>
      <c r="GK1" s="85"/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V1" s="116" t="s">
        <v>233</v>
      </c>
      <c r="GW1" s="116"/>
      <c r="GY1" s="1" t="s">
        <v>234</v>
      </c>
      <c r="GZ1" s="1" t="s">
        <v>235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236</v>
      </c>
      <c r="HD1" s="1" t="s">
        <v>29</v>
      </c>
      <c r="HE1" s="1" t="s">
        <v>103</v>
      </c>
      <c r="HG1" s="1" t="s">
        <v>237</v>
      </c>
      <c r="HH1" s="1" t="str">
        <f>HA1</f>
        <v>Log Odds Ratio</v>
      </c>
      <c r="HI1" s="1" t="str">
        <f>HB1</f>
        <v>SE Log Odds Ratio</v>
      </c>
      <c r="HK1" s="85"/>
      <c r="HL1" s="1" t="s">
        <v>238</v>
      </c>
      <c r="HM1" s="1" t="s">
        <v>239</v>
      </c>
      <c r="HO1" s="85"/>
      <c r="HP1" s="1" t="s">
        <v>240</v>
      </c>
      <c r="HQ1" s="1" t="s">
        <v>241</v>
      </c>
      <c r="HR1" s="1" t="s">
        <v>242</v>
      </c>
      <c r="HS1" s="1" t="s">
        <v>243</v>
      </c>
      <c r="HT1" s="1" t="s">
        <v>244</v>
      </c>
      <c r="HU1" s="1" t="s">
        <v>245</v>
      </c>
      <c r="HW1" s="85"/>
      <c r="HX1" s="1" t="s">
        <v>246</v>
      </c>
      <c r="HY1" s="1" t="s">
        <v>247</v>
      </c>
      <c r="HZ1" s="1" t="s">
        <v>248</v>
      </c>
      <c r="IB1" s="85"/>
      <c r="IC1" s="1" t="s">
        <v>111</v>
      </c>
      <c r="ID1" s="1" t="s">
        <v>110</v>
      </c>
      <c r="IE1" s="1" t="s">
        <v>40</v>
      </c>
      <c r="IF1" s="1" t="s">
        <v>249</v>
      </c>
      <c r="IH1" s="116" t="s">
        <v>250</v>
      </c>
      <c r="II1" s="116"/>
      <c r="IK1" s="85"/>
      <c r="IL1" s="1" t="s">
        <v>251</v>
      </c>
      <c r="IM1" s="1" t="s">
        <v>252</v>
      </c>
      <c r="IN1" s="1" t="s">
        <v>238</v>
      </c>
      <c r="IO1" s="1" t="s">
        <v>239</v>
      </c>
      <c r="IQ1" s="116" t="s">
        <v>253</v>
      </c>
      <c r="IR1" s="116"/>
      <c r="IS1" s="116"/>
      <c r="IU1" s="85"/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239</v>
      </c>
      <c r="JC1" s="116" t="s">
        <v>253</v>
      </c>
      <c r="JD1" s="116"/>
      <c r="JE1" s="116"/>
      <c r="JG1" s="85"/>
      <c r="JH1" s="1" t="s">
        <v>113</v>
      </c>
      <c r="JI1" s="1" t="s">
        <v>99</v>
      </c>
      <c r="JJ1" s="1" t="s">
        <v>259</v>
      </c>
    </row>
    <row r="2" spans="1:270" ht="13.5" customHeight="1" x14ac:dyDescent="0.35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35" t="s">
        <v>260</v>
      </c>
      <c r="I2" s="122" t="s">
        <v>42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18" t="s">
        <v>261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18" t="s">
        <v>170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18" t="s">
        <v>151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35" t="s">
        <v>262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263</v>
      </c>
      <c r="BB2" s="3">
        <f>'Forest Plot'!$B$16</f>
        <v>1.3642597248868167</v>
      </c>
      <c r="BD2" s="135" t="s">
        <v>264</v>
      </c>
      <c r="BE2" s="122" t="s">
        <v>265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0.310611955434694</v>
      </c>
      <c r="BO2" s="118" t="s">
        <v>266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267</v>
      </c>
      <c r="CB2" s="3">
        <f>LN(CES_OddsRatio_MH)</f>
        <v>0.31069659505572428</v>
      </c>
      <c r="CD2" s="118" t="s">
        <v>268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269</v>
      </c>
      <c r="CN2" s="3">
        <f>IF(Meta_analysis_model="Fixed effect model",SUMPRODUCT(Weightf_Peto,LogPetoOddsRatio)/SUM(Weightf_Peto),SUMPRODUCT(Weight_Peto,LogPetoOddsRatio)/SUM(Weight_Peto))</f>
        <v>0.3114190128153318</v>
      </c>
      <c r="CP2" s="118" t="s">
        <v>270</v>
      </c>
      <c r="CQ2" s="51" t="str">
        <f t="shared" ref="CQ2:CQ33" si="52">IF(AND(Sufficient_data="Yes",Include_study?="Yes"),c_/(c_+d_),"")</f>
        <v/>
      </c>
      <c r="CS2" s="2"/>
      <c r="CT2" s="2" t="s">
        <v>39</v>
      </c>
      <c r="CU2" s="2" t="s">
        <v>63</v>
      </c>
      <c r="CV2" s="2" t="s">
        <v>64</v>
      </c>
      <c r="CX2" s="135" t="s">
        <v>271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>
        <f>IF(DQ2&lt;&gt;"",SUMIFS(DS:DS,DS:DS,"&gt;="&amp;0,DQ:DQ,"&lt;"&amp;DQ2)+DS2+DR2,"")</f>
        <v>3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2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1.546072336864051</v>
      </c>
      <c r="DU2" s="10">
        <f>IF(DT2&lt;&gt;"",CHIDIST(DT2,DS2-1),"")</f>
        <v>0.21371620824838089</v>
      </c>
      <c r="DV2" s="9">
        <f>IF(DT2&lt;&gt;"",IF((DT2-(DS2-1))&lt;=0,0,(DT2-(DS2-1))/DT2),"")</f>
        <v>0.35319973318432651</v>
      </c>
      <c r="DW2" s="10">
        <f t="shared" ref="DW2:DW33" si="68">IF(DT2&lt;&gt;"",SUMIF(Subgroup,DQ2,Subgroup_weightf)-SUMPRODUCT(--(Subgroup=DQ2),Subgroup_weightf,Subgroup_weightf)/SUMIF(Subgroup,DQ2,Subgroup_weightf),"")</f>
        <v>27.319021768073615</v>
      </c>
      <c r="DX2" s="3">
        <f t="shared" ref="DX2:DX33" si="69">IF(DT2&lt;&gt;"",IF(Within_subgroup_weighting=EX$44,MAX(0,(SUM(DT:DT)-(Subgroup_k-COUNT(DT:DT)))/SUM(DW:DW)),MAX(0,(DT2-(DS2-1))/DW2)),"")</f>
        <v>1.9988722198765501E-2</v>
      </c>
      <c r="DY2" s="3">
        <f>IF(DX2&lt;&gt;"",SQRT(DX2),"")</f>
        <v>0.14138147756607122</v>
      </c>
      <c r="DZ2" s="3">
        <f t="shared" ref="DZ2:DZ33" si="70">IF(DT2&lt;&gt;"",SUMPRODUCT(--(Subgroup=DQ2),DE:DE,Subgroup_effect_size)/SUMIF(Subgroup,DQ2,DE:DE),"")</f>
        <v>0.310611955434694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0.16820926892000548</v>
      </c>
      <c r="EB2" s="6">
        <f t="shared" ref="EB2:EB33" si="72">IF(DT2&lt;&gt;"",SUMIFS(Number_of_subjects,Subgroup,DQ2,Include_study?,"Yes",Sufficient_data,"Yes"),"")</f>
        <v>27511</v>
      </c>
      <c r="EC2" s="3">
        <f>IF(DT2&lt;&gt;"",DZ2-ABS(TINV((1-Subgroup_confidence_level),DS2-1))*EA2,"")</f>
        <v>-1.8266894539851626</v>
      </c>
      <c r="ED2" s="3">
        <f>IF(DT2&lt;&gt;"",DZ2+ABS(TINV((1-Subgroup_confidence_level),DS2-1))*EA2,"")</f>
        <v>2.4479133648545508</v>
      </c>
      <c r="EE2" s="3">
        <f>IF(AND(EE$1&lt;&gt;"",DT2&lt;&gt;""),EXP(DZ2),"")</f>
        <v>1.3642597248868167</v>
      </c>
      <c r="EF2" s="3">
        <f>IF(AND(EF$1&lt;&gt;"",DT2&lt;&gt;""),EXP(EC2),"")</f>
        <v>0.16094550428702381</v>
      </c>
      <c r="EG2" s="3">
        <f>IF(AND(EG$1&lt;&gt;"",DT2&lt;&gt;""),EXP(ED2),"")</f>
        <v>11.564191278241951</v>
      </c>
      <c r="EH2" s="3">
        <f>IF(AND(EE$1&lt;&gt;"",DT2&lt;&gt;""),EE2-EF2,IF(DT2&lt;&gt;"",DZ2-EC2,""))</f>
        <v>1.2033142205997929</v>
      </c>
      <c r="EI2" s="3">
        <f>IF(AND(EE$1&lt;&gt;"",DT2&lt;&gt;""),EG2-EE2,IF(DT2&lt;&gt;"",ED2-DZ2,""))</f>
        <v>10.199931553355135</v>
      </c>
      <c r="EJ2" s="3">
        <f>IF(DT2&lt;&gt;"",DZ2-ABS(TINV((1-Subgroup_confidence_level),DS2-1))*SQRT(DX2+EA2^2),"")</f>
        <v>-2.4813746699415331</v>
      </c>
      <c r="EK2" s="3">
        <f t="shared" ref="EK2:EK33" si="73">IF(DT2&lt;&gt;"",DZ2+ABS(TINV((1-Subgroup_confidence_level),DS2-1))*SQRT(DX2+EA2^2),"")</f>
        <v>3.1025985808109207</v>
      </c>
      <c r="EL2" s="3">
        <f>IF(AND(EL$1&lt;&gt;"",DT2&lt;&gt;""),EXP(EJ2),"")</f>
        <v>8.3628185386439929E-2</v>
      </c>
      <c r="EM2" s="3">
        <f>IF(AND(EM$1&lt;&gt;"",DT2&lt;&gt;""),EXP(EK2),"")</f>
        <v>22.255709463833963</v>
      </c>
      <c r="EN2" s="3">
        <f>IF(AND(EE$1&lt;&gt;"",DT2&lt;&gt;""),EE2-EL2,IF(DT2&lt;&gt;"",DZ2-EJ2,""))</f>
        <v>1.2806315395003767</v>
      </c>
      <c r="EO2" s="3">
        <f>IF(AND(EE$1&lt;&gt;"",DT2&lt;&gt;""),EM2-EE2,IF(DT2&lt;&gt;"",EK2-DZ2,""))</f>
        <v>20.891449738947145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0.99999999999999911</v>
      </c>
      <c r="EQ2" s="3">
        <f>IF(DT2&lt;&gt;"",IF(EE2&lt;&gt;"",EE2,DZ2),NA())</f>
        <v>1.3642597248868167</v>
      </c>
      <c r="ER2" s="9">
        <f>IF(DT2&lt;&gt;"",(ET2/SUM(ET:ET)),"")</f>
        <v>0.14285714285714285</v>
      </c>
      <c r="ES2" s="3">
        <f>IF(DT2&lt;&gt;"",1/(EA2^2),"")</f>
        <v>35.342734925361725</v>
      </c>
      <c r="ET2" s="3">
        <f>IF(EA2&lt;&gt;"",1/(EA2^2+IF(Between_subgroup_weighting=EX$38,0,EY$35)),"")</f>
        <v>35.342734925361725</v>
      </c>
      <c r="EU2" s="74">
        <f t="shared" ref="EU2:EU33" si="75">IF(ES2&lt;&gt;"",IF(Subgroup_effect_size_measure="Risk Difference",(EY$9-DZ2)^2*ET2,(EY$2-DZ2)^2*ET2),"")</f>
        <v>0</v>
      </c>
      <c r="EV2" s="34">
        <f t="shared" ref="EV2:EV33" si="76">IF(DT2&lt;&gt;"",IF(Subgroup_effect_size_measure="Risk Difference",EE:EE-EY$9,DZ:DZ-EY$2),"")</f>
        <v>0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0.310611955434694</v>
      </c>
      <c r="FA2" s="135" t="s">
        <v>272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104</v>
      </c>
      <c r="FP2" s="3" t="e">
        <f>SUMPRODUCT('Moderator Analysis'!F:F,Calculations!FE:FE)/SUM(Calculations!FE:FE)</f>
        <v>#DIV/0!</v>
      </c>
      <c r="FR2" s="135" t="s">
        <v>273</v>
      </c>
      <c r="FS2" s="122" t="s">
        <v>117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274</v>
      </c>
      <c r="GH2" s="2" t="s">
        <v>244</v>
      </c>
      <c r="GI2" s="2" t="s">
        <v>245</v>
      </c>
      <c r="GK2" s="118" t="s">
        <v>275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32" t="s">
        <v>104</v>
      </c>
      <c r="GW2" s="132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8" t="s">
        <v>108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18" t="s">
        <v>276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18" t="s">
        <v>120</v>
      </c>
      <c r="HX2" s="20">
        <v>1</v>
      </c>
      <c r="HY2" s="3"/>
      <c r="HZ2" s="34">
        <f>HZ3-HY14</f>
        <v>-1.05</v>
      </c>
      <c r="IB2" s="118" t="s">
        <v>277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244</v>
      </c>
      <c r="II2" s="2" t="s">
        <v>245</v>
      </c>
      <c r="IK2" s="118" t="s">
        <v>122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278</v>
      </c>
      <c r="IR2" s="2" t="s">
        <v>244</v>
      </c>
      <c r="IS2" s="2" t="s">
        <v>245</v>
      </c>
      <c r="IU2" s="118" t="s">
        <v>123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279</v>
      </c>
      <c r="JD2" s="2" t="s">
        <v>244</v>
      </c>
      <c r="JE2" s="2" t="s">
        <v>245</v>
      </c>
      <c r="JG2" s="118" t="s">
        <v>125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3" x14ac:dyDescent="0.3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35"/>
      <c r="I3" s="122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18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18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18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35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280</v>
      </c>
      <c r="BB3" s="6">
        <f>IF(BB2&lt;&gt;"",MAX(Entry_number)+1,"")</f>
        <v>3</v>
      </c>
      <c r="BD3" s="135"/>
      <c r="BE3" s="122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0.16820926892000548</v>
      </c>
      <c r="BO3" s="118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281</v>
      </c>
      <c r="CB3" s="3">
        <f>IF(Meta_analysis_model="Fixed effect model",0.5*(SUM(BR:BR)/SUM(BP:BP)^2+(SUM(BS:BS)+SUM(BT:BT))/(SUM(BP:BP)*SUM(BQ:BQ))+SUM(BU:BU)/SUM(BQ:BQ)^2),SUMPRODUCT(Weight_MH,BY:BY,BY:BY)/((k_-1)*SUM(Weight_MH)))</f>
        <v>2.8294605965866953E-2</v>
      </c>
      <c r="CD3" s="118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281</v>
      </c>
      <c r="CN3" s="3">
        <f>IF(Meta_analysis_model="Fixed effect model",1/SUM(Weightf_Peto),SUMPRODUCT(Weight_Peto,CK:CK,CK:CK)/((k_-1)*SUM(Weight_Peto)))</f>
        <v>2.8466675956756778E-2</v>
      </c>
      <c r="CP3" s="118"/>
      <c r="CQ3" s="52" t="str">
        <f t="shared" si="52"/>
        <v/>
      </c>
      <c r="CS3" s="2" t="s">
        <v>282</v>
      </c>
      <c r="CT3" s="3">
        <f>IF(Weighting_method="Inverse variance",IF(Model_effect_size_measure="Odds Ratio",CES_IV,NA()),NA())</f>
        <v>1.3642597248868167</v>
      </c>
      <c r="CU3" s="3">
        <f>IF(Model_effect_size_measure="Odds Ratio",CES_OddsRatio_MH,NA())</f>
        <v>1.3643752001997425</v>
      </c>
      <c r="CV3" s="3" t="e">
        <f>IF(Model_effect_size_measure="Peto Odds Ratio",CES_PetoOddsRatio,NA())</f>
        <v>#N/A</v>
      </c>
      <c r="CX3" s="135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>
        <f t="shared" ref="DP3:DP66" si="102">IF(DQ3&lt;&gt;"",SUMIFS(DS:DS,DS:DS,"&gt;="&amp;0,DQ:DQ,"&lt;"&amp;DQ3)+DS3+DR3,"")</f>
        <v>3</v>
      </c>
      <c r="DQ3" s="17" t="str">
        <f>IF(AND(Sufficient_data="Yes",Subgroup&lt;&gt;""),IF(COUNTIFS(Input!J$2:J2,"="&amp;"Yes",Input!C$2:C2,"="&amp;"Yes",Input!K$2:K2,"="&amp;Subgroup)&gt;0,"",Subgroup),"")</f>
        <v>English</v>
      </c>
      <c r="DR3" s="6">
        <f t="shared" ref="DR3:DR66" si="103">IF(DQ3&lt;&gt;"",(COUNTIFS(DS:DS,"&gt;"&amp;0,DQ:DQ,"&lt;"&amp;DQ3)+1),"")</f>
        <v>1</v>
      </c>
      <c r="DS3" s="6">
        <f t="shared" si="66"/>
        <v>2</v>
      </c>
      <c r="DT3" s="3">
        <f t="shared" si="67"/>
        <v>1.546072336864051</v>
      </c>
      <c r="DU3" s="10">
        <f t="shared" ref="DU3:DU51" si="104">IF(DT3&lt;&gt;"",CHIDIST(DT3,DS3-1),"")</f>
        <v>0.21371620824838089</v>
      </c>
      <c r="DV3" s="9">
        <f t="shared" ref="DV3:DV51" si="105">IF(DT3&lt;&gt;"",IF((DT3-(DS3-1))&lt;=0,0,(DT3-(DS3-1))/DT3),"")</f>
        <v>0.35319973318432651</v>
      </c>
      <c r="DW3" s="10">
        <f t="shared" si="68"/>
        <v>27.319021768073615</v>
      </c>
      <c r="DX3" s="3">
        <f t="shared" si="69"/>
        <v>1.9988722198765501E-2</v>
      </c>
      <c r="DY3" s="3">
        <f t="shared" ref="DY3:DY51" si="106">IF(DX3&lt;&gt;"",SQRT(DX3),"")</f>
        <v>0.14138147756607122</v>
      </c>
      <c r="DZ3" s="3">
        <f t="shared" si="70"/>
        <v>0.310611955434694</v>
      </c>
      <c r="EA3" s="3">
        <f t="shared" si="71"/>
        <v>0.16820926892000548</v>
      </c>
      <c r="EB3" s="6">
        <f t="shared" si="72"/>
        <v>27511</v>
      </c>
      <c r="EC3" s="3">
        <f t="shared" ref="EC3:EC33" si="107">IF(DT3&lt;&gt;"",DZ3-ABS(TINV((1-Subgroup_confidence_level),DS3-1))*EA3,"")</f>
        <v>-1.8266894539851626</v>
      </c>
      <c r="ED3" s="3">
        <f t="shared" ref="ED3:ED33" si="108">IF(DT3&lt;&gt;"",DZ3+ABS(TINV((1-Subgroup_confidence_level),DS3-1))*EA3,"")</f>
        <v>2.4479133648545508</v>
      </c>
      <c r="EE3" s="3">
        <f t="shared" ref="EE3:EE51" si="109">IF(AND(EE$1&lt;&gt;"",DT3&lt;&gt;""),EXP(DZ3),"")</f>
        <v>1.3642597248868167</v>
      </c>
      <c r="EF3" s="3">
        <f t="shared" ref="EF3:EF51" si="110">IF(AND(EF$1&lt;&gt;"",DT3&lt;&gt;""),EXP(EC3),"")</f>
        <v>0.16094550428702381</v>
      </c>
      <c r="EG3" s="3">
        <f t="shared" ref="EG3:EG51" si="111">IF(AND(EG$1&lt;&gt;"",DT3&lt;&gt;""),EXP(ED3),"")</f>
        <v>11.564191278241951</v>
      </c>
      <c r="EH3" s="3">
        <f t="shared" ref="EH3:EH51" si="112">IF(AND(EE$1&lt;&gt;"",DT3&lt;&gt;""),EE3-EF3,IF(DT3&lt;&gt;"",DZ3-EC3,""))</f>
        <v>1.2033142205997929</v>
      </c>
      <c r="EI3" s="3">
        <f t="shared" ref="EI3:EI51" si="113">IF(AND(EE$1&lt;&gt;"",DT3&lt;&gt;""),EG3-EE3,IF(DT3&lt;&gt;"",ED3-DZ3,""))</f>
        <v>10.199931553355135</v>
      </c>
      <c r="EJ3" s="3">
        <f t="shared" ref="EJ3:EJ33" si="114">IF(DT3&lt;&gt;"",DZ3-ABS(TINV((1-Subgroup_confidence_level),DS3-1))*SQRT(DX3+EA3^2),"")</f>
        <v>-2.4813746699415331</v>
      </c>
      <c r="EK3" s="3">
        <f t="shared" si="73"/>
        <v>3.1025985808109207</v>
      </c>
      <c r="EL3" s="3">
        <f t="shared" ref="EL3:EL51" si="115">IF(AND(EL$1&lt;&gt;"",DT3&lt;&gt;""),EXP(EJ3),"")</f>
        <v>8.3628185386439929E-2</v>
      </c>
      <c r="EM3" s="3">
        <f t="shared" ref="EM3:EM51" si="116">IF(AND(EM$1&lt;&gt;"",DT3&lt;&gt;""),EXP(EK3),"")</f>
        <v>22.255709463833963</v>
      </c>
      <c r="EN3" s="3">
        <f t="shared" ref="EN3:EN51" si="117">IF(AND(EE$1&lt;&gt;"",DT3&lt;&gt;""),EE3-EL3,IF(DT3&lt;&gt;"",DZ3-EJ3,""))</f>
        <v>1.2806315395003767</v>
      </c>
      <c r="EO3" s="3">
        <f t="shared" ref="EO3:EO51" si="118">IF(AND(EE$1&lt;&gt;"",DT3&lt;&gt;""),EM3-EE3,IF(DT3&lt;&gt;"",EK3-DZ3,""))</f>
        <v>20.891449738947145</v>
      </c>
      <c r="EP3" s="3">
        <f t="shared" si="74"/>
        <v>0.99999999999999911</v>
      </c>
      <c r="EQ3" s="3">
        <f t="shared" ref="EQ3:EQ51" si="119">IF(DT3&lt;&gt;"",IF(EE3&lt;&gt;"",EE3,DZ3),NA())</f>
        <v>1.3642597248868167</v>
      </c>
      <c r="ER3" s="9">
        <f t="shared" ref="ER3:ER66" si="120">IF(DT3&lt;&gt;"",(ET3/SUM(ET:ET)),"")</f>
        <v>0.14285714285714285</v>
      </c>
      <c r="ES3" s="3">
        <f t="shared" ref="ES3:ES66" si="121">IF(DT3&lt;&gt;"",1/(EA3^2),"")</f>
        <v>35.342734925361725</v>
      </c>
      <c r="ET3" s="3">
        <f t="shared" ref="ET3:ET33" si="122">IF(EA3&lt;&gt;"",1/(EA3^2+IF(Between_subgroup_weighting=EX$38,0,EY$35)),"")</f>
        <v>35.342734925361725</v>
      </c>
      <c r="EU3" s="3">
        <f t="shared" si="75"/>
        <v>0</v>
      </c>
      <c r="EV3" s="35">
        <f t="shared" si="76"/>
        <v>0</v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0</v>
      </c>
      <c r="FA3" s="135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283</v>
      </c>
      <c r="FP3" s="3" t="str">
        <f>IF(SUM(Moderator)&lt;&gt;0,SUMPRODUCT(Moderator,FE:FE)/SUM(Calculations!FE:FE),"")</f>
        <v/>
      </c>
      <c r="FR3" s="135"/>
      <c r="FS3" s="122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284</v>
      </c>
      <c r="GH3" s="3">
        <f>IF(Additional_valid_options="Yes",IF(Trim_and_fill="Off",'Publication Bias Analysis'!I29,'Publication Bias Analysis'!I37)-ABS(TINV((1-Additional_confidence_level),k_-1))*GI3,"")</f>
        <v>-2.6275227311070024</v>
      </c>
      <c r="GI3" s="3">
        <f>IF(Trim_and_fill="Off",GH17,GH22)</f>
        <v>0.23117148029220469</v>
      </c>
      <c r="GK3" s="118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0.30978942665032372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8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18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18"/>
      <c r="HX3" s="20">
        <v>2</v>
      </c>
      <c r="HY3" s="3">
        <f t="shared" ref="HY3:HY10" si="123">HZ2</f>
        <v>-1.05</v>
      </c>
      <c r="HZ3" s="35">
        <f>HZ4-HY14</f>
        <v>-0.75</v>
      </c>
      <c r="IB3" s="118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18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100</v>
      </c>
      <c r="IR3" s="3">
        <v>0</v>
      </c>
      <c r="IS3" s="3">
        <v>0</v>
      </c>
      <c r="IU3" s="118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247</v>
      </c>
      <c r="JD3" s="3">
        <f>MIN('Publication Bias Analysis'!BF:BF)</f>
        <v>-0.56594882193286311</v>
      </c>
      <c r="JE3" s="3">
        <f>'Publication Bias Analysis'!BJ$30+JD3*'Publication Bias Analysis'!BJ$31</f>
        <v>0.75740335714132823</v>
      </c>
      <c r="JG3" s="118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5"/>
      <c r="I4" s="122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18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18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18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5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285</v>
      </c>
      <c r="BB4" s="3">
        <f>'Forest Plot'!$B$16-CES_CI_Lower_limit</f>
        <v>1.2033142205997929</v>
      </c>
      <c r="BD4" s="135"/>
      <c r="BE4" s="122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-1.8266894539851626</v>
      </c>
      <c r="BO4" s="118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286</v>
      </c>
      <c r="CB4" s="3">
        <f>SQRT(VarlnCES_MH)</f>
        <v>0.16821000554624255</v>
      </c>
      <c r="CD4" s="118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286</v>
      </c>
      <c r="CN4" s="3">
        <f>SQRT(VarlnCES_Peto)</f>
        <v>0.16872070399555822</v>
      </c>
      <c r="CP4" s="118"/>
      <c r="CQ4" s="52" t="str">
        <f t="shared" si="52"/>
        <v/>
      </c>
      <c r="CS4" s="2" t="s">
        <v>96</v>
      </c>
      <c r="CT4" s="3">
        <f>IF(Weighting_method="Inverse variance",IF(Model_effect_size_measure="Odds Ratio",CICES_LL,""),"")</f>
        <v>0.16094550428702381</v>
      </c>
      <c r="CU4" s="3">
        <f>IF(Model_effect_size_measure="Odds Ratio",CICES_LL_MH,"")</f>
        <v>0.16095762070410469</v>
      </c>
      <c r="CV4" s="3" t="str">
        <f>IF(Model_effect_size_measure="Peto Odds Ratio",CICES_LL_Peto,"")</f>
        <v/>
      </c>
      <c r="CX4" s="135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>
        <f t="shared" si="102"/>
        <v>3</v>
      </c>
      <c r="DQ4" s="17" t="str">
        <f>IF(AND(Sufficient_data="Yes",Subgroup&lt;&gt;""),IF(COUNTIFS(Input!J$2:J3,"="&amp;"Yes",Input!C$2:C3,"="&amp;"Yes",Input!K$2:K3,"="&amp;Subgroup)&gt;0,"",Subgroup),"")</f>
        <v>English</v>
      </c>
      <c r="DR4" s="6">
        <f t="shared" si="103"/>
        <v>1</v>
      </c>
      <c r="DS4" s="6">
        <f t="shared" si="66"/>
        <v>2</v>
      </c>
      <c r="DT4" s="3">
        <f t="shared" si="67"/>
        <v>1.546072336864051</v>
      </c>
      <c r="DU4" s="10">
        <f t="shared" si="104"/>
        <v>0.21371620824838089</v>
      </c>
      <c r="DV4" s="9">
        <f t="shared" si="105"/>
        <v>0.35319973318432651</v>
      </c>
      <c r="DW4" s="10">
        <f t="shared" si="68"/>
        <v>27.319021768073615</v>
      </c>
      <c r="DX4" s="3">
        <f t="shared" si="69"/>
        <v>1.9988722198765501E-2</v>
      </c>
      <c r="DY4" s="3">
        <f t="shared" si="106"/>
        <v>0.14138147756607122</v>
      </c>
      <c r="DZ4" s="3">
        <f t="shared" si="70"/>
        <v>0.310611955434694</v>
      </c>
      <c r="EA4" s="3">
        <f t="shared" si="71"/>
        <v>0.16820926892000548</v>
      </c>
      <c r="EB4" s="6">
        <f t="shared" si="72"/>
        <v>27511</v>
      </c>
      <c r="EC4" s="3">
        <f t="shared" si="107"/>
        <v>-1.8266894539851626</v>
      </c>
      <c r="ED4" s="3">
        <f t="shared" si="108"/>
        <v>2.4479133648545508</v>
      </c>
      <c r="EE4" s="3">
        <f t="shared" si="109"/>
        <v>1.3642597248868167</v>
      </c>
      <c r="EF4" s="3">
        <f t="shared" si="110"/>
        <v>0.16094550428702381</v>
      </c>
      <c r="EG4" s="3">
        <f t="shared" si="111"/>
        <v>11.564191278241951</v>
      </c>
      <c r="EH4" s="3">
        <f t="shared" si="112"/>
        <v>1.2033142205997929</v>
      </c>
      <c r="EI4" s="3">
        <f t="shared" si="113"/>
        <v>10.199931553355135</v>
      </c>
      <c r="EJ4" s="3">
        <f t="shared" si="114"/>
        <v>-2.4813746699415331</v>
      </c>
      <c r="EK4" s="3">
        <f t="shared" si="73"/>
        <v>3.1025985808109207</v>
      </c>
      <c r="EL4" s="3">
        <f t="shared" si="115"/>
        <v>8.3628185386439929E-2</v>
      </c>
      <c r="EM4" s="3">
        <f t="shared" si="116"/>
        <v>22.255709463833963</v>
      </c>
      <c r="EN4" s="3">
        <f t="shared" si="117"/>
        <v>1.2806315395003767</v>
      </c>
      <c r="EO4" s="3">
        <f t="shared" si="118"/>
        <v>20.891449738947145</v>
      </c>
      <c r="EP4" s="3">
        <f t="shared" si="74"/>
        <v>0.99999999999999911</v>
      </c>
      <c r="EQ4" s="3">
        <f t="shared" si="119"/>
        <v>1.3642597248868167</v>
      </c>
      <c r="ER4" s="9">
        <f t="shared" si="120"/>
        <v>0.14285714285714285</v>
      </c>
      <c r="ES4" s="3">
        <f t="shared" si="121"/>
        <v>35.342734925361725</v>
      </c>
      <c r="ET4" s="3">
        <f t="shared" si="122"/>
        <v>35.342734925361725</v>
      </c>
      <c r="EU4" s="3">
        <f t="shared" si="75"/>
        <v>0</v>
      </c>
      <c r="EV4" s="35">
        <f t="shared" si="76"/>
        <v>0</v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0.310611955434694</v>
      </c>
      <c r="FA4" s="135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127</v>
      </c>
      <c r="FP4" s="3" t="str">
        <f>IF(FP3&lt;&gt;"",SUMPRODUCT(FF:FF,FG:FG,FE:FE)/SUMPRODUCT(FG:FG,FG:FG,FE:FE),"")</f>
        <v/>
      </c>
      <c r="FR4" s="135"/>
      <c r="FS4" s="122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278</v>
      </c>
      <c r="GH4" s="3">
        <f>IF(Trim_and_fill="Off",'Publication Bias Analysis'!I29,'Publication Bias Analysis'!I37)</f>
        <v>0.30978942665032372</v>
      </c>
      <c r="GI4" s="3">
        <v>0</v>
      </c>
      <c r="GK4" s="118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6" t="s">
        <v>58</v>
      </c>
      <c r="GW4" s="116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8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18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18"/>
      <c r="HX4" s="20">
        <v>3</v>
      </c>
      <c r="HY4" s="3">
        <f t="shared" si="123"/>
        <v>-0.75</v>
      </c>
      <c r="HZ4" s="35">
        <f>HZ5-HY14</f>
        <v>-0.44999999999999996</v>
      </c>
      <c r="IB4" s="118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1.1793855302279485E-2</v>
      </c>
      <c r="II4" s="3">
        <f>MAX('Publication Bias Analysis'!AH:AH)</f>
        <v>1.1793855302279485E-2</v>
      </c>
      <c r="IK4" s="118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287</v>
      </c>
      <c r="IR4" s="3">
        <f>MAX(Inverse_standard_error)</f>
        <v>5.2633199879088961</v>
      </c>
      <c r="IS4" s="3">
        <f>IR4*'Publication Bias Analysis'!AY31</f>
        <v>1.6305208813314858</v>
      </c>
      <c r="IU4" s="118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248</v>
      </c>
      <c r="JD4" s="3">
        <f>MAX('Publication Bias Analysis'!BF:BF)</f>
        <v>0.56594882193286311</v>
      </c>
      <c r="JE4" s="3">
        <f>'Publication Bias Analysis'!BJ$30+JD4*'Publication Bias Analysis'!BJ$31</f>
        <v>2.4933918202949612</v>
      </c>
      <c r="JG4" s="118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35"/>
      <c r="I5" s="122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8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8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8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35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288</v>
      </c>
      <c r="BB5" s="3">
        <f>CES_CI_Upper_limit-'Forest Plot'!$B$16</f>
        <v>10.199931553355135</v>
      </c>
      <c r="BD5" s="135"/>
      <c r="BE5" s="122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2.4479133648545508</v>
      </c>
      <c r="BO5" s="118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289</v>
      </c>
      <c r="CB5" s="3">
        <f>lnCES_OddsRatio_MH-ABS(TINV((1-Confidence_level),k_-1))*SElnCES_MH</f>
        <v>-1.8266141740879145</v>
      </c>
      <c r="CD5" s="118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289</v>
      </c>
      <c r="CN5" s="3">
        <f>lnCES_PetoOddsRatio-ABS(TINV((1-Confidence_level),k_-1))*SElnCES_Peto</f>
        <v>-1.8323807953837585</v>
      </c>
      <c r="CP5" s="118"/>
      <c r="CQ5" s="52" t="str">
        <f t="shared" si="52"/>
        <v/>
      </c>
      <c r="CS5" s="2" t="s">
        <v>97</v>
      </c>
      <c r="CT5" s="3">
        <f>IF(Weighting_method="Inverse variance",IF(Model_effect_size_measure="Odds Ratio",CICES_UL,""),"")</f>
        <v>11.564191278241951</v>
      </c>
      <c r="CU5" s="3">
        <f>IF(Model_effect_size_measure="Odds Ratio",CICES_UL_MH,"")</f>
        <v>11.565278355736876</v>
      </c>
      <c r="CV5" s="3" t="str">
        <f>IF(Model_effect_size_measure="Peto Odds Ratio",CICES_UL_Peto,"")</f>
        <v/>
      </c>
      <c r="CX5" s="135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>
        <f t="shared" si="102"/>
        <v>3</v>
      </c>
      <c r="DQ5" s="17" t="str">
        <f>IF(AND(Sufficient_data="Yes",Subgroup&lt;&gt;""),IF(COUNTIFS(Input!J$2:J4,"="&amp;"Yes",Input!C$2:C4,"="&amp;"Yes",Input!K$2:K4,"="&amp;Subgroup)&gt;0,"",Subgroup),"")</f>
        <v>English</v>
      </c>
      <c r="DR5" s="6">
        <f t="shared" si="103"/>
        <v>1</v>
      </c>
      <c r="DS5" s="6">
        <f t="shared" si="66"/>
        <v>2</v>
      </c>
      <c r="DT5" s="3">
        <f t="shared" si="67"/>
        <v>1.546072336864051</v>
      </c>
      <c r="DU5" s="10">
        <f t="shared" si="104"/>
        <v>0.21371620824838089</v>
      </c>
      <c r="DV5" s="9">
        <f t="shared" si="105"/>
        <v>0.35319973318432651</v>
      </c>
      <c r="DW5" s="10">
        <f t="shared" si="68"/>
        <v>27.319021768073615</v>
      </c>
      <c r="DX5" s="3">
        <f t="shared" si="69"/>
        <v>1.9988722198765501E-2</v>
      </c>
      <c r="DY5" s="3">
        <f t="shared" si="106"/>
        <v>0.14138147756607122</v>
      </c>
      <c r="DZ5" s="3">
        <f t="shared" si="70"/>
        <v>0.310611955434694</v>
      </c>
      <c r="EA5" s="3">
        <f t="shared" si="71"/>
        <v>0.16820926892000548</v>
      </c>
      <c r="EB5" s="6">
        <f t="shared" si="72"/>
        <v>27511</v>
      </c>
      <c r="EC5" s="3">
        <f t="shared" si="107"/>
        <v>-1.8266894539851626</v>
      </c>
      <c r="ED5" s="3">
        <f t="shared" si="108"/>
        <v>2.4479133648545508</v>
      </c>
      <c r="EE5" s="3">
        <f t="shared" si="109"/>
        <v>1.3642597248868167</v>
      </c>
      <c r="EF5" s="3">
        <f t="shared" si="110"/>
        <v>0.16094550428702381</v>
      </c>
      <c r="EG5" s="3">
        <f t="shared" si="111"/>
        <v>11.564191278241951</v>
      </c>
      <c r="EH5" s="3">
        <f t="shared" si="112"/>
        <v>1.2033142205997929</v>
      </c>
      <c r="EI5" s="3">
        <f t="shared" si="113"/>
        <v>10.199931553355135</v>
      </c>
      <c r="EJ5" s="3">
        <f t="shared" si="114"/>
        <v>-2.4813746699415331</v>
      </c>
      <c r="EK5" s="3">
        <f t="shared" si="73"/>
        <v>3.1025985808109207</v>
      </c>
      <c r="EL5" s="3">
        <f t="shared" si="115"/>
        <v>8.3628185386439929E-2</v>
      </c>
      <c r="EM5" s="3">
        <f t="shared" si="116"/>
        <v>22.255709463833963</v>
      </c>
      <c r="EN5" s="3">
        <f t="shared" si="117"/>
        <v>1.2806315395003767</v>
      </c>
      <c r="EO5" s="3">
        <f t="shared" si="118"/>
        <v>20.891449738947145</v>
      </c>
      <c r="EP5" s="3">
        <f t="shared" si="74"/>
        <v>0.99999999999999911</v>
      </c>
      <c r="EQ5" s="3">
        <f t="shared" si="119"/>
        <v>1.3642597248868167</v>
      </c>
      <c r="ER5" s="9">
        <f t="shared" si="120"/>
        <v>0.14285714285714285</v>
      </c>
      <c r="ES5" s="3">
        <f t="shared" si="121"/>
        <v>35.342734925361725</v>
      </c>
      <c r="ET5" s="3">
        <f t="shared" si="122"/>
        <v>35.342734925361725</v>
      </c>
      <c r="EU5" s="3">
        <f t="shared" si="75"/>
        <v>0</v>
      </c>
      <c r="EV5" s="35">
        <f t="shared" si="76"/>
        <v>0</v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0.310611955434694</v>
      </c>
      <c r="FA5" s="135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100</v>
      </c>
      <c r="FP5" s="3" t="str">
        <f>IF(FP3&lt;&gt;"",FP2-FP3*FP4,"")</f>
        <v/>
      </c>
      <c r="FR5" s="135"/>
      <c r="FS5" s="122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290</v>
      </c>
      <c r="GH5" s="3">
        <f>IF(Additional_valid_options="Yes",IF(Trim_and_fill="Off",'Publication Bias Analysis'!I29,'Publication Bias Analysis'!I37)+ABS(TINV((1-Additional_confidence_level),k_-1))*GI3,"")</f>
        <v>3.2471015844076501</v>
      </c>
      <c r="GI5" s="3">
        <f>IF(Trim_and_fill="Off",GH17,GH22)</f>
        <v>0.23117148029220469</v>
      </c>
      <c r="GK5" s="118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59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1.546072336864051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8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8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8"/>
      <c r="HX5" s="20">
        <v>4</v>
      </c>
      <c r="HY5" s="3">
        <f t="shared" si="123"/>
        <v>-0.44999999999999996</v>
      </c>
      <c r="HZ5" s="35">
        <f>HZ6-HY14</f>
        <v>-0.15</v>
      </c>
      <c r="IB5" s="118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6" t="s">
        <v>291</v>
      </c>
      <c r="II5" s="116"/>
      <c r="IK5" s="118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247</v>
      </c>
      <c r="IR5" s="2" t="s">
        <v>244</v>
      </c>
      <c r="IS5" s="2" t="s">
        <v>245</v>
      </c>
      <c r="IU5" s="118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292</v>
      </c>
      <c r="JD5" s="2" t="s">
        <v>244</v>
      </c>
      <c r="JE5" s="2" t="s">
        <v>245</v>
      </c>
      <c r="JG5" s="118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35"/>
      <c r="I6" s="122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18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18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18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35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293</v>
      </c>
      <c r="BB6" s="3">
        <f>'Forest Plot'!$B$16-CES_PI_Lower_limit</f>
        <v>1.2806315395003767</v>
      </c>
      <c r="BD6" s="135"/>
      <c r="BE6" s="122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-2.4813746699415331</v>
      </c>
      <c r="BO6" s="118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294</v>
      </c>
      <c r="CB6" s="3">
        <f>lnCES_OddsRatio_MH+ABS(TINV((1-Confidence_level),k_-1))*SElnCES_MH</f>
        <v>2.4480073641993632</v>
      </c>
      <c r="CD6" s="118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294</v>
      </c>
      <c r="CN6" s="3">
        <f>lnCES_PetoOddsRatio+ABS(TINV((1-Confidence_level),k_-1))*SElnCES_Peto</f>
        <v>2.4552188210144221</v>
      </c>
      <c r="CP6" s="118"/>
      <c r="CQ6" s="52" t="str">
        <f t="shared" si="52"/>
        <v/>
      </c>
      <c r="CS6" s="2" t="s">
        <v>295</v>
      </c>
      <c r="CT6" s="3">
        <f>IF(Weighting_method="Inverse variance",IF(Model_effect_size_measure="Odds Ratio",PICES_LL,""),"")</f>
        <v>8.3628185386439929E-2</v>
      </c>
      <c r="CU6" s="3">
        <f>IF(Model_effect_size_measure="Odds Ratio",PICES_LL_MH,"")</f>
        <v>7.599613039014301E-2</v>
      </c>
      <c r="CV6" s="3" t="str">
        <f>IF(Model_effect_size_measure="Peto Odds Ratio",PICES_LL_Peto,"")</f>
        <v/>
      </c>
      <c r="CX6" s="135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>
        <f t="shared" si="102"/>
        <v>3</v>
      </c>
      <c r="DQ6" s="17" t="str">
        <f>IF(AND(Sufficient_data="Yes",Subgroup&lt;&gt;""),IF(COUNTIFS(Input!J$2:J5,"="&amp;"Yes",Input!C$2:C5,"="&amp;"Yes",Input!K$2:K5,"="&amp;Subgroup)&gt;0,"",Subgroup),"")</f>
        <v>English</v>
      </c>
      <c r="DR6" s="6">
        <f t="shared" si="103"/>
        <v>1</v>
      </c>
      <c r="DS6" s="6">
        <f t="shared" si="66"/>
        <v>2</v>
      </c>
      <c r="DT6" s="3">
        <f t="shared" si="67"/>
        <v>1.546072336864051</v>
      </c>
      <c r="DU6" s="10">
        <f t="shared" si="104"/>
        <v>0.21371620824838089</v>
      </c>
      <c r="DV6" s="9">
        <f t="shared" si="105"/>
        <v>0.35319973318432651</v>
      </c>
      <c r="DW6" s="10">
        <f t="shared" si="68"/>
        <v>27.319021768073615</v>
      </c>
      <c r="DX6" s="3">
        <f t="shared" si="69"/>
        <v>1.9988722198765501E-2</v>
      </c>
      <c r="DY6" s="3">
        <f t="shared" si="106"/>
        <v>0.14138147756607122</v>
      </c>
      <c r="DZ6" s="3">
        <f t="shared" si="70"/>
        <v>0.310611955434694</v>
      </c>
      <c r="EA6" s="3">
        <f t="shared" si="71"/>
        <v>0.16820926892000548</v>
      </c>
      <c r="EB6" s="6">
        <f t="shared" si="72"/>
        <v>27511</v>
      </c>
      <c r="EC6" s="3">
        <f t="shared" si="107"/>
        <v>-1.8266894539851626</v>
      </c>
      <c r="ED6" s="3">
        <f t="shared" si="108"/>
        <v>2.4479133648545508</v>
      </c>
      <c r="EE6" s="3">
        <f t="shared" si="109"/>
        <v>1.3642597248868167</v>
      </c>
      <c r="EF6" s="3">
        <f t="shared" si="110"/>
        <v>0.16094550428702381</v>
      </c>
      <c r="EG6" s="3">
        <f t="shared" si="111"/>
        <v>11.564191278241951</v>
      </c>
      <c r="EH6" s="3">
        <f t="shared" si="112"/>
        <v>1.2033142205997929</v>
      </c>
      <c r="EI6" s="3">
        <f t="shared" si="113"/>
        <v>10.199931553355135</v>
      </c>
      <c r="EJ6" s="3">
        <f t="shared" si="114"/>
        <v>-2.4813746699415331</v>
      </c>
      <c r="EK6" s="3">
        <f t="shared" si="73"/>
        <v>3.1025985808109207</v>
      </c>
      <c r="EL6" s="3">
        <f t="shared" si="115"/>
        <v>8.3628185386439929E-2</v>
      </c>
      <c r="EM6" s="3">
        <f t="shared" si="116"/>
        <v>22.255709463833963</v>
      </c>
      <c r="EN6" s="3">
        <f t="shared" si="117"/>
        <v>1.2806315395003767</v>
      </c>
      <c r="EO6" s="3">
        <f t="shared" si="118"/>
        <v>20.891449738947145</v>
      </c>
      <c r="EP6" s="3">
        <f t="shared" si="74"/>
        <v>0.99999999999999911</v>
      </c>
      <c r="EQ6" s="3">
        <f t="shared" si="119"/>
        <v>1.3642597248868167</v>
      </c>
      <c r="ER6" s="9">
        <f t="shared" si="120"/>
        <v>0.14285714285714285</v>
      </c>
      <c r="ES6" s="3">
        <f t="shared" si="121"/>
        <v>35.342734925361725</v>
      </c>
      <c r="ET6" s="3">
        <f t="shared" si="122"/>
        <v>35.342734925361725</v>
      </c>
      <c r="EU6" s="3">
        <f t="shared" si="75"/>
        <v>0</v>
      </c>
      <c r="EV6" s="35">
        <f t="shared" si="76"/>
        <v>0</v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0.310611955434694</v>
      </c>
      <c r="FA6" s="135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296</v>
      </c>
      <c r="FP6" s="3" t="str">
        <f>IF(FP3&lt;&gt;"",SUM(FH:FH),"")</f>
        <v/>
      </c>
      <c r="FR6" s="135"/>
      <c r="FS6" s="122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297</v>
      </c>
      <c r="GH6" s="2" t="s">
        <v>244</v>
      </c>
      <c r="GI6" s="2" t="s">
        <v>245</v>
      </c>
      <c r="GK6" s="118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147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8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18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18"/>
      <c r="HX6" s="20">
        <v>5</v>
      </c>
      <c r="HY6" s="3">
        <f t="shared" si="123"/>
        <v>-0.15</v>
      </c>
      <c r="HZ6" s="35">
        <f>1/2*HY14</f>
        <v>0.15</v>
      </c>
      <c r="IB6" s="118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18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100</v>
      </c>
      <c r="IR6" s="3">
        <v>0</v>
      </c>
      <c r="IS6" s="3">
        <f>ABS(TINV((1-Additional_confidence_level),k_-1))*-1</f>
        <v>-12.706204736174694</v>
      </c>
      <c r="IU6" s="118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284</v>
      </c>
      <c r="JD6" s="3">
        <f>MIN('Publication Bias Analysis'!BF:BF)</f>
        <v>-0.56594882193286311</v>
      </c>
      <c r="JE6" s="3">
        <f>'Publication Bias Analysis'!BJ30</f>
        <v>1.6253975887181447</v>
      </c>
      <c r="JG6" s="118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5"/>
      <c r="I7" s="122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8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8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8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5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298</v>
      </c>
      <c r="BB7" s="3">
        <f>CES_PI_Upper_limit-'Forest Plot'!$B$16</f>
        <v>20.891449738947145</v>
      </c>
      <c r="BD7" s="135"/>
      <c r="BE7" s="122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3.1025985808109207</v>
      </c>
      <c r="BO7" s="118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299</v>
      </c>
      <c r="CB7" s="3">
        <f>lnCES_OddsRatio_MH-ABS(TINV((1-Confidence_level),k_-1))*SQRT(T2_MH+SElnCES_MH^2)</f>
        <v>-2.5770728559112364</v>
      </c>
      <c r="CD7" s="118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299</v>
      </c>
      <c r="CN7" s="3">
        <f>lnCES_PetoOddsRatio-ABS(TINV((1-Confidence_level),k_-1))*SQRT(T2_Peto+SElnCES_Peto^2)</f>
        <v>-2.5059939528372848</v>
      </c>
      <c r="CP7" s="118"/>
      <c r="CQ7" s="52" t="str">
        <f t="shared" si="52"/>
        <v/>
      </c>
      <c r="CS7" s="2" t="s">
        <v>300</v>
      </c>
      <c r="CT7" s="3">
        <f>IF(Weighting_method="Inverse variance",IF(Model_effect_size_measure="Odds Ratio",PICES_UL,""),"")</f>
        <v>22.255709463833963</v>
      </c>
      <c r="CU7" s="3">
        <f>IF(Model_effect_size_measure="Odds Ratio",PICES_UL_MH,"")</f>
        <v>24.494927272790903</v>
      </c>
      <c r="CV7" s="3" t="str">
        <f>IF(Model_effect_size_measure="Peto Odds Ratio",PICES_UL_Peto,"")</f>
        <v/>
      </c>
      <c r="CX7" s="135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>
        <f t="shared" si="102"/>
        <v>1</v>
      </c>
      <c r="DQ7" s="17" t="str">
        <f>IF(AND(Sufficient_data="Yes",Subgroup&lt;&gt;""),IF(COUNTIFS(Input!J$2:J6,"="&amp;"Yes",Input!C$2:C6,"="&amp;"Yes",Input!K$2:K6,"="&amp;Subgroup)&gt;0,"",Subgroup),"")</f>
        <v xml:space="preserve">Chinese </v>
      </c>
      <c r="DR7" s="6">
        <f t="shared" si="103"/>
        <v>1</v>
      </c>
      <c r="DS7" s="6">
        <f t="shared" si="66"/>
        <v>0</v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0.310611955434694</v>
      </c>
      <c r="FA7" s="135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105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5"/>
      <c r="FS7" s="122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247</v>
      </c>
      <c r="GH7" s="3">
        <f>IF(Trim_and_fill="Off",'Publication Bias Analysis'!I29,'Publication Bias Analysis'!I37)</f>
        <v>0.30978942665032372</v>
      </c>
      <c r="GI7" s="3">
        <v>0</v>
      </c>
      <c r="GK7" s="118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301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8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8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8"/>
      <c r="HX7" s="20">
        <v>6</v>
      </c>
      <c r="HY7" s="3">
        <f t="shared" si="123"/>
        <v>0.15</v>
      </c>
      <c r="HZ7" s="35">
        <f>HZ6+HY14</f>
        <v>0.44999999999999996</v>
      </c>
      <c r="IB7" s="118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1.1793855302279485E-2</v>
      </c>
      <c r="II7" s="3">
        <f>EXP(SUMPRODUCT(LogRiskRatio,IE:IE)/SUM(IE:IE))*MAX('Publication Bias Analysis'!AH:AH)</f>
        <v>1.603761163367964E-2</v>
      </c>
      <c r="IK7" s="118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287</v>
      </c>
      <c r="IR7" s="3">
        <f>MAX(Inverse_standard_error)</f>
        <v>5.2633199879088961</v>
      </c>
      <c r="IS7" s="3">
        <f>IR7*'Publication Bias Analysis'!AY31+IS6</f>
        <v>-11.075683854843209</v>
      </c>
      <c r="IU7" s="118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290</v>
      </c>
      <c r="JD7" s="3">
        <f>MAX('Publication Bias Analysis'!BF:BF)</f>
        <v>0.56594882193286311</v>
      </c>
      <c r="JE7" s="3">
        <f>'Publication Bias Analysis'!BJ30</f>
        <v>1.6253975887181447</v>
      </c>
      <c r="JG7" s="118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35"/>
      <c r="I8" s="122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8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8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8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35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302</v>
      </c>
      <c r="BB8" s="9">
        <f>IF(BB2&lt;&gt;"",MAX(Weight_lookup),"")</f>
        <v>0.50447717013390825</v>
      </c>
      <c r="BD8" s="135"/>
      <c r="BE8" s="122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8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303</v>
      </c>
      <c r="CB8" s="3">
        <f>lnCES_OddsRatio_MH+ABS(TINV((1-Confidence_level),k_-1))*SQRT(T2_MH+SElnCES_MH^2)</f>
        <v>3.198466046022685</v>
      </c>
      <c r="CD8" s="118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303</v>
      </c>
      <c r="CN8" s="3">
        <f>lnCES_PetoOddsRatio+ABS(TINV((1-Confidence_level),k_-1))*SQRT(T2_Peto+SElnCES_Peto^2)</f>
        <v>3.1288319784679484</v>
      </c>
      <c r="CP8" s="118"/>
      <c r="CQ8" s="52" t="str">
        <f t="shared" si="52"/>
        <v/>
      </c>
      <c r="CX8" s="135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>
        <f t="shared" si="102"/>
        <v>3</v>
      </c>
      <c r="DQ8" s="17" t="str">
        <f>IF(AND(Sufficient_data="Yes",Subgroup&lt;&gt;""),IF(COUNTIFS(Input!J$2:J7,"="&amp;"Yes",Input!C$2:C7,"="&amp;"Yes",Input!K$2:K7,"="&amp;Subgroup)&gt;0,"",Subgroup),"")</f>
        <v>English</v>
      </c>
      <c r="DR8" s="6">
        <f t="shared" si="103"/>
        <v>1</v>
      </c>
      <c r="DS8" s="6">
        <f t="shared" si="66"/>
        <v>2</v>
      </c>
      <c r="DT8" s="3">
        <f t="shared" si="67"/>
        <v>1.546072336864051</v>
      </c>
      <c r="DU8" s="10">
        <f t="shared" si="104"/>
        <v>0.21371620824838089</v>
      </c>
      <c r="DV8" s="9">
        <f t="shared" si="105"/>
        <v>0.35319973318432651</v>
      </c>
      <c r="DW8" s="10">
        <f t="shared" si="68"/>
        <v>27.319021768073615</v>
      </c>
      <c r="DX8" s="3">
        <f t="shared" si="69"/>
        <v>1.9988722198765501E-2</v>
      </c>
      <c r="DY8" s="3">
        <f t="shared" si="106"/>
        <v>0.14138147756607122</v>
      </c>
      <c r="DZ8" s="3">
        <f t="shared" si="70"/>
        <v>0.310611955434694</v>
      </c>
      <c r="EA8" s="3">
        <f t="shared" si="71"/>
        <v>0.16820926892000548</v>
      </c>
      <c r="EB8" s="6">
        <f t="shared" si="72"/>
        <v>27511</v>
      </c>
      <c r="EC8" s="3">
        <f t="shared" si="107"/>
        <v>-1.8266894539851626</v>
      </c>
      <c r="ED8" s="3">
        <f t="shared" si="108"/>
        <v>2.4479133648545508</v>
      </c>
      <c r="EE8" s="3">
        <f t="shared" si="109"/>
        <v>1.3642597248868167</v>
      </c>
      <c r="EF8" s="3">
        <f t="shared" si="110"/>
        <v>0.16094550428702381</v>
      </c>
      <c r="EG8" s="3">
        <f t="shared" si="111"/>
        <v>11.564191278241951</v>
      </c>
      <c r="EH8" s="3">
        <f t="shared" si="112"/>
        <v>1.2033142205997929</v>
      </c>
      <c r="EI8" s="3">
        <f t="shared" si="113"/>
        <v>10.199931553355135</v>
      </c>
      <c r="EJ8" s="3">
        <f t="shared" si="114"/>
        <v>-2.4813746699415331</v>
      </c>
      <c r="EK8" s="3">
        <f t="shared" si="73"/>
        <v>3.1025985808109207</v>
      </c>
      <c r="EL8" s="3">
        <f t="shared" si="115"/>
        <v>8.3628185386439929E-2</v>
      </c>
      <c r="EM8" s="3">
        <f t="shared" si="116"/>
        <v>22.255709463833963</v>
      </c>
      <c r="EN8" s="3">
        <f t="shared" si="117"/>
        <v>1.2806315395003767</v>
      </c>
      <c r="EO8" s="3">
        <f t="shared" si="118"/>
        <v>20.891449738947145</v>
      </c>
      <c r="EP8" s="3">
        <f t="shared" si="74"/>
        <v>0.99999999999999911</v>
      </c>
      <c r="EQ8" s="3">
        <f t="shared" si="119"/>
        <v>1.3642597248868167</v>
      </c>
      <c r="ER8" s="9">
        <f t="shared" si="120"/>
        <v>0.14285714285714285</v>
      </c>
      <c r="ES8" s="3">
        <f t="shared" si="121"/>
        <v>35.342734925361725</v>
      </c>
      <c r="ET8" s="3">
        <f t="shared" si="122"/>
        <v>35.342734925361725</v>
      </c>
      <c r="EU8" s="3">
        <f t="shared" si="75"/>
        <v>0</v>
      </c>
      <c r="EV8" s="35">
        <f t="shared" si="76"/>
        <v>0</v>
      </c>
      <c r="FA8" s="135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304</v>
      </c>
      <c r="FP8" s="6">
        <f>COUNTIFS(Include_study?,"Yes",Sufficient_data,"Yes",Moderator,"&lt;&gt;")</f>
        <v>0</v>
      </c>
      <c r="FR8" s="135"/>
      <c r="FS8" s="122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248</v>
      </c>
      <c r="GH8" s="3">
        <f>IF(Trim_and_fill="Off",'Publication Bias Analysis'!I29,'Publication Bias Analysis'!I37)</f>
        <v>0.30978942665032372</v>
      </c>
      <c r="GI8" s="3">
        <f>IF(Trim_and_fill="Off",GH17,GH22)</f>
        <v>0.23117148029220469</v>
      </c>
      <c r="GK8" s="118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8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8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8"/>
      <c r="HX8" s="20">
        <v>7</v>
      </c>
      <c r="HY8" s="3">
        <f t="shared" si="123"/>
        <v>0.44999999999999996</v>
      </c>
      <c r="HZ8" s="35">
        <f>HZ7+HY14</f>
        <v>0.75</v>
      </c>
      <c r="IB8" s="118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8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248</v>
      </c>
      <c r="IR8" s="2" t="s">
        <v>244</v>
      </c>
      <c r="IS8" s="2" t="s">
        <v>245</v>
      </c>
      <c r="IU8" s="118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8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35"/>
      <c r="I9" s="122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8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8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8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35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35"/>
      <c r="BE9" s="122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1.3642597248868167</v>
      </c>
      <c r="BO9" s="118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8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8"/>
      <c r="CQ9" s="52" t="str">
        <f t="shared" si="52"/>
        <v/>
      </c>
      <c r="CS9" s="116" t="s">
        <v>151</v>
      </c>
      <c r="CT9" s="116"/>
      <c r="CU9" s="116"/>
      <c r="CV9" s="116"/>
      <c r="CX9" s="135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>
        <f t="shared" si="102"/>
        <v>3</v>
      </c>
      <c r="DQ9" s="17" t="str">
        <f>IF(AND(Sufficient_data="Yes",Subgroup&lt;&gt;""),IF(COUNTIFS(Input!J$2:J8,"="&amp;"Yes",Input!C$2:C8,"="&amp;"Yes",Input!K$2:K8,"="&amp;Subgroup)&gt;0,"",Subgroup),"")</f>
        <v>English</v>
      </c>
      <c r="DR9" s="6">
        <f t="shared" si="103"/>
        <v>1</v>
      </c>
      <c r="DS9" s="6">
        <f t="shared" si="66"/>
        <v>2</v>
      </c>
      <c r="DT9" s="3">
        <f t="shared" si="67"/>
        <v>1.546072336864051</v>
      </c>
      <c r="DU9" s="10">
        <f t="shared" si="104"/>
        <v>0.21371620824838089</v>
      </c>
      <c r="DV9" s="9">
        <f t="shared" si="105"/>
        <v>0.35319973318432651</v>
      </c>
      <c r="DW9" s="10">
        <f t="shared" si="68"/>
        <v>27.319021768073615</v>
      </c>
      <c r="DX9" s="3">
        <f t="shared" si="69"/>
        <v>1.9988722198765501E-2</v>
      </c>
      <c r="DY9" s="3">
        <f t="shared" si="106"/>
        <v>0.14138147756607122</v>
      </c>
      <c r="DZ9" s="3">
        <f t="shared" si="70"/>
        <v>0.310611955434694</v>
      </c>
      <c r="EA9" s="3">
        <f t="shared" si="71"/>
        <v>0.16820926892000548</v>
      </c>
      <c r="EB9" s="6">
        <f t="shared" si="72"/>
        <v>27511</v>
      </c>
      <c r="EC9" s="3">
        <f t="shared" si="107"/>
        <v>-1.8266894539851626</v>
      </c>
      <c r="ED9" s="3">
        <f t="shared" si="108"/>
        <v>2.4479133648545508</v>
      </c>
      <c r="EE9" s="3">
        <f t="shared" si="109"/>
        <v>1.3642597248868167</v>
      </c>
      <c r="EF9" s="3">
        <f t="shared" si="110"/>
        <v>0.16094550428702381</v>
      </c>
      <c r="EG9" s="3">
        <f t="shared" si="111"/>
        <v>11.564191278241951</v>
      </c>
      <c r="EH9" s="3">
        <f t="shared" si="112"/>
        <v>1.2033142205997929</v>
      </c>
      <c r="EI9" s="3">
        <f t="shared" si="113"/>
        <v>10.199931553355135</v>
      </c>
      <c r="EJ9" s="3">
        <f t="shared" si="114"/>
        <v>-2.4813746699415331</v>
      </c>
      <c r="EK9" s="3">
        <f t="shared" si="73"/>
        <v>3.1025985808109207</v>
      </c>
      <c r="EL9" s="3">
        <f t="shared" si="115"/>
        <v>8.3628185386439929E-2</v>
      </c>
      <c r="EM9" s="3">
        <f t="shared" si="116"/>
        <v>22.255709463833963</v>
      </c>
      <c r="EN9" s="3">
        <f t="shared" si="117"/>
        <v>1.2806315395003767</v>
      </c>
      <c r="EO9" s="3">
        <f t="shared" si="118"/>
        <v>20.891449738947145</v>
      </c>
      <c r="EP9" s="3">
        <f t="shared" si="74"/>
        <v>0.99999999999999911</v>
      </c>
      <c r="EQ9" s="3">
        <f t="shared" si="119"/>
        <v>1.3642597248868167</v>
      </c>
      <c r="ER9" s="9">
        <f t="shared" si="120"/>
        <v>0.14285714285714285</v>
      </c>
      <c r="ES9" s="3">
        <f t="shared" si="121"/>
        <v>35.342734925361725</v>
      </c>
      <c r="ET9" s="3">
        <f t="shared" si="122"/>
        <v>35.342734925361725</v>
      </c>
      <c r="EU9" s="3">
        <f t="shared" si="75"/>
        <v>0</v>
      </c>
      <c r="EV9" s="35">
        <f t="shared" si="76"/>
        <v>0</v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1.3642597248868167</v>
      </c>
      <c r="FA9" s="135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5"/>
      <c r="FS9" s="122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8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6" t="s">
        <v>104</v>
      </c>
      <c r="GW9" s="116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8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8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8"/>
      <c r="HX9" s="20">
        <v>8</v>
      </c>
      <c r="HY9" s="3">
        <f t="shared" si="123"/>
        <v>0.75</v>
      </c>
      <c r="HZ9" s="35">
        <f>HZ8+HY14</f>
        <v>1.05</v>
      </c>
      <c r="IB9" s="118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8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100</v>
      </c>
      <c r="IR9" s="3">
        <v>0</v>
      </c>
      <c r="IS9" s="3">
        <f>ABS(TINV((1-Additional_confidence_level),k_-1))</f>
        <v>12.706204736174694</v>
      </c>
      <c r="IU9" s="118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8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>
        <f t="shared" si="0"/>
        <v>1</v>
      </c>
      <c r="B10" s="6">
        <f>IF(AND(Include_study?="Yes",Sufficient_data="Yes"),IF(Input!a_&lt;&gt;"",Input!a_,Input!n1_-Input!b_),"")</f>
        <v>60</v>
      </c>
      <c r="C10" s="6">
        <f>IF(AND(Include_study?="Yes",Sufficient_data="Yes"),IF(Input!b_&lt;&gt;"",Input!b_,Input!n1_-Input!a_),"")</f>
        <v>9979</v>
      </c>
      <c r="D10" s="6">
        <f>IF(AND(Include_study?="Yes",Sufficient_data="Yes"),IF(Input!c_&lt;&gt;"",Input!c_,Input!n2_-Input!d_),"")</f>
        <v>52</v>
      </c>
      <c r="E10" s="6">
        <f>IF(AND(Include_study?="Yes",Sufficient_data="Yes"),IF(Input!d_&lt;&gt;"",Input!d_,Input!n2_-Input!c_),"")</f>
        <v>9987</v>
      </c>
      <c r="F10" s="35" t="str">
        <f t="shared" si="1"/>
        <v>No</v>
      </c>
      <c r="H10" s="135"/>
      <c r="I10" s="122"/>
      <c r="J10" s="76">
        <f t="shared" si="2"/>
        <v>1.1547711733101051</v>
      </c>
      <c r="K10" s="3">
        <f t="shared" si="3"/>
        <v>0.14390220599949552</v>
      </c>
      <c r="L10" s="3">
        <f t="shared" si="4"/>
        <v>0.18999414861669803</v>
      </c>
      <c r="M10" s="3">
        <f t="shared" si="5"/>
        <v>0.79572475790243646</v>
      </c>
      <c r="N10" s="35">
        <f t="shared" si="6"/>
        <v>1.6758262822224472</v>
      </c>
      <c r="P10" s="118"/>
      <c r="Q10" s="76">
        <f t="shared" si="7"/>
        <v>1.1544815285402861</v>
      </c>
      <c r="R10" s="3">
        <f t="shared" si="8"/>
        <v>0.18950682715432834</v>
      </c>
      <c r="S10" s="3">
        <f t="shared" si="9"/>
        <v>0.79628541152803289</v>
      </c>
      <c r="T10" s="35">
        <f t="shared" si="10"/>
        <v>1.6738063770163571</v>
      </c>
      <c r="V10" s="118"/>
      <c r="W10" s="76">
        <f t="shared" si="11"/>
        <v>7.9689212072915627E-4</v>
      </c>
      <c r="X10" s="3">
        <f t="shared" si="12"/>
        <v>1.0512297685829888E-3</v>
      </c>
      <c r="Y10" s="3">
        <f t="shared" si="13"/>
        <v>-1.2636045906097397E-3</v>
      </c>
      <c r="Z10" s="35">
        <f t="shared" si="14"/>
        <v>2.8573888320680522E-3</v>
      </c>
      <c r="AB10" s="118"/>
      <c r="AC10" s="76">
        <f t="shared" si="15"/>
        <v>1.1538461538461537</v>
      </c>
      <c r="AD10" s="3">
        <f t="shared" si="16"/>
        <v>0.14310084364067324</v>
      </c>
      <c r="AE10" s="3">
        <f t="shared" si="17"/>
        <v>0.18893970696297169</v>
      </c>
      <c r="AF10" s="3">
        <f t="shared" si="18"/>
        <v>0.79673232918319215</v>
      </c>
      <c r="AG10" s="35">
        <f t="shared" si="19"/>
        <v>1.6710266396626199</v>
      </c>
      <c r="AI10" s="135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10" s="6">
        <f>IF(AJ10&lt;&gt;"",IF(AJ10=0,COUNTIF(AJ$2:AJ9,0)+1,COUNTIF(AJ$2:AJ9,AJ10)+AJ10+COUNTIF(AJ:AJ,0)),"")</f>
        <v>1</v>
      </c>
      <c r="AL10" s="6">
        <f t="shared" si="20"/>
        <v>1</v>
      </c>
      <c r="AM10" s="3" t="str">
        <f>IF(AND(Include_study?="Yes",Sufficient_data="Yes",Input!Study_name&lt;&gt;""),Input!Study_name,"")</f>
        <v>Neumann et al.</v>
      </c>
      <c r="AN10" s="6">
        <f t="shared" si="21"/>
        <v>20078</v>
      </c>
      <c r="AO10" s="3">
        <f t="shared" si="22"/>
        <v>1.1547711733101051</v>
      </c>
      <c r="AP10" s="3">
        <f t="shared" si="23"/>
        <v>27.702537295121299</v>
      </c>
      <c r="AQ10" s="3">
        <f t="shared" si="24"/>
        <v>17.82960289993931</v>
      </c>
      <c r="AR10" s="3">
        <f t="shared" si="25"/>
        <v>0.18999414861669803</v>
      </c>
      <c r="AS10" s="3">
        <f t="shared" si="26"/>
        <v>0.79572475790243646</v>
      </c>
      <c r="AT10" s="3">
        <f t="shared" si="27"/>
        <v>1.6758262822224472</v>
      </c>
      <c r="AU10" s="80">
        <f t="shared" si="28"/>
        <v>0.50447717013390825</v>
      </c>
      <c r="AW10" s="44">
        <f t="shared" si="29"/>
        <v>1.1547711733101051</v>
      </c>
      <c r="AX10" s="3">
        <f t="shared" si="30"/>
        <v>0.35904641540766868</v>
      </c>
      <c r="AY10" s="35">
        <f t="shared" si="31"/>
        <v>0.52105510891234208</v>
      </c>
      <c r="BD10" s="135"/>
      <c r="BE10" s="122"/>
      <c r="BF10" s="3">
        <f t="shared" si="32"/>
        <v>0.14390220599949552</v>
      </c>
      <c r="BG10" s="3">
        <f t="shared" si="33"/>
        <v>0.18999414861669803</v>
      </c>
      <c r="BH10" s="3">
        <f t="shared" si="34"/>
        <v>27.702537295121299</v>
      </c>
      <c r="BI10" s="3">
        <f t="shared" si="99"/>
        <v>17.82960289993931</v>
      </c>
      <c r="BJ10" s="35">
        <f t="shared" si="35"/>
        <v>-0.16670974943519848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8"/>
      <c r="BP10" s="3">
        <f t="shared" si="36"/>
        <v>29.844606036457815</v>
      </c>
      <c r="BQ10" s="3">
        <f t="shared" si="37"/>
        <v>25.844606036457815</v>
      </c>
      <c r="BR10" s="3">
        <f t="shared" si="38"/>
        <v>14.934194483927266</v>
      </c>
      <c r="BS10" s="3">
        <f>IF(AND(Sufficient_data="Yes",Include_study?="Yes"),IF(Add_0_5="Yes",(a_+d_+1)*(ab_+0.5)*(c_+0.5)/(Number_of_subjects+2)^2,(a_+d_)*b_*c_/Number_of_subjects^2),"")</f>
        <v>12.932600699685809</v>
      </c>
      <c r="BT10" s="3">
        <f t="shared" si="39"/>
        <v>14.910411552530547</v>
      </c>
      <c r="BU10" s="3">
        <f t="shared" si="40"/>
        <v>12.912005336772006</v>
      </c>
      <c r="BV10" s="3">
        <f t="shared" si="41"/>
        <v>25.844606036457815</v>
      </c>
      <c r="BW10" s="3">
        <f t="shared" si="42"/>
        <v>0.76585077727525275</v>
      </c>
      <c r="BX10" s="3">
        <f t="shared" si="43"/>
        <v>16.819186584560597</v>
      </c>
      <c r="BY10" s="35">
        <f t="shared" si="44"/>
        <v>-0.16679438905622876</v>
      </c>
      <c r="CA10" s="3" t="s">
        <v>305</v>
      </c>
      <c r="CB10" s="3">
        <f>IF(Meta_analysis_model="Fixed effect model",SUMPRODUCT(Weightf_MH,OddsRatio)/SUM(Weightf_MH),EXP(SUMPRODUCT(Weight_MH,LogOddsRatio)/SUM(Weight_MH)))</f>
        <v>1.3643752001997425</v>
      </c>
      <c r="CD10" s="118"/>
      <c r="CE10" s="76">
        <f t="shared" si="45"/>
        <v>56</v>
      </c>
      <c r="CF10" s="3">
        <f t="shared" si="46"/>
        <v>27.845195995417644</v>
      </c>
      <c r="CG10" s="3">
        <f t="shared" si="47"/>
        <v>0.14365135015240194</v>
      </c>
      <c r="CH10" s="3">
        <f t="shared" si="48"/>
        <v>3.5912837538100484E-2</v>
      </c>
      <c r="CI10" s="3">
        <f t="shared" si="49"/>
        <v>27.845195995417644</v>
      </c>
      <c r="CJ10" s="3">
        <f t="shared" si="50"/>
        <v>17.663892120330424</v>
      </c>
      <c r="CK10" s="35">
        <f t="shared" si="51"/>
        <v>-0.16776766266292986</v>
      </c>
      <c r="CM10" s="3" t="s">
        <v>306</v>
      </c>
      <c r="CN10" s="3">
        <f>EXP(lnCES_PetoOddsRatio)</f>
        <v>1.3653612051860093</v>
      </c>
      <c r="CP10" s="118"/>
      <c r="CQ10" s="52">
        <f t="shared" si="52"/>
        <v>5.1797987847395158E-3</v>
      </c>
      <c r="CS10" s="2"/>
      <c r="CT10" s="2" t="s">
        <v>39</v>
      </c>
      <c r="CU10" s="2" t="s">
        <v>63</v>
      </c>
      <c r="CV10" s="2" t="s">
        <v>64</v>
      </c>
      <c r="CX10" s="135"/>
      <c r="CY10" s="48">
        <f t="shared" si="53"/>
        <v>2</v>
      </c>
      <c r="CZ10" s="6" t="str">
        <f t="shared" si="54"/>
        <v>Neumann et al.</v>
      </c>
      <c r="DA10" s="17" t="str">
        <f t="shared" si="55"/>
        <v>English</v>
      </c>
      <c r="DB10" s="3">
        <f t="shared" si="56"/>
        <v>0.14390220599949552</v>
      </c>
      <c r="DC10" s="3">
        <f t="shared" si="57"/>
        <v>0.18999414861669803</v>
      </c>
      <c r="DD10" s="3">
        <f t="shared" si="58"/>
        <v>27.702537295121299</v>
      </c>
      <c r="DE10" s="3">
        <f t="shared" si="59"/>
        <v>17.82960289993931</v>
      </c>
      <c r="DF10" s="80">
        <f t="shared" si="60"/>
        <v>0.50447717013390825</v>
      </c>
      <c r="DG10" s="3">
        <f t="shared" si="61"/>
        <v>1.1547711733101051</v>
      </c>
      <c r="DH10" s="3">
        <f t="shared" si="62"/>
        <v>0.79572475879232518</v>
      </c>
      <c r="DI10" s="3">
        <f t="shared" si="63"/>
        <v>1.6758262803483082</v>
      </c>
      <c r="DJ10" s="35">
        <f t="shared" si="64"/>
        <v>-0.16670974943519848</v>
      </c>
      <c r="DL10" s="44">
        <f t="shared" si="65"/>
        <v>1.1547711733101051</v>
      </c>
      <c r="DM10" s="3">
        <f t="shared" si="100"/>
        <v>0.35904641451777997</v>
      </c>
      <c r="DN10" s="35">
        <f t="shared" si="101"/>
        <v>0.52105510703820301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5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307</v>
      </c>
      <c r="FP10" s="1"/>
      <c r="FR10" s="135"/>
      <c r="FS10" s="122"/>
      <c r="FT10" s="76">
        <f>IF(AND(Include_study?="Yes",Sufficient_data="Yes"),IF(Additional_weighting_method="Inverse Variance",1/'Publication Bias Analysis'!F:F^2,IF(Additional_weighting_method="Mantel-Haenszel",Weightf_MH,Weightf_Peto)),"")</f>
        <v>27.702537295121299</v>
      </c>
      <c r="FU10" s="3">
        <f>IF(AND(Include_study?="Yes",Sufficient_data="Yes"),1/('Publication Bias Analysis'!F:F^2+IF(Additional_model="Fixed effect",0,Calculations!GH$12)),"")</f>
        <v>27.702537295121299</v>
      </c>
      <c r="FV10" s="3">
        <f>IF(AND(Include_study?="Yes",Sufficient_data="Yes"),1/('Publication Bias Analysis'!F:F^2+IF(Additional_model="Fixed effect",0,'Publication Bias Analysis'!L$32)),"")</f>
        <v>27.702537295121299</v>
      </c>
      <c r="FW10" s="3">
        <f>IF(AND(Include_study?="Yes",Sufficient_data="Yes"),'Publication Bias Analysis'!E:E-'Publication Bias Analysis'!I$37,"")</f>
        <v>-0.1658872206508282</v>
      </c>
      <c r="FX10" s="3">
        <f>IF(AND(Include_study?="Yes",Sufficient_data="Yes"),IF(Additional_model="Fixed effect",1/'Publication Bias Analysis'!F:F,1/SQRT('Publication Bias Analysis'!F:F^2+GH$12)),"")</f>
        <v>5.2633199879088961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0.75740335714132823</v>
      </c>
      <c r="FZ10" s="6">
        <f t="shared" si="80"/>
        <v>-1</v>
      </c>
      <c r="GA10" s="83">
        <f>IF(AND(Include_study?="Yes",Sufficient_data="Yes"),FZ:FZ+IF(GL:GL&lt;0,-1,1)*COUNTIF(FZ$2:FZ9,FZ:FZ),"")</f>
        <v>-1</v>
      </c>
      <c r="GB10" s="83">
        <f>IF(AND(Include_study?="Yes",Sufficient_data="Yes"),RANK(GP:GP,GP:GP,1)*IF(GO:GO&lt;0,-1,1)+IF(GO:GO&lt;0,-1,1)*COUNTIF(FZ$2:FZ9,FZ:FZ),"")</f>
        <v>-1</v>
      </c>
      <c r="GC10" s="83">
        <f>IF(AND(Include_study?="Yes",Sufficient_data="Yes"),RANK(GS:GS,GS:GS,1)*IF(GR:GR&lt;0,-1,1)+IF(GR:GR&lt;0,-1,1)*COUNTIF(FZ$2:FZ9,FZ:FZ),"")</f>
        <v>-1</v>
      </c>
      <c r="GD10" s="3">
        <f>IF(AND(Include_study?="Yes",Sufficient_data="Yes"),'Publication Bias Analysis'!E10,NA())</f>
        <v>0.14390220599949552</v>
      </c>
      <c r="GE10" s="35">
        <f>IF(AND(Include_study?="Yes",Sufficient_data="Yes"),'Publication Bias Analysis'!F10,NA())</f>
        <v>0.18999414861669803</v>
      </c>
      <c r="GG10" s="116" t="s">
        <v>58</v>
      </c>
      <c r="GH10" s="116"/>
      <c r="GK10" s="118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-0.1658872206508282</v>
      </c>
      <c r="GM10" s="3">
        <f t="shared" si="81"/>
        <v>0.1658872206508282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27.702537295121299</v>
      </c>
      <c r="GO10" s="3">
        <f>IF(AND(Include_study?="Yes",Sufficient_data="Yes"),IF('Publication Bias Analysis'!L$38="Left",'Publication Bias Analysis'!E:E-GW$3,GW$3-'Publication Bias Analysis'!E:E),"")</f>
        <v>-0.1658872206508282</v>
      </c>
      <c r="GP10" s="3">
        <f t="shared" si="82"/>
        <v>0.1658872206508282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27.702537295121299</v>
      </c>
      <c r="GR10" s="3">
        <f>IF(AND(Include_study?="Yes",Sufficient_data="Yes"),IF('Publication Bias Analysis'!L$38="Left",'Publication Bias Analysis'!E:E-GW$10,GW$10-'Publication Bias Analysis'!E:E),"")</f>
        <v>-0.1658872206508282</v>
      </c>
      <c r="GS10" s="3">
        <f t="shared" si="83"/>
        <v>0.1658872206508282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27.702537295121299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0.30978942665032372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8"/>
      <c r="HL10" s="3">
        <f t="shared" si="89"/>
        <v>3.6184119328435571E-2</v>
      </c>
      <c r="HM10" s="35">
        <f>IF(AND(Include_study?="Yes",Sufficient_data="Yes"),Z_score-('Publication Bias Analysis'!P$3+'Publication Bias Analysis'!P$4*Inverse_standard_error),"")</f>
        <v>1.1102230246251565E-16</v>
      </c>
      <c r="HO10" s="118"/>
      <c r="HP10" s="3">
        <f>IF(AND(Include_study?="Yes",Sufficient_data="Yes"),(GD:GD-SUMPRODUCT(Calculations!FT:FT,'Publication Bias Analysis'!E:E)/SUM(Calculations!FT:FT))/SQRT(Calculations!HQ:HQ),"")</f>
        <v>-1.2434115717911143</v>
      </c>
      <c r="HQ10" s="3">
        <f>IF(AND(Include_study?="Yes",Sufficient_data="Yes"),GE:GE^2-1/SUM(Calculations!FT:FT),"")</f>
        <v>1.7799018402381742E-2</v>
      </c>
      <c r="HR10" s="6">
        <f t="shared" si="90"/>
        <v>2</v>
      </c>
      <c r="HS10" s="6">
        <f t="shared" si="91"/>
        <v>2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1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0</v>
      </c>
      <c r="HW10" s="118"/>
      <c r="HX10" s="54">
        <v>9</v>
      </c>
      <c r="HY10" s="32">
        <f t="shared" si="123"/>
        <v>1.05</v>
      </c>
      <c r="HZ10" s="39"/>
      <c r="IB10" s="118"/>
      <c r="IC10" s="76">
        <f t="shared" si="92"/>
        <v>5.976690905468672E-3</v>
      </c>
      <c r="ID10" s="3">
        <f t="shared" si="93"/>
        <v>5.1797987847395158E-3</v>
      </c>
      <c r="IE10" s="3">
        <f t="shared" si="94"/>
        <v>28.012606785627405</v>
      </c>
      <c r="IF10" s="35">
        <f t="shared" si="95"/>
        <v>27.702537295121299</v>
      </c>
      <c r="IK10" s="118"/>
      <c r="IL10" s="3">
        <f>IF(AND(Include_study?="Yes",Sufficient_data="Yes"),'Publication Bias Analysis'!AV:AV,NA())</f>
        <v>0.75740335714132823</v>
      </c>
      <c r="IM10" s="3">
        <f>IF(AND(Sufficient_data="Yes",Include_study?="Yes"),'Publication Bias Analysis'!AU:AU,NA())</f>
        <v>5.2633199879088961</v>
      </c>
      <c r="IN10" s="3">
        <f t="shared" si="96"/>
        <v>3.6184119328435571E-2</v>
      </c>
      <c r="IO10" s="35">
        <f>IF(AND(Include_study?="Yes",Sufficient_data="Yes"),Z_score-('Publication Bias Analysis'!AY$30+'Publication Bias Analysis'!AY$31*Inverse_standard_error),"")</f>
        <v>-0.87311752419015753</v>
      </c>
      <c r="IQ10" s="2" t="s">
        <v>287</v>
      </c>
      <c r="IR10" s="3">
        <f>MAX(Inverse_standard_error)</f>
        <v>5.2633199879088961</v>
      </c>
      <c r="IS10" s="3">
        <f>IR10*'Publication Bias Analysis'!AY31+IS9</f>
        <v>14.336725617506179</v>
      </c>
      <c r="IU10" s="118"/>
      <c r="IV10" s="6">
        <f>IF('Publication Bias Analysis'!BG:BG&lt;&gt;"",RANK('Publication Bias Analysis'!BG:BG,'Publication Bias Analysis'!BG:BG,1)+COUNTIF('Publication Bias Analysis'!BG$2:BG9,'Publication Bias Analysis'!BG10),"")</f>
        <v>1</v>
      </c>
      <c r="IW10" s="3">
        <f t="shared" si="97"/>
        <v>0.28571428571428575</v>
      </c>
      <c r="IX10" s="3">
        <f>IF('Publication Bias Analysis'!BF10&lt;&gt;"",'Publication Bias Analysis'!BF10,NA())</f>
        <v>-0.56594882193286311</v>
      </c>
      <c r="IY10" s="3">
        <f>IF('Publication Bias Analysis'!BG10&lt;&gt;"",'Publication Bias Analysis'!BG10,NA())</f>
        <v>0.75740335714132823</v>
      </c>
      <c r="IZ10" s="3">
        <f>IF(AND(Include_study?="Yes",Sufficient_data="Yes"),'Publication Bias Analysis'!BF:BF-AVERAGE('Publication Bias Analysis'!BF:BF),"")</f>
        <v>-0.56594882193286311</v>
      </c>
      <c r="JA10" s="35">
        <f>IF(AND(Include_study?="Yes",Sufficient_data="Yes"),'Publication Bias Analysis'!BG:BG-('Publication Bias Analysis'!BJ$30+'Publication Bias Analysis'!BJ$31*'Publication Bias Analysis'!BF:BF),"")</f>
        <v>0</v>
      </c>
      <c r="JG10" s="118"/>
      <c r="JH10" s="3">
        <f t="shared" si="98"/>
        <v>0.75740335714132823</v>
      </c>
      <c r="JI10" s="10">
        <f t="shared" si="124"/>
        <v>0.22440412272837273</v>
      </c>
      <c r="JJ10" s="35">
        <f t="shared" si="125"/>
        <v>-1.4943067332725382</v>
      </c>
    </row>
    <row r="11" spans="1:270" ht="13.5" customHeight="1" x14ac:dyDescent="0.35">
      <c r="A11" s="2">
        <f t="shared" si="0"/>
        <v>2</v>
      </c>
      <c r="B11" s="6">
        <f>IF(AND(Include_study?="Yes",Sufficient_data="Yes"),IF(Input!a_&lt;&gt;"",Input!a_,Input!n1_-Input!b_),"")</f>
        <v>64.3</v>
      </c>
      <c r="C11" s="6">
        <f>IF(AND(Include_study?="Yes",Sufficient_data="Yes"),IF(Input!b_&lt;&gt;"",Input!b_,Input!n1_-Input!a_),"")</f>
        <v>3332.7</v>
      </c>
      <c r="D11" s="6">
        <f>IF(AND(Include_study?="Yes",Sufficient_data="Yes"),IF(Input!c_&lt;&gt;"",Input!c_,Input!n2_-Input!d_),"")</f>
        <v>47.6</v>
      </c>
      <c r="E11" s="6">
        <f>IF(AND(Include_study?="Yes",Sufficient_data="Yes"),IF(Input!d_&lt;&gt;"",Input!d_,Input!n2_-Input!c_),"")</f>
        <v>3988.4</v>
      </c>
      <c r="F11" s="35" t="str">
        <f t="shared" si="1"/>
        <v>No</v>
      </c>
      <c r="H11" s="135"/>
      <c r="I11" s="122"/>
      <c r="J11" s="76">
        <f t="shared" si="2"/>
        <v>1.6166146357723934</v>
      </c>
      <c r="K11" s="3">
        <f t="shared" si="3"/>
        <v>0.48033423170505085</v>
      </c>
      <c r="L11" s="3">
        <f t="shared" si="4"/>
        <v>0.19264290024350392</v>
      </c>
      <c r="M11" s="3">
        <f t="shared" si="5"/>
        <v>1.1081584419086683</v>
      </c>
      <c r="N11" s="35">
        <f t="shared" si="6"/>
        <v>2.3583657189780287</v>
      </c>
      <c r="P11" s="118"/>
      <c r="Q11" s="76">
        <f t="shared" si="7"/>
        <v>1.6178501048572362</v>
      </c>
      <c r="R11" s="3">
        <f t="shared" si="8"/>
        <v>0.19120111401402848</v>
      </c>
      <c r="S11" s="3">
        <f t="shared" si="9"/>
        <v>1.1121441581470628</v>
      </c>
      <c r="T11" s="35">
        <f t="shared" si="10"/>
        <v>2.353506910603631</v>
      </c>
      <c r="V11" s="118"/>
      <c r="W11" s="76">
        <f t="shared" si="11"/>
        <v>7.1346109915091521E-3</v>
      </c>
      <c r="X11" s="3">
        <f t="shared" si="12"/>
        <v>2.890387821254386E-3</v>
      </c>
      <c r="Y11" s="3">
        <f t="shared" si="13"/>
        <v>1.4686320858021641E-3</v>
      </c>
      <c r="Z11" s="35">
        <f t="shared" si="14"/>
        <v>1.2800589897216139E-2</v>
      </c>
      <c r="AB11" s="118"/>
      <c r="AC11" s="76">
        <f t="shared" si="15"/>
        <v>1.604943066422919</v>
      </c>
      <c r="AD11" s="3">
        <f t="shared" si="16"/>
        <v>0.47308828331911507</v>
      </c>
      <c r="AE11" s="3">
        <f t="shared" si="17"/>
        <v>0.1897850242605818</v>
      </c>
      <c r="AF11" s="3">
        <f t="shared" si="18"/>
        <v>1.1063384559467224</v>
      </c>
      <c r="AG11" s="35">
        <f t="shared" si="19"/>
        <v>2.3282588005627871</v>
      </c>
      <c r="AI11" s="135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11" s="6">
        <f>IF(AJ11&lt;&gt;"",IF(AJ11=0,COUNTIF(AJ$2:AJ10,0)+1,COUNTIF(AJ$2:AJ10,AJ11)+AJ11+COUNTIF(AJ:AJ,0)),"")</f>
        <v>2</v>
      </c>
      <c r="AL11" s="6">
        <f t="shared" si="20"/>
        <v>2</v>
      </c>
      <c r="AM11" s="3" t="str">
        <f>IF(AND(Include_study?="Yes",Sufficient_data="Yes",Input!Study_name&lt;&gt;""),Input!Study_name,"")</f>
        <v>Hazarika et al. (A)</v>
      </c>
      <c r="AN11" s="6">
        <f t="shared" si="21"/>
        <v>7433</v>
      </c>
      <c r="AO11" s="3">
        <f t="shared" si="22"/>
        <v>1.6166146357723934</v>
      </c>
      <c r="AP11" s="3">
        <f t="shared" si="23"/>
        <v>26.945980063062656</v>
      </c>
      <c r="AQ11" s="3">
        <f t="shared" si="24"/>
        <v>17.513132025422379</v>
      </c>
      <c r="AR11" s="3">
        <f t="shared" si="25"/>
        <v>0.19264290024350392</v>
      </c>
      <c r="AS11" s="3">
        <f t="shared" si="26"/>
        <v>1.1081584419086683</v>
      </c>
      <c r="AT11" s="3">
        <f t="shared" si="27"/>
        <v>2.3583657189780287</v>
      </c>
      <c r="AU11" s="80">
        <f t="shared" si="28"/>
        <v>0.49552282986609175</v>
      </c>
      <c r="AW11" s="44">
        <f t="shared" si="29"/>
        <v>1.6166146357723934</v>
      </c>
      <c r="AX11" s="3">
        <f t="shared" si="30"/>
        <v>0.50845619386372509</v>
      </c>
      <c r="AY11" s="35">
        <f t="shared" si="31"/>
        <v>0.74175108320563532</v>
      </c>
      <c r="BD11" s="135"/>
      <c r="BE11" s="122"/>
      <c r="BF11" s="3">
        <f t="shared" si="32"/>
        <v>0.48033423170505085</v>
      </c>
      <c r="BG11" s="3">
        <f t="shared" si="33"/>
        <v>0.19264290024350392</v>
      </c>
      <c r="BH11" s="3">
        <f t="shared" si="34"/>
        <v>26.945980063062656</v>
      </c>
      <c r="BI11" s="3">
        <f t="shared" si="99"/>
        <v>17.513132025422379</v>
      </c>
      <c r="BJ11" s="35">
        <f t="shared" si="35"/>
        <v>0.16972227627035685</v>
      </c>
      <c r="BL11" s="3" t="s">
        <v>308</v>
      </c>
      <c r="BM11" s="3">
        <f>IF(Model_effect_size_measure="Risk Difference",CES_IV-ABS(TINV((1-Confidence_level),k_-1))*SECES_Risk_Difference,EXP(CIlnCES_LL))</f>
        <v>0.16094550428702381</v>
      </c>
      <c r="BO11" s="118"/>
      <c r="BP11" s="3">
        <f t="shared" si="36"/>
        <v>34.502101439526434</v>
      </c>
      <c r="BQ11" s="3">
        <f t="shared" si="37"/>
        <v>21.342192923449481</v>
      </c>
      <c r="BR11" s="3">
        <f t="shared" si="38"/>
        <v>18.811605879721352</v>
      </c>
      <c r="BS11" s="3">
        <f>IF(AND(Sufficient_data="Yes",Include_study?="Yes"),IF(Add_0_5="Yes",(a_+d_+1)*(ab_+0.5)*(c_+0.5)/(Number_of_subjects+2)^2,(a_+d_)*b_*c_/Number_of_subjects^2),"")</f>
        <v>11.636419381254369</v>
      </c>
      <c r="BT11" s="3">
        <f t="shared" si="39"/>
        <v>15.690495559805086</v>
      </c>
      <c r="BU11" s="3">
        <f t="shared" si="40"/>
        <v>9.7057735421951126</v>
      </c>
      <c r="BV11" s="3">
        <f t="shared" si="41"/>
        <v>21.342192923449481</v>
      </c>
      <c r="BW11" s="3">
        <f t="shared" si="42"/>
        <v>0.78022954120953103</v>
      </c>
      <c r="BX11" s="3">
        <f t="shared" si="43"/>
        <v>16.537285040074497</v>
      </c>
      <c r="BY11" s="35">
        <f t="shared" si="44"/>
        <v>0.16963763664932657</v>
      </c>
      <c r="CA11" s="3" t="s">
        <v>308</v>
      </c>
      <c r="CB11" s="3">
        <f>EXP(CIlnCES_LL_MH)</f>
        <v>0.16095762070410469</v>
      </c>
      <c r="CD11" s="118"/>
      <c r="CE11" s="76">
        <f t="shared" si="45"/>
        <v>51.140091483923051</v>
      </c>
      <c r="CF11" s="3">
        <f t="shared" si="46"/>
        <v>27.353894234263517</v>
      </c>
      <c r="CG11" s="3">
        <f t="shared" si="47"/>
        <v>0.48109817210570444</v>
      </c>
      <c r="CH11" s="3">
        <f t="shared" si="48"/>
        <v>3.6557866000205518E-2</v>
      </c>
      <c r="CI11" s="3">
        <f t="shared" si="49"/>
        <v>27.353894234263517</v>
      </c>
      <c r="CJ11" s="3">
        <f t="shared" si="50"/>
        <v>17.464902036004606</v>
      </c>
      <c r="CK11" s="35">
        <f t="shared" si="51"/>
        <v>0.16967915929037264</v>
      </c>
      <c r="CM11" s="3" t="s">
        <v>308</v>
      </c>
      <c r="CN11" s="3">
        <f>EXP(CIlnCES_LL_Peto)</f>
        <v>0.16003211015996716</v>
      </c>
      <c r="CP11" s="118"/>
      <c r="CQ11" s="52">
        <f t="shared" si="52"/>
        <v>1.1793855302279485E-2</v>
      </c>
      <c r="CS11" s="2" t="s">
        <v>282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1.360055237498818</v>
      </c>
      <c r="CU11" s="3">
        <f>IF(Model_effect_size_measure="Odds Ratio",CES_OddsRatio_MH/(1-MEDIAN(Control_group_risk)+(MEDIAN(Control_group_risk)*CES_OddsRatio_MH)),NA())</f>
        <v>1.3601690280470842</v>
      </c>
      <c r="CV11" s="3" t="e">
        <f>IF(Model_effect_size_measure="Peto Odds Ratio",CES_PetoOddsRatio/(1-MEDIAN(Control_group_risk)+(MEDIAN(Control_group_risk)*CES_PetoOddsRatio)),NA())</f>
        <v>#N/A</v>
      </c>
      <c r="CX11" s="135"/>
      <c r="CY11" s="48">
        <f t="shared" si="53"/>
        <v>3</v>
      </c>
      <c r="CZ11" s="6" t="str">
        <f t="shared" si="54"/>
        <v>Hazarika et al. (A)</v>
      </c>
      <c r="DA11" s="17" t="str">
        <f t="shared" si="55"/>
        <v>English</v>
      </c>
      <c r="DB11" s="3">
        <f t="shared" si="56"/>
        <v>0.48033423170505085</v>
      </c>
      <c r="DC11" s="3">
        <f t="shared" si="57"/>
        <v>0.19264290024350392</v>
      </c>
      <c r="DD11" s="3">
        <f t="shared" si="58"/>
        <v>26.945980063062656</v>
      </c>
      <c r="DE11" s="3">
        <f t="shared" si="59"/>
        <v>17.513132025422379</v>
      </c>
      <c r="DF11" s="80">
        <f t="shared" si="60"/>
        <v>0.49552282986609175</v>
      </c>
      <c r="DG11" s="3">
        <f t="shared" si="61"/>
        <v>1.6166146357723934</v>
      </c>
      <c r="DH11" s="3">
        <f t="shared" si="62"/>
        <v>1.1081584510816307</v>
      </c>
      <c r="DI11" s="3">
        <f t="shared" si="63"/>
        <v>2.3583656994562716</v>
      </c>
      <c r="DJ11" s="35">
        <f t="shared" si="64"/>
        <v>0.16972227627035685</v>
      </c>
      <c r="DL11" s="44">
        <f t="shared" si="65"/>
        <v>1.6166146357723934</v>
      </c>
      <c r="DM11" s="3">
        <f t="shared" si="100"/>
        <v>0.5084561846907627</v>
      </c>
      <c r="DN11" s="35">
        <f t="shared" si="101"/>
        <v>0.74175106368387822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197</v>
      </c>
      <c r="EY11" s="3">
        <f>IF(Subgroup_valid_options="Yes",IF(Subgroup_effect_size_measure="Risk Difference",EY9-ABS(TINV((1-Subgroup_confidence_level),Subgroup_k-1))*EY10,EXP(EY4)),"")</f>
        <v>1.3642597248868167</v>
      </c>
      <c r="FA11" s="135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244</v>
      </c>
      <c r="FP11" s="2" t="s">
        <v>245</v>
      </c>
      <c r="FR11" s="135"/>
      <c r="FS11" s="122"/>
      <c r="FT11" s="76">
        <f>IF(AND(Include_study?="Yes",Sufficient_data="Yes"),IF(Additional_weighting_method="Inverse Variance",1/'Publication Bias Analysis'!F:F^2,IF(Additional_weighting_method="Mantel-Haenszel",Weightf_MH,Weightf_Peto)),"")</f>
        <v>26.945980063062656</v>
      </c>
      <c r="FU11" s="3">
        <f>IF(AND(Include_study?="Yes",Sufficient_data="Yes"),1/('Publication Bias Analysis'!F:F^2+IF(Additional_model="Fixed effect",0,Calculations!GH$12)),"")</f>
        <v>26.945980063062656</v>
      </c>
      <c r="FV11" s="3">
        <f>IF(AND(Include_study?="Yes",Sufficient_data="Yes"),1/('Publication Bias Analysis'!F:F^2+IF(Additional_model="Fixed effect",0,'Publication Bias Analysis'!L$32)),"")</f>
        <v>26.945980063062656</v>
      </c>
      <c r="FW11" s="3">
        <f>IF(AND(Include_study?="Yes",Sufficient_data="Yes"),'Publication Bias Analysis'!E:E-'Publication Bias Analysis'!I$37,"")</f>
        <v>0.17054480505472713</v>
      </c>
      <c r="FX11" s="3">
        <f>IF(AND(Include_study?="Yes",Sufficient_data="Yes"),IF(Additional_model="Fixed effect",1/'Publication Bias Analysis'!F:F,1/SQRT('Publication Bias Analysis'!F:F^2+GH$12)),"")</f>
        <v>5.190951749252025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2.4933918202949612</v>
      </c>
      <c r="FZ11" s="6">
        <f t="shared" si="80"/>
        <v>2</v>
      </c>
      <c r="GA11" s="83">
        <f>IF(AND(Include_study?="Yes",Sufficient_data="Yes"),FZ:FZ+IF(GL:GL&lt;0,-1,1)*COUNTIF(FZ$2:FZ10,FZ:FZ),"")</f>
        <v>2</v>
      </c>
      <c r="GB11" s="83">
        <f>IF(AND(Include_study?="Yes",Sufficient_data="Yes"),RANK(GP:GP,GP:GP,1)*IF(GO:GO&lt;0,-1,1)+IF(GO:GO&lt;0,-1,1)*COUNTIF(FZ$2:FZ10,FZ:FZ),"")</f>
        <v>2</v>
      </c>
      <c r="GC11" s="83">
        <f>IF(AND(Include_study?="Yes",Sufficient_data="Yes"),RANK(GS:GS,GS:GS,1)*IF(GR:GR&lt;0,-1,1)+IF(GR:GR&lt;0,-1,1)*COUNTIF(FZ$2:FZ10,FZ:FZ),"")</f>
        <v>2</v>
      </c>
      <c r="GD11" s="3">
        <f>IF(AND(Include_study?="Yes",Sufficient_data="Yes"),'Publication Bias Analysis'!E11,NA())</f>
        <v>0.48033423170505085</v>
      </c>
      <c r="GE11" s="35">
        <f>IF(AND(Include_study?="Yes",Sufficient_data="Yes"),'Publication Bias Analysis'!F11,NA())</f>
        <v>0.19264290024350392</v>
      </c>
      <c r="GG11" s="2" t="s">
        <v>59</v>
      </c>
      <c r="GH11" s="3">
        <f>SUMPRODUCT(Calculations!FT:FT,'Publication Bias Analysis'!E:E,'Publication Bias Analysis'!E:E)-SUMPRODUCT(Calculations!FT:FT,'Publication Bias Analysis'!E:E)^2/SUM(Calculations!FT:FT)</f>
        <v>1.546072336864051</v>
      </c>
      <c r="GK11" s="118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0.17054480505472713</v>
      </c>
      <c r="GM11" s="3">
        <f t="shared" si="81"/>
        <v>0.17054480505472713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26.945980063062656</v>
      </c>
      <c r="GO11" s="3">
        <f>IF(AND(Include_study?="Yes",Sufficient_data="Yes"),IF('Publication Bias Analysis'!L$38="Left",'Publication Bias Analysis'!E:E-GW$3,GW$3-'Publication Bias Analysis'!E:E),"")</f>
        <v>0.17054480505472713</v>
      </c>
      <c r="GP11" s="3">
        <f t="shared" si="82"/>
        <v>0.17054480505472713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26.945980063062656</v>
      </c>
      <c r="GR11" s="3">
        <f>IF(AND(Include_study?="Yes",Sufficient_data="Yes"),IF('Publication Bias Analysis'!L$38="Left",'Publication Bias Analysis'!E:E-GW$10,GW$10-'Publication Bias Analysis'!E:E),"")</f>
        <v>0.17054480505472713</v>
      </c>
      <c r="GS11" s="3">
        <f t="shared" si="83"/>
        <v>0.17054480505472713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26.945980063062656</v>
      </c>
      <c r="GV11" s="116" t="s">
        <v>58</v>
      </c>
      <c r="GW11" s="116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8"/>
      <c r="HL11" s="3">
        <f t="shared" si="89"/>
        <v>-3.6184119328435571E-2</v>
      </c>
      <c r="HM11" s="35">
        <f>IF(AND(Include_study?="Yes",Sufficient_data="Yes"),Z_score-('Publication Bias Analysis'!P$3+'Publication Bias Analysis'!P$4*Inverse_standard_error),"")</f>
        <v>1.3322676295501878E-15</v>
      </c>
      <c r="HO11" s="118"/>
      <c r="HP11" s="3">
        <f>IF(AND(Include_study?="Yes",Sufficient_data="Yes"),(GD:GD-SUMPRODUCT(Calculations!FT:FT,'Publication Bias Analysis'!E:E)/SUM(Calculations!FT:FT))/SQRT(Calculations!HQ:HQ),"")</f>
        <v>1.2434115717911143</v>
      </c>
      <c r="HQ11" s="3">
        <f>IF(AND(Include_study?="Yes",Sufficient_data="Yes"),GE:GE^2-1/SUM(Calculations!FT:FT),"")</f>
        <v>1.881252890802641E-2</v>
      </c>
      <c r="HR11" s="6">
        <f t="shared" si="90"/>
        <v>1</v>
      </c>
      <c r="HS11" s="6">
        <f t="shared" si="91"/>
        <v>1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1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0</v>
      </c>
      <c r="HW11" s="118"/>
      <c r="IB11" s="118"/>
      <c r="IC11" s="76">
        <f t="shared" si="92"/>
        <v>1.8928466293788637E-2</v>
      </c>
      <c r="ID11" s="3">
        <f t="shared" si="93"/>
        <v>1.1793855302279485E-2</v>
      </c>
      <c r="IE11" s="3">
        <f t="shared" si="94"/>
        <v>27.763621852302293</v>
      </c>
      <c r="IF11" s="35">
        <f t="shared" si="95"/>
        <v>26.945980063062656</v>
      </c>
      <c r="IK11" s="118"/>
      <c r="IL11" s="3">
        <f>IF(AND(Include_study?="Yes",Sufficient_data="Yes"),'Publication Bias Analysis'!AV:AV,NA())</f>
        <v>2.4933918202949612</v>
      </c>
      <c r="IM11" s="3">
        <f>IF(AND(Sufficient_data="Yes",Include_study?="Yes"),'Publication Bias Analysis'!AU:AU,NA())</f>
        <v>5.190951749252025</v>
      </c>
      <c r="IN11" s="3">
        <f t="shared" si="96"/>
        <v>-3.6184119328435571E-2</v>
      </c>
      <c r="IO11" s="35">
        <f>IF(AND(Include_study?="Yes",Sufficient_data="Yes"),Z_score-('Publication Bias Analysis'!AY$30+'Publication Bias Analysis'!AY$31*Inverse_standard_error),"")</f>
        <v>0.88528985412468142</v>
      </c>
      <c r="IU11" s="118"/>
      <c r="IV11" s="6">
        <f>IF('Publication Bias Analysis'!BG:BG&lt;&gt;"",RANK('Publication Bias Analysis'!BG:BG,'Publication Bias Analysis'!BG:BG,1)+COUNTIF('Publication Bias Analysis'!BG$2:BG10,'Publication Bias Analysis'!BG11),"")</f>
        <v>2</v>
      </c>
      <c r="IW11" s="3">
        <f t="shared" si="97"/>
        <v>0.7142857142857143</v>
      </c>
      <c r="IX11" s="3">
        <f>IF('Publication Bias Analysis'!BF11&lt;&gt;"",'Publication Bias Analysis'!BF11,NA())</f>
        <v>0.56594882193286311</v>
      </c>
      <c r="IY11" s="3">
        <f>IF('Publication Bias Analysis'!BG11&lt;&gt;"",'Publication Bias Analysis'!BG11,NA())</f>
        <v>2.4933918202949612</v>
      </c>
      <c r="IZ11" s="3">
        <f>IF(AND(Include_study?="Yes",Sufficient_data="Yes"),'Publication Bias Analysis'!BF:BF-AVERAGE('Publication Bias Analysis'!BF:BF),"")</f>
        <v>0.56594882193286311</v>
      </c>
      <c r="JA11" s="35">
        <f>IF(AND(Include_study?="Yes",Sufficient_data="Yes"),'Publication Bias Analysis'!BG:BG-('Publication Bias Analysis'!BJ$30+'Publication Bias Analysis'!BJ$31*'Publication Bias Analysis'!BF:BF),"")</f>
        <v>0</v>
      </c>
      <c r="JG11" s="118"/>
      <c r="JH11" s="3">
        <f t="shared" si="98"/>
        <v>2.4933918202949612</v>
      </c>
      <c r="JI11" s="10">
        <f t="shared" si="124"/>
        <v>6.3264567056392496E-3</v>
      </c>
      <c r="JJ11" s="35">
        <f t="shared" si="125"/>
        <v>-5.0630149616936677</v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5"/>
      <c r="I12" s="122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8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8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8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5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5"/>
      <c r="BE12" s="122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309</v>
      </c>
      <c r="BM12" s="3">
        <f>IF(Model_effect_size_measure="Risk Difference",CES_IV+ABS(TINV((1-Confidence_level),k_-1))*SECES_Risk_Difference,EXP(CIlnCES_UL))</f>
        <v>11.564191278241951</v>
      </c>
      <c r="BO12" s="118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309</v>
      </c>
      <c r="CB12" s="3">
        <f>EXP(CIlnCES_UL_MH)</f>
        <v>11.565278355736876</v>
      </c>
      <c r="CD12" s="118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309</v>
      </c>
      <c r="CN12" s="3">
        <f>EXP(CIlnCES_UL_Peto)</f>
        <v>11.648982312134343</v>
      </c>
      <c r="CP12" s="118"/>
      <c r="CQ12" s="52" t="str">
        <f t="shared" si="52"/>
        <v/>
      </c>
      <c r="CS12" s="2" t="s">
        <v>96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0.16209980245375483</v>
      </c>
      <c r="CU12" s="3">
        <f>IF(Model_effect_size_measure="Odds Ratio",CICES_LL_MH/(1-MEDIAN(Control_group_risk)+(MEDIAN(Control_group_risk)*CICES_LL_MH)),"")</f>
        <v>0.16211198898003173</v>
      </c>
      <c r="CV12" s="3" t="str">
        <f>IF(Model_effect_size_measure="Peto Odds Ratio",CICES_LL_Peto/(1-MEDIAN(Control_group_risk)+(MEDIAN(Control_group_risk)*CICES_LL_Peto)),"")</f>
        <v/>
      </c>
      <c r="CX12" s="135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198</v>
      </c>
      <c r="EY12" s="3">
        <f>IF(Subgroup_valid_options="Yes",IF(Subgroup_effect_size_measure="Risk Difference",EY9+ABS(TINV((1-Subgroup_confidence_level),Subgroup_k-1))*EY10,EXP(EY5)),"")</f>
        <v>1.3642597248868167</v>
      </c>
      <c r="FA12" s="135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5"/>
      <c r="FS12" s="122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147</v>
      </c>
      <c r="GH12" s="3">
        <f>MAX(0,(GH11-(k_-1))/((SUM(Calculations!FT:FT))-SUMPRODUCT(Calculations!FT:FT,Calculations!FT:FT)/SUM(Calculations!FT:FT)))</f>
        <v>1.9988722198765501E-2</v>
      </c>
      <c r="GK12" s="118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59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1.546072336864051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8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8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8"/>
      <c r="HX12" s="137" t="s">
        <v>310</v>
      </c>
      <c r="HY12" s="116"/>
      <c r="IB12" s="118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8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8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8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5"/>
      <c r="I13" s="122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8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8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8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5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5"/>
      <c r="BE13" s="122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311</v>
      </c>
      <c r="BM13" s="3">
        <f>IF(Model_effect_size_measure="Risk Difference",CES_IV-ABS(TINV((1-Confidence_level),k_-1))*SQRT(T2_+SECES_Risk_Difference^2),EXP(PIlnCES_LL))</f>
        <v>8.3628185386439929E-2</v>
      </c>
      <c r="BO13" s="118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311</v>
      </c>
      <c r="CB13" s="3">
        <f>EXP(PIlnCES_LL_MH)</f>
        <v>7.599613039014301E-2</v>
      </c>
      <c r="CD13" s="118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311</v>
      </c>
      <c r="CN13" s="3">
        <f>EXP(PIlnCES_LL_Peto)</f>
        <v>8.1594456624961953E-2</v>
      </c>
      <c r="CP13" s="118"/>
      <c r="CQ13" s="52" t="str">
        <f t="shared" si="52"/>
        <v/>
      </c>
      <c r="CS13" s="2" t="s">
        <v>97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10.612694604057603</v>
      </c>
      <c r="CU13" s="3">
        <f>IF(Model_effect_size_measure="Odds Ratio",CICES_UL_MH/(1-MEDIAN(Control_group_risk)+(MEDIAN(Control_group_risk)*CICES_UL_MH)),"")</f>
        <v>10.61360237466609</v>
      </c>
      <c r="CV13" s="3" t="str">
        <f>IF(Model_effect_size_measure="Peto Odds Ratio",CICES_UL_Peto/(1-MEDIAN(Control_group_risk)+(MEDIAN(Control_group_risk)*CICES_UL_Peto)),"")</f>
        <v/>
      </c>
      <c r="CX13" s="135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312</v>
      </c>
      <c r="EY13" s="3">
        <f>IF(Subgroup_valid_options="Yes",IF(Subgroup_effect_size_measure="Risk Difference",EY9-ABS(TINV((1-Subgroup_confidence_level),Subgroup_k-1))*SQRT(EY10^2+EY35),EXP(EY6)),"")</f>
        <v>1.3642597248868167</v>
      </c>
      <c r="FA13" s="135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5"/>
      <c r="FS13" s="122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8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147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8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8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8"/>
      <c r="HX13" s="2" t="s">
        <v>313</v>
      </c>
      <c r="HY13" s="3">
        <f>MAX(MAX(Standardized_residual),ABS(MIN(Standardized_residual)))</f>
        <v>1.2434115717911145</v>
      </c>
      <c r="IB13" s="118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8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8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8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5"/>
      <c r="I14" s="122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8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8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8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5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5"/>
      <c r="BE14" s="122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314</v>
      </c>
      <c r="BM14" s="3">
        <f>IF(Model_effect_size_measure="Risk Difference",CES_IV+ABS(TINV((1-Confidence_level),k_-1))*SQRT(T2_+SECES_Risk_Difference^2),EXP(PIlnCES_UL))</f>
        <v>22.255709463833963</v>
      </c>
      <c r="BO14" s="118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314</v>
      </c>
      <c r="CB14" s="3">
        <f>EXP(PIlnCES_UL_MH)</f>
        <v>24.494927272790903</v>
      </c>
      <c r="CD14" s="118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314</v>
      </c>
      <c r="CN14" s="3">
        <f>EXP(PIlnCES_UL_Peto)</f>
        <v>22.847277838929557</v>
      </c>
      <c r="CP14" s="118"/>
      <c r="CQ14" s="52" t="str">
        <f t="shared" si="52"/>
        <v/>
      </c>
      <c r="CS14" s="2" t="s">
        <v>295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8.428366697401754E-2</v>
      </c>
      <c r="CU14" s="3">
        <f>IF(Model_effect_size_measure="Odds Ratio",PICES_LL_MH/(1-MEDIAN(Control_group_risk)+(MEDIAN(Control_group_risk)*PICES_LL_MH)),"")</f>
        <v>7.659679178659401E-2</v>
      </c>
      <c r="CV14" s="3" t="str">
        <f>IF(Model_effect_size_measure="Peto Odds Ratio",PICES_LL_Peto/(1-MEDIAN(Control_group_risk)+(MEDIAN(Control_group_risk)*PICES_LL_Peto)),"")</f>
        <v/>
      </c>
      <c r="CX14" s="135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315</v>
      </c>
      <c r="EY14" s="3">
        <f>IF(Subgroup_valid_options="Yes",IF(Subgroup_effect_size_measure="Risk Difference",EY9+ABS(TINV((1-Subgroup_confidence_level),Subgroup_k-1))*SQRT(EY10^2+EY35),EXP(EY7)),"")</f>
        <v>1.3642597248868167</v>
      </c>
      <c r="FA14" s="135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5"/>
      <c r="FS14" s="122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6" t="s">
        <v>316</v>
      </c>
      <c r="GH14" s="116"/>
      <c r="GK14" s="118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301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8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8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8"/>
      <c r="HX14" s="2" t="s">
        <v>310</v>
      </c>
      <c r="HY14" s="21">
        <f>ROUND(HY13/4,1)</f>
        <v>0.3</v>
      </c>
      <c r="IB14" s="118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8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8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8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5"/>
      <c r="I15" s="122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8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8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8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5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5"/>
      <c r="BE15" s="122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8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8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8"/>
      <c r="CQ15" s="52" t="str">
        <f t="shared" si="52"/>
        <v/>
      </c>
      <c r="CS15" s="2" t="s">
        <v>300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18.854482763552664</v>
      </c>
      <c r="CU15" s="3">
        <f>IF(Model_effect_size_measure="Odds Ratio",PICES_UL_MH/(1-MEDIAN(Control_group_risk)+(MEDIAN(Control_group_risk)*PICES_UL_MH)),"")</f>
        <v>20.422695260306952</v>
      </c>
      <c r="CV15" s="3" t="str">
        <f>IF(Model_effect_size_measure="Peto Odds Ratio",PICES_UL_Peto/(1-MEDIAN(Control_group_risk)+(MEDIAN(Control_group_risk)*PICES_UL_Peto)),"")</f>
        <v/>
      </c>
      <c r="CX15" s="135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5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5"/>
      <c r="FS15" s="122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317</v>
      </c>
      <c r="GH15" s="3">
        <f>IF(Additional_valid_options="Yes",'Publication Bias Analysis'!I29-'Publication Bias Analysis'!I31,NA())</f>
        <v>1.7188051923282557</v>
      </c>
      <c r="GK15" s="118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8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8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8"/>
      <c r="IB15" s="118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8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8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8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5"/>
      <c r="I16" s="122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8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8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8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5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5"/>
      <c r="BE16" s="122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53</v>
      </c>
      <c r="BM16" s="3">
        <f>IF(Model_effect_size_measure="Risk Difference",CES_IV/SECES_Risk_Difference,lnCES_IV/SElnCES)</f>
        <v>1.8465804971925199</v>
      </c>
      <c r="BO16" s="118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53</v>
      </c>
      <c r="CB16" s="3">
        <f>lnCES_OddsRatio_MH/SElnCES_MH</f>
        <v>1.8470755889150172</v>
      </c>
      <c r="CD16" s="118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53</v>
      </c>
      <c r="CN16" s="3">
        <f>lnCES_PetoOddsRatio/SElnCES_Peto</f>
        <v>1.8457664379087126</v>
      </c>
      <c r="CP16" s="118"/>
      <c r="CQ16" s="52" t="str">
        <f t="shared" si="52"/>
        <v/>
      </c>
      <c r="CX16" s="135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6" t="s">
        <v>318</v>
      </c>
      <c r="EY16" s="116"/>
      <c r="FA16" s="135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5"/>
      <c r="FS16" s="122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319</v>
      </c>
      <c r="GH16" s="3">
        <f>IF(Additional_valid_options="Yes",'Publication Bias Analysis'!I29-'Publication Bias Analysis'!I33,NA())</f>
        <v>2.4862468282023404</v>
      </c>
      <c r="GK16" s="118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6" t="s">
        <v>104</v>
      </c>
      <c r="GW16" s="116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8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8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8"/>
      <c r="IB16" s="118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8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8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8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5"/>
      <c r="I17" s="122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8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8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8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5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5"/>
      <c r="BE17" s="122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8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8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8"/>
      <c r="CQ17" s="52" t="str">
        <f t="shared" si="52"/>
        <v/>
      </c>
      <c r="CS17" s="116" t="s">
        <v>170</v>
      </c>
      <c r="CT17" s="116"/>
      <c r="CU17" s="116"/>
      <c r="CV17" s="116"/>
      <c r="CX17" s="135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59</v>
      </c>
      <c r="EY17" s="3">
        <f>SUMPRODUCT(Subgroup_weightf,Subgroup_effect_size,Subgroup_effect_size)-SUMPRODUCT(Subgroup_weightf,Subgroup_effect_size)^2/SUM(Subgroup_weightf)</f>
        <v>1.546072336864051</v>
      </c>
      <c r="FA17" s="135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5"/>
      <c r="FS17" s="122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320</v>
      </c>
      <c r="GH17" s="3">
        <f>IF(Additional_valid_options="Yes",MAX('Publication Bias Analysis'!F:F)*1.1,NA())</f>
        <v>0.21190719026785432</v>
      </c>
      <c r="GK17" s="118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0.30978942665032372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8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8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8"/>
      <c r="IB17" s="118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8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8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8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5"/>
      <c r="I18" s="122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8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8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8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5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5"/>
      <c r="BE18" s="122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58</v>
      </c>
      <c r="BM18" s="28"/>
      <c r="BO18" s="118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6" t="s">
        <v>58</v>
      </c>
      <c r="CB18" s="116"/>
      <c r="CD18" s="118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58</v>
      </c>
      <c r="CN18" s="1"/>
      <c r="CP18" s="118"/>
      <c r="CQ18" s="52" t="str">
        <f t="shared" si="52"/>
        <v/>
      </c>
      <c r="CS18" s="2"/>
      <c r="CT18" s="2" t="s">
        <v>39</v>
      </c>
      <c r="CU18" s="2" t="s">
        <v>63</v>
      </c>
      <c r="CV18" s="2" t="s">
        <v>64</v>
      </c>
      <c r="CX18" s="135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60</v>
      </c>
      <c r="EY18" s="3">
        <f>CHIDIST(EY17,Subgroup_k-1)</f>
        <v>0.21371620824838089</v>
      </c>
      <c r="FA18" s="135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5"/>
      <c r="FS18" s="122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8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6" t="s">
        <v>58</v>
      </c>
      <c r="GW18" s="116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8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8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8"/>
      <c r="IB18" s="118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8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8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8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5"/>
      <c r="I19" s="122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8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8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8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5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5"/>
      <c r="BE19" s="122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59</v>
      </c>
      <c r="BM19" s="3">
        <f>SUMPRODUCT(Weightf,Model_Effect_size,Model_Effect_size)-SUMPRODUCT(Weightf,Model_Effect_size)^2/SUM(Weightf)</f>
        <v>1.546072336864051</v>
      </c>
      <c r="BO19" s="118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59</v>
      </c>
      <c r="CB19" s="3">
        <f>SUM(Weighted_squared_residual)</f>
        <v>1.5460803184847838</v>
      </c>
      <c r="CD19" s="118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59</v>
      </c>
      <c r="CN19" s="3">
        <f>SUMPRODUCT(Weightf_Peto,LogPetoOddsRatio,LogPetoOddsRatio)-SUMPRODUCT(Weightf_Peto,LogPetoOddsRatio)^2/SUM(Weightf_Peto)</f>
        <v>1.5712605520132019</v>
      </c>
      <c r="CP19" s="118"/>
      <c r="CQ19" s="52" t="str">
        <f t="shared" si="52"/>
        <v/>
      </c>
      <c r="CS19" s="2" t="s">
        <v>282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3.055726526762205E-3</v>
      </c>
      <c r="CU19" s="3">
        <f>IF(Model_effect_size_measure="Odds Ratio",CU11*MEDIAN(Control_group_risk)-MEDIAN(Control_group_risk),NA())</f>
        <v>3.056692247464526E-3</v>
      </c>
      <c r="CV19" s="3" t="e">
        <f>IF(Model_effect_size_measure="Peto Odds Ratio",CV11*MEDIAN(Control_group_risk)-MEDIAN(Control_group_risk),NA())</f>
        <v>#N/A</v>
      </c>
      <c r="CX19" s="135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61</v>
      </c>
      <c r="EY19" s="9">
        <f>MAX(0,(EY17-(Subgroup_k-1))/EY17)</f>
        <v>0.35319973318432651</v>
      </c>
      <c r="FA19" s="135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5"/>
      <c r="FS19" s="122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6" t="s">
        <v>321</v>
      </c>
      <c r="GH19" s="116"/>
      <c r="GK19" s="118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59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1.546072336864051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8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8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8"/>
      <c r="IB19" s="118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8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8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8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5"/>
      <c r="I20" s="122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8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8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8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5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5"/>
      <c r="BE20" s="122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147</v>
      </c>
      <c r="BM20" s="3">
        <f>MAX((Q_-(k_-1))/(SUM(Weightf)-SUMPRODUCT(Weightf,Weightf)/SUM(Weightf)),0)</f>
        <v>1.9988722198765501E-2</v>
      </c>
      <c r="BO20" s="118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147</v>
      </c>
      <c r="CB20" s="3">
        <f>MAX((Q_MH-(k_-1))/(SUM(Weightf_MH)-SUMPRODUCT(Weightf_MH,Weightf_MH)/SUM(Weightf_MH)),0)</f>
        <v>2.3358130884581173E-2</v>
      </c>
      <c r="CD20" s="118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147</v>
      </c>
      <c r="CN20" s="3">
        <f>MAX((Q_Peto-(k_-1))/(SUM(Weightf_Peto)-SUMPRODUCT(Weightf_Peto,Weightf_Peto)/SUM(Weightf_Peto)),0)</f>
        <v>2.0699827054038895E-2</v>
      </c>
      <c r="CP20" s="118"/>
      <c r="CQ20" s="52" t="str">
        <f t="shared" si="52"/>
        <v/>
      </c>
      <c r="CS20" s="2" t="s">
        <v>322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1.6548027726969016E-3</v>
      </c>
      <c r="CU20" s="3">
        <f>IF(Model_effect_size_measure="Odds Ratio",CU19/Z_value_MH,"")</f>
        <v>1.6548820556174665E-3</v>
      </c>
      <c r="CV20" s="3" t="str">
        <f>IF(Model_effect_size_measure="Peto Odds Ratio",CV19/Z_value_Peto,"")</f>
        <v/>
      </c>
      <c r="CX20" s="135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147</v>
      </c>
      <c r="EY20" s="3">
        <f>MAX(0,(EY17-(Subgroup_k-1))/(SUM(Subgroup_weightf)-(SUMPRODUCT(Subgroup_weightf,Subgroup_weightf)/SUM(Subgroup_weightf))))</f>
        <v>1.9988722198765501E-2</v>
      </c>
      <c r="FA20" s="135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5"/>
      <c r="FS20" s="122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323</v>
      </c>
      <c r="GH20" s="3">
        <f>IF(AND(Trim_and_fill="On",Additional_valid_options="Yes"),'Publication Bias Analysis'!I37-'Publication Bias Analysis'!I39,NA())</f>
        <v>1.7188051923282557</v>
      </c>
      <c r="GK20" s="118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147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8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8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8"/>
      <c r="IB20" s="118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8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8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8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5"/>
      <c r="I21" s="122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8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8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8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5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5"/>
      <c r="BE21" s="122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8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8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8"/>
      <c r="CQ21" s="52" t="str">
        <f t="shared" si="52"/>
        <v/>
      </c>
      <c r="CS21" s="2" t="s">
        <v>96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-1.7970536301114181E-2</v>
      </c>
      <c r="CU21" s="3">
        <f>IF(Model_effect_size_measure="Odds Ratio",CU19-CU20*ABS(TINV((1-Confidence_level),k_-1)),"")</f>
        <v>-1.7970577965432638E-2</v>
      </c>
      <c r="CV21" s="3" t="str">
        <f>IF(Model_effect_size_measure="Peto Odds Ratio",CV19-CV20*ABS(TINV((1-Confidence_level),k_-1)),"")</f>
        <v/>
      </c>
      <c r="CX21" s="135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71</v>
      </c>
      <c r="EY21" s="3">
        <f>SQRT(EY20)</f>
        <v>0.14138147756607122</v>
      </c>
      <c r="FA21" s="135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5"/>
      <c r="FS21" s="122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324</v>
      </c>
      <c r="GH21" s="3">
        <f>IF(AND(Trim_and_fill="On",Additional_valid_options="Yes"),'Publication Bias Analysis'!I37-'Publication Bias Analysis'!I41,NA())</f>
        <v>2.4862468282023404</v>
      </c>
      <c r="GK21" s="118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301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8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8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8"/>
      <c r="IB21" s="118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8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8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8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5"/>
      <c r="I22" s="122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8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8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8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5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5"/>
      <c r="BE22" s="122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8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8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8"/>
      <c r="CQ22" s="52" t="str">
        <f t="shared" si="52"/>
        <v/>
      </c>
      <c r="CS22" s="2" t="s">
        <v>97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2.4081989354638591E-2</v>
      </c>
      <c r="CU22" s="3">
        <f>IF(Model_effect_size_measure="Odds Ratio",CU19+CU20*ABS(TINV((1-Confidence_level),k_-1)),"")</f>
        <v>2.4083962460361694E-2</v>
      </c>
      <c r="CV22" s="3" t="str">
        <f>IF(Model_effect_size_measure="Peto Odds Ratio",CV19+CV20*ABS(TINV((1-Confidence_level),k_-1)),"")</f>
        <v/>
      </c>
      <c r="CX22" s="135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5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5"/>
      <c r="FS22" s="122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325</v>
      </c>
      <c r="GH22" s="3">
        <f>IF(AND(Trim_and_fill="On",Additional_valid_options="Yes"),MAX('Publication Bias Analysis'!F:F)*1.2,NA())</f>
        <v>0.23117148029220469</v>
      </c>
      <c r="GK22" s="118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8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8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8"/>
      <c r="IB22" s="118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8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8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8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5"/>
      <c r="I23" s="122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8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8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8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5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5"/>
      <c r="BE23" s="122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8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8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8"/>
      <c r="CQ23" s="52" t="str">
        <f t="shared" si="52"/>
        <v/>
      </c>
      <c r="CS23" s="2" t="s">
        <v>295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-2.4411173714047042E-2</v>
      </c>
      <c r="CU23" s="3">
        <f>IF(Model_effect_size_measure="Odds Ratio",CU19-((lnCES_OddsRatio_MH-PIlnCES_LL_MH)/SElnCES_MH)*CU20,"")</f>
        <v>-2.5353733337188086E-2</v>
      </c>
      <c r="CV23" s="3" t="str">
        <f>IF(Model_effect_size_measure="Peto Odds Ratio",CV19-((lnCES_PetoOddsRatio-PIlnCES_LL_Peto)/SElnCES_Peto)*CV20,"")</f>
        <v/>
      </c>
      <c r="CX23" s="135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6" t="s">
        <v>326</v>
      </c>
      <c r="EY23" s="116"/>
      <c r="FA23" s="135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5"/>
      <c r="FS23" s="122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8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8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8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8"/>
      <c r="IB23" s="118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8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8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8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5"/>
      <c r="I24" s="122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8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8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8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5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5"/>
      <c r="BE24" s="122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8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8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8"/>
      <c r="CQ24" s="52" t="str">
        <f t="shared" si="52"/>
        <v/>
      </c>
      <c r="CS24" s="2" t="s">
        <v>300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3.0522626767571451E-2</v>
      </c>
      <c r="CU24" s="3">
        <f>IF(Model_effect_size_measure="Odds Ratio",CU19+((lnCES_OddsRatio_MH-PIlnCES_LL_MH)/SElnCES_MH)*CU20,"")</f>
        <v>3.1467117832117135E-2</v>
      </c>
      <c r="CV24" s="3" t="str">
        <f>IF(Model_effect_size_measure="Peto Odds Ratio",CV19+((lnCES_PetoOddsRatio-PIlnCES_LL_Peto)/SElnCES_Peto)*CV20,"")</f>
        <v/>
      </c>
      <c r="CX24" s="135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263</v>
      </c>
      <c r="EY24" s="3">
        <f>EY9</f>
        <v>1.3642597248868167</v>
      </c>
      <c r="FA24" s="135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5"/>
      <c r="FS24" s="122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8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8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8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8"/>
      <c r="IB24" s="118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8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8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8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5"/>
      <c r="I25" s="122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8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8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8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5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5"/>
      <c r="BE25" s="122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8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8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8"/>
      <c r="CQ25" s="52" t="str">
        <f t="shared" si="52"/>
        <v/>
      </c>
      <c r="CX25" s="135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280</v>
      </c>
      <c r="EY25" s="6">
        <f>IF(Subgroup_valid_options="Yes",MAX(DP:DP)+1,"")</f>
        <v>4</v>
      </c>
      <c r="FA25" s="135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5"/>
      <c r="FS25" s="122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8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8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8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8"/>
      <c r="IB25" s="118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8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8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8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5"/>
      <c r="I26" s="122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8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8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8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5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5"/>
      <c r="BE26" s="122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8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8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8"/>
      <c r="CQ26" s="52" t="str">
        <f t="shared" si="52"/>
        <v/>
      </c>
      <c r="CX26" s="135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327</v>
      </c>
      <c r="EY26" s="6">
        <f>IF(Subgroup_valid_options="Yes",MAX(DR:DR)+1,"")</f>
        <v>2</v>
      </c>
      <c r="FA26" s="135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5"/>
      <c r="FS26" s="122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8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8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8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8"/>
      <c r="IB26" s="118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8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8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8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5"/>
      <c r="I27" s="122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8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8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8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5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5"/>
      <c r="BE27" s="122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8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8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8"/>
      <c r="CQ27" s="52" t="str">
        <f t="shared" si="52"/>
        <v/>
      </c>
      <c r="CX27" s="135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285</v>
      </c>
      <c r="EY27" s="3">
        <f>IF(Subgroup_valid_options="Yes",EY9-EY11,"")</f>
        <v>0</v>
      </c>
      <c r="FA27" s="135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5"/>
      <c r="FS27" s="122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8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8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8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8"/>
      <c r="IB27" s="118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8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8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8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5"/>
      <c r="I28" s="122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8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8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8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5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5"/>
      <c r="BE28" s="122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8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8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8"/>
      <c r="CQ28" s="52" t="str">
        <f t="shared" si="52"/>
        <v/>
      </c>
      <c r="CX28" s="135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288</v>
      </c>
      <c r="EY28" s="3">
        <f>IF(Subgroup_valid_options="Yes",EY12-EY9,"")</f>
        <v>0</v>
      </c>
      <c r="FA28" s="135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5"/>
      <c r="FS28" s="122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8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8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8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8"/>
      <c r="IB28" s="118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8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8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8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5"/>
      <c r="I29" s="122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8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8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8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5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5"/>
      <c r="BE29" s="122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8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8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8"/>
      <c r="CQ29" s="52" t="str">
        <f t="shared" si="52"/>
        <v/>
      </c>
      <c r="CX29" s="135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293</v>
      </c>
      <c r="EY29" s="3">
        <f>IF(Subgroup_valid_options="Yes",EY9-EY13,"")</f>
        <v>0</v>
      </c>
      <c r="FA29" s="135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5"/>
      <c r="FS29" s="122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8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8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8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8"/>
      <c r="IB29" s="118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8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8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8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5"/>
      <c r="I30" s="122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8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8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8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5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5"/>
      <c r="BE30" s="122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8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8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8"/>
      <c r="CQ30" s="52" t="str">
        <f t="shared" si="52"/>
        <v/>
      </c>
      <c r="CX30" s="135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298</v>
      </c>
      <c r="EY30" s="3">
        <f>IF(Subgroup_valid_options="Yes",EY14-EY9,"")</f>
        <v>0</v>
      </c>
      <c r="FA30" s="135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5"/>
      <c r="FS30" s="122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8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8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8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8"/>
      <c r="IB30" s="118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8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8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8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5"/>
      <c r="I31" s="122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8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8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8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5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5"/>
      <c r="BE31" s="122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8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8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8"/>
      <c r="CQ31" s="52" t="str">
        <f t="shared" si="52"/>
        <v/>
      </c>
      <c r="CX31" s="135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328</v>
      </c>
      <c r="EY31" s="3">
        <f>IF(Subgroup_valid_options="Yes",MAX(ER:ER),"")</f>
        <v>0.14285714285714285</v>
      </c>
      <c r="FA31" s="135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5"/>
      <c r="FS31" s="122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8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8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8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8"/>
      <c r="IB31" s="118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8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8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8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5"/>
      <c r="I32" s="122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8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8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8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5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5"/>
      <c r="BE32" s="122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8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8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8"/>
      <c r="CQ32" s="52" t="str">
        <f t="shared" si="52"/>
        <v/>
      </c>
      <c r="CX32" s="135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5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5"/>
      <c r="FS32" s="122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8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8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8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8"/>
      <c r="IB32" s="118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8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8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8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5"/>
      <c r="I33" s="122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8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8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8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5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5"/>
      <c r="BE33" s="122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8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8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8"/>
      <c r="CQ33" s="52" t="str">
        <f t="shared" si="52"/>
        <v/>
      </c>
      <c r="CX33" s="135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6" t="s">
        <v>329</v>
      </c>
      <c r="EY33" s="116"/>
      <c r="FA33" s="135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5"/>
      <c r="FS33" s="122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8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8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8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8"/>
      <c r="IB33" s="118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8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8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8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5"/>
      <c r="I34" s="122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8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8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8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5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5"/>
      <c r="BE34" s="122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8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8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8"/>
      <c r="CQ34" s="52" t="str">
        <f t="shared" ref="CQ34:CQ97" si="175">IF(AND(Sufficient_data="Yes",Include_study?="Yes"),c_/(c_+d_),"")</f>
        <v/>
      </c>
      <c r="CX34" s="135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330</v>
      </c>
      <c r="EY34" s="3">
        <f>IF(Subgroup_valid_options="Yes",SUMPRODUCT(ES:ES,DZ:DZ,DZ:DZ)-SUMPRODUCT(ES:ES,DZ:DZ)^2/SUM(ES:ES),"")</f>
        <v>-3.5527136788005009E-15</v>
      </c>
      <c r="FA34" s="135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5"/>
      <c r="FS34" s="122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8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8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8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8"/>
      <c r="IB34" s="118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8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8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8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5"/>
      <c r="I35" s="122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8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8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8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5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5"/>
      <c r="BE35" s="122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8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8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8"/>
      <c r="CQ35" s="52" t="str">
        <f t="shared" si="175"/>
        <v/>
      </c>
      <c r="CX35" s="135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147</v>
      </c>
      <c r="EY35" s="3">
        <f>IF(Subgroup_valid_options="Yes",MAX(0,(EY34-(COUNT(DT:DT)-1))/(SUM(ES:ES)-(SUMPRODUCT(ES:ES,ES:ES)/SUM(ES:ES)))),"")</f>
        <v>0</v>
      </c>
      <c r="FA35" s="135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5"/>
      <c r="FS35" s="122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8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8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8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8"/>
      <c r="IB35" s="118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8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8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8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5"/>
      <c r="I36" s="122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8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8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8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5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5"/>
      <c r="BE36" s="122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8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8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8"/>
      <c r="CQ36" s="52" t="str">
        <f t="shared" si="175"/>
        <v/>
      </c>
      <c r="CX36" s="135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5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5"/>
      <c r="FS36" s="122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8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8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8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8"/>
      <c r="IB36" s="118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8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8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8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5"/>
      <c r="I37" s="122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8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8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8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5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5"/>
      <c r="BE37" s="122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8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8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8"/>
      <c r="CQ37" s="52" t="str">
        <f t="shared" si="175"/>
        <v/>
      </c>
      <c r="CX37" s="135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6" t="s">
        <v>331</v>
      </c>
      <c r="EY37" s="116"/>
      <c r="FA37" s="135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5"/>
      <c r="FS37" s="122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8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8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8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8"/>
      <c r="IB37" s="118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8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8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8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5"/>
      <c r="I38" s="122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8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8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8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5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5"/>
      <c r="BE38" s="122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8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8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8"/>
      <c r="CQ38" s="52" t="str">
        <f t="shared" si="175"/>
        <v/>
      </c>
      <c r="CX38" s="135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93</v>
      </c>
      <c r="EY38" s="3"/>
      <c r="FA38" s="135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5"/>
      <c r="FS38" s="122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8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8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8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8"/>
      <c r="IB38" s="118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8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8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8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5"/>
      <c r="I39" s="122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8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8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8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5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5"/>
      <c r="BE39" s="122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8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8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8"/>
      <c r="CQ39" s="52" t="str">
        <f t="shared" si="175"/>
        <v/>
      </c>
      <c r="CX39" s="135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81</v>
      </c>
      <c r="EY39" s="3"/>
      <c r="FA39" s="135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5"/>
      <c r="FS39" s="122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8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8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8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8"/>
      <c r="IB39" s="118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8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8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8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5"/>
      <c r="I40" s="122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8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8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8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5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5"/>
      <c r="BE40" s="122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8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8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8"/>
      <c r="CQ40" s="52" t="str">
        <f t="shared" si="175"/>
        <v/>
      </c>
      <c r="CX40" s="135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5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5"/>
      <c r="FS40" s="122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8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8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8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8"/>
      <c r="IB40" s="118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8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8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8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5"/>
      <c r="I41" s="122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8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8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8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5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5"/>
      <c r="BE41" s="122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8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8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8"/>
      <c r="CQ41" s="52" t="str">
        <f t="shared" si="175"/>
        <v/>
      </c>
      <c r="CX41" s="135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6" t="s">
        <v>332</v>
      </c>
      <c r="EY41" s="116"/>
      <c r="FA41" s="135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5"/>
      <c r="FS41" s="122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8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8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8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8"/>
      <c r="IB41" s="118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8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8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8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5"/>
      <c r="I42" s="122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8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8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8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5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5"/>
      <c r="BE42" s="122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8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8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8"/>
      <c r="CQ42" s="52" t="str">
        <f t="shared" si="175"/>
        <v/>
      </c>
      <c r="CX42" s="135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93</v>
      </c>
      <c r="EY42" s="30"/>
      <c r="FA42" s="135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5"/>
      <c r="FS42" s="122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8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8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8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8"/>
      <c r="IB42" s="118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8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8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8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5"/>
      <c r="I43" s="122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8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8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8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5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5"/>
      <c r="BE43" s="122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8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8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8"/>
      <c r="CQ43" s="52" t="str">
        <f t="shared" si="175"/>
        <v/>
      </c>
      <c r="CX43" s="135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83</v>
      </c>
      <c r="EY43" s="31"/>
      <c r="FA43" s="135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5"/>
      <c r="FS43" s="122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8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8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8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8"/>
      <c r="IB43" s="118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8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8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8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5"/>
      <c r="I44" s="122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8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8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8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5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5"/>
      <c r="BE44" s="122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8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8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8"/>
      <c r="CQ44" s="52" t="str">
        <f t="shared" si="175"/>
        <v/>
      </c>
      <c r="CX44" s="135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333</v>
      </c>
      <c r="EY44" s="31"/>
      <c r="FA44" s="135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5"/>
      <c r="FS44" s="122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8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8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8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8"/>
      <c r="IB44" s="118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8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8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8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5"/>
      <c r="I45" s="122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8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8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8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5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5"/>
      <c r="BE45" s="122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8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8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8"/>
      <c r="CQ45" s="52" t="str">
        <f t="shared" si="175"/>
        <v/>
      </c>
      <c r="CX45" s="135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5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5"/>
      <c r="FS45" s="122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8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8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8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8"/>
      <c r="IB45" s="118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8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8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8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5"/>
      <c r="I46" s="122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8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8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8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5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5"/>
      <c r="BE46" s="122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8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8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8"/>
      <c r="CQ46" s="52" t="str">
        <f t="shared" si="175"/>
        <v/>
      </c>
      <c r="CX46" s="135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5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5"/>
      <c r="FS46" s="122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8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8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8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8"/>
      <c r="IB46" s="118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8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8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8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5"/>
      <c r="I47" s="122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8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8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8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5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5"/>
      <c r="BE47" s="122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8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8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8"/>
      <c r="CQ47" s="52" t="str">
        <f t="shared" si="175"/>
        <v/>
      </c>
      <c r="CX47" s="135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5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5"/>
      <c r="FS47" s="122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8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8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8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8"/>
      <c r="IB47" s="118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8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8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8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5"/>
      <c r="I48" s="122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8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8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8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5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5"/>
      <c r="BE48" s="122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8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8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8"/>
      <c r="CQ48" s="52" t="str">
        <f t="shared" si="175"/>
        <v/>
      </c>
      <c r="CX48" s="135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5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5"/>
      <c r="FS48" s="122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8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8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8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8"/>
      <c r="IB48" s="118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8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8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8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5"/>
      <c r="I49" s="122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8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8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8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5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5"/>
      <c r="BE49" s="122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8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8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8"/>
      <c r="CQ49" s="52" t="str">
        <f t="shared" si="175"/>
        <v/>
      </c>
      <c r="CX49" s="135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5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5"/>
      <c r="FS49" s="122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8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8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8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8"/>
      <c r="IB49" s="118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8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8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8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5"/>
      <c r="I50" s="122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8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8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8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5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5"/>
      <c r="BE50" s="122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8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8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8"/>
      <c r="CQ50" s="52" t="str">
        <f t="shared" si="175"/>
        <v/>
      </c>
      <c r="CX50" s="135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5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5"/>
      <c r="FS50" s="122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8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8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8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8"/>
      <c r="IB50" s="118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8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8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8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5"/>
      <c r="I51" s="122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8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8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8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5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5"/>
      <c r="BE51" s="122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8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8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8"/>
      <c r="CQ51" s="52" t="str">
        <f t="shared" si="175"/>
        <v/>
      </c>
      <c r="CX51" s="135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5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5"/>
      <c r="FS51" s="122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8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8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8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8"/>
      <c r="IB51" s="118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8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8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8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5"/>
      <c r="I52" s="122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8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8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8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5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5"/>
      <c r="BE52" s="122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8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8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8"/>
      <c r="CQ52" s="52" t="str">
        <f t="shared" si="175"/>
        <v/>
      </c>
      <c r="CX52" s="135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5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5"/>
      <c r="FS52" s="122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8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8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8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8"/>
      <c r="IB52" s="118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8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8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8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5"/>
      <c r="I53" s="122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8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8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8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5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5"/>
      <c r="BE53" s="122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8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8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8"/>
      <c r="CQ53" s="52" t="str">
        <f t="shared" si="175"/>
        <v/>
      </c>
      <c r="CX53" s="135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5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5"/>
      <c r="FS53" s="122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8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8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8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8"/>
      <c r="IB53" s="118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8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8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8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5"/>
      <c r="I54" s="122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8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8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8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5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5"/>
      <c r="BE54" s="122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8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8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8"/>
      <c r="CQ54" s="52" t="str">
        <f t="shared" si="175"/>
        <v/>
      </c>
      <c r="CX54" s="135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5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5"/>
      <c r="FS54" s="122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8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8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8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8"/>
      <c r="IB54" s="118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8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8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8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5"/>
      <c r="I55" s="122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8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8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8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5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5"/>
      <c r="BE55" s="122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8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8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8"/>
      <c r="CQ55" s="52" t="str">
        <f t="shared" si="175"/>
        <v/>
      </c>
      <c r="CX55" s="135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5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5"/>
      <c r="FS55" s="122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8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8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8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8"/>
      <c r="IB55" s="118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8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8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8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5"/>
      <c r="I56" s="122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8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8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8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5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5"/>
      <c r="BE56" s="122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8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8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8"/>
      <c r="CQ56" s="52" t="str">
        <f t="shared" si="175"/>
        <v/>
      </c>
      <c r="CX56" s="135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5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5"/>
      <c r="FS56" s="122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8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8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8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8"/>
      <c r="IB56" s="118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8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8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8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5"/>
      <c r="I57" s="122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8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8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8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5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5"/>
      <c r="BE57" s="122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8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8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8"/>
      <c r="CQ57" s="52" t="str">
        <f t="shared" si="175"/>
        <v/>
      </c>
      <c r="CX57" s="135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5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5"/>
      <c r="FS57" s="122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8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8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8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8"/>
      <c r="IB57" s="118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8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8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8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5"/>
      <c r="I58" s="122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8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8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8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5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5"/>
      <c r="BE58" s="122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8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8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8"/>
      <c r="CQ58" s="52" t="str">
        <f t="shared" si="175"/>
        <v/>
      </c>
      <c r="CX58" s="135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5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5"/>
      <c r="FS58" s="122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8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8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8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8"/>
      <c r="IB58" s="118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8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8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8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5"/>
      <c r="I59" s="122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8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8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8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5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5"/>
      <c r="BE59" s="122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8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8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8"/>
      <c r="CQ59" s="52" t="str">
        <f t="shared" si="175"/>
        <v/>
      </c>
      <c r="CX59" s="135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5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5"/>
      <c r="FS59" s="122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8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8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8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8"/>
      <c r="IB59" s="118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8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8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8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5"/>
      <c r="I60" s="122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8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8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8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5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5"/>
      <c r="BE60" s="122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8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8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8"/>
      <c r="CQ60" s="52" t="str">
        <f t="shared" si="175"/>
        <v/>
      </c>
      <c r="CX60" s="135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5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5"/>
      <c r="FS60" s="122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8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8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8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8"/>
      <c r="IB60" s="118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8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8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8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5"/>
      <c r="I61" s="122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8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8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8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5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5"/>
      <c r="BE61" s="122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8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8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8"/>
      <c r="CQ61" s="52" t="str">
        <f t="shared" si="175"/>
        <v/>
      </c>
      <c r="CX61" s="135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5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5"/>
      <c r="FS61" s="122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8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8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8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8"/>
      <c r="IB61" s="118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8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8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8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5"/>
      <c r="I62" s="122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8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8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8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5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5"/>
      <c r="BE62" s="122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8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8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8"/>
      <c r="CQ62" s="52" t="str">
        <f t="shared" si="175"/>
        <v/>
      </c>
      <c r="CX62" s="135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5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5"/>
      <c r="FS62" s="122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8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8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8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8"/>
      <c r="IB62" s="118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8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8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8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5"/>
      <c r="I63" s="122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8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8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8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5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5"/>
      <c r="BE63" s="122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8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8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8"/>
      <c r="CQ63" s="52" t="str">
        <f t="shared" si="175"/>
        <v/>
      </c>
      <c r="CX63" s="135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5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5"/>
      <c r="FS63" s="122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8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8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8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8"/>
      <c r="IB63" s="118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8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8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8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5"/>
      <c r="I64" s="122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8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8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8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5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5"/>
      <c r="BE64" s="122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8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8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8"/>
      <c r="CQ64" s="52" t="str">
        <f t="shared" si="175"/>
        <v/>
      </c>
      <c r="CX64" s="135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5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5"/>
      <c r="FS64" s="122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8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8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8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8"/>
      <c r="IB64" s="118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8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8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8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5"/>
      <c r="I65" s="122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8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8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8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5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5"/>
      <c r="BE65" s="122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8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8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8"/>
      <c r="CQ65" s="52" t="str">
        <f t="shared" si="175"/>
        <v/>
      </c>
      <c r="CX65" s="135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5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5"/>
      <c r="FS65" s="122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8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8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8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8"/>
      <c r="IB65" s="118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8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8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8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5"/>
      <c r="I66" s="122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8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8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8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5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5"/>
      <c r="BE66" s="122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8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8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8"/>
      <c r="CQ66" s="52" t="str">
        <f t="shared" si="175"/>
        <v/>
      </c>
      <c r="CX66" s="135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5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5"/>
      <c r="FS66" s="122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8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8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8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8"/>
      <c r="IB66" s="118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8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8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8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5"/>
      <c r="I67" s="122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8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8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8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5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5"/>
      <c r="BE67" s="122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8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8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8"/>
      <c r="CQ67" s="52" t="str">
        <f t="shared" si="175"/>
        <v/>
      </c>
      <c r="CX67" s="135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5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5"/>
      <c r="FS67" s="122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8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8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8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8"/>
      <c r="IB67" s="118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8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8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8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5"/>
      <c r="I68" s="122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8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8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8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5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5"/>
      <c r="BE68" s="122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8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8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8"/>
      <c r="CQ68" s="52" t="str">
        <f t="shared" si="175"/>
        <v/>
      </c>
      <c r="CX68" s="135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5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5"/>
      <c r="FS68" s="122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8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8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8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8"/>
      <c r="IB68" s="118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8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8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8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5"/>
      <c r="I69" s="122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8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8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8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5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5"/>
      <c r="BE69" s="122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8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8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8"/>
      <c r="CQ69" s="52" t="str">
        <f t="shared" si="175"/>
        <v/>
      </c>
      <c r="CX69" s="135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5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5"/>
      <c r="FS69" s="122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8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8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8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8"/>
      <c r="IB69" s="118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8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8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8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5"/>
      <c r="I70" s="122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8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8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8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5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5"/>
      <c r="BE70" s="122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8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8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8"/>
      <c r="CQ70" s="52" t="str">
        <f t="shared" si="175"/>
        <v/>
      </c>
      <c r="CX70" s="135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5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5"/>
      <c r="FS70" s="122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8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8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8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8"/>
      <c r="IB70" s="118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8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8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8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5"/>
      <c r="I71" s="122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8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8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8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5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5"/>
      <c r="BE71" s="122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8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8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8"/>
      <c r="CQ71" s="52" t="str">
        <f t="shared" si="175"/>
        <v/>
      </c>
      <c r="CX71" s="135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5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5"/>
      <c r="FS71" s="122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8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8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8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8"/>
      <c r="IB71" s="118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8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8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8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5"/>
      <c r="I72" s="122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8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8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8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5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5"/>
      <c r="BE72" s="122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8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8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8"/>
      <c r="CQ72" s="52" t="str">
        <f t="shared" si="175"/>
        <v/>
      </c>
      <c r="CX72" s="135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5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5"/>
      <c r="FS72" s="122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8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8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8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8"/>
      <c r="IB72" s="118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8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8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8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5"/>
      <c r="I73" s="122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8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8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8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5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5"/>
      <c r="BE73" s="122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8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8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8"/>
      <c r="CQ73" s="52" t="str">
        <f t="shared" si="175"/>
        <v/>
      </c>
      <c r="CX73" s="135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5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5"/>
      <c r="FS73" s="122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8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8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8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8"/>
      <c r="IB73" s="118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8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8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8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5"/>
      <c r="I74" s="122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8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8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8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5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5"/>
      <c r="BE74" s="122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8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8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8"/>
      <c r="CQ74" s="52" t="str">
        <f t="shared" si="175"/>
        <v/>
      </c>
      <c r="CX74" s="135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5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5"/>
      <c r="FS74" s="122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8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8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8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8"/>
      <c r="IB74" s="118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8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8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8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5"/>
      <c r="I75" s="122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8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8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8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5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5"/>
      <c r="BE75" s="122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8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8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8"/>
      <c r="CQ75" s="52" t="str">
        <f t="shared" si="175"/>
        <v/>
      </c>
      <c r="CX75" s="135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5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5"/>
      <c r="FS75" s="122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8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8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8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8"/>
      <c r="IB75" s="118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8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8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8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5"/>
      <c r="I76" s="122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8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8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8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5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5"/>
      <c r="BE76" s="122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8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8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8"/>
      <c r="CQ76" s="52" t="str">
        <f t="shared" si="175"/>
        <v/>
      </c>
      <c r="CX76" s="135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5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5"/>
      <c r="FS76" s="122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8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8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8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8"/>
      <c r="IB76" s="118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8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8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8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5"/>
      <c r="I77" s="122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8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8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8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5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5"/>
      <c r="BE77" s="122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8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8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8"/>
      <c r="CQ77" s="52" t="str">
        <f t="shared" si="175"/>
        <v/>
      </c>
      <c r="CX77" s="135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5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5"/>
      <c r="FS77" s="122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8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8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8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8"/>
      <c r="IB77" s="118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8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8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8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5"/>
      <c r="I78" s="122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8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8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8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5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5"/>
      <c r="BE78" s="122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8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8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8"/>
      <c r="CQ78" s="52" t="str">
        <f t="shared" si="175"/>
        <v/>
      </c>
      <c r="CX78" s="135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5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5"/>
      <c r="FS78" s="122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8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8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8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8"/>
      <c r="IB78" s="118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8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8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8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5"/>
      <c r="I79" s="122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8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8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8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5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5"/>
      <c r="BE79" s="122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8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8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8"/>
      <c r="CQ79" s="52" t="str">
        <f t="shared" si="175"/>
        <v/>
      </c>
      <c r="CX79" s="135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5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5"/>
      <c r="FS79" s="122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8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8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8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8"/>
      <c r="IB79" s="118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8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8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8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5"/>
      <c r="I80" s="122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8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8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8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5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5"/>
      <c r="BE80" s="122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8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8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8"/>
      <c r="CQ80" s="52" t="str">
        <f t="shared" si="175"/>
        <v/>
      </c>
      <c r="CX80" s="135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5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5"/>
      <c r="FS80" s="122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8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8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8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8"/>
      <c r="IB80" s="118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8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8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8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5"/>
      <c r="I81" s="122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8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8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8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5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5"/>
      <c r="BE81" s="122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8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8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8"/>
      <c r="CQ81" s="52" t="str">
        <f t="shared" si="175"/>
        <v/>
      </c>
      <c r="CX81" s="135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5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5"/>
      <c r="FS81" s="122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8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8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8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8"/>
      <c r="IB81" s="118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8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8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8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5"/>
      <c r="I82" s="122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8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8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8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5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5"/>
      <c r="BE82" s="122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8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8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8"/>
      <c r="CQ82" s="52" t="str">
        <f t="shared" si="175"/>
        <v/>
      </c>
      <c r="CX82" s="135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5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5"/>
      <c r="FS82" s="122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8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8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8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8"/>
      <c r="IB82" s="118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8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8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8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5"/>
      <c r="I83" s="122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8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8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8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5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5"/>
      <c r="BE83" s="122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8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8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8"/>
      <c r="CQ83" s="52" t="str">
        <f t="shared" si="175"/>
        <v/>
      </c>
      <c r="CX83" s="135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5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5"/>
      <c r="FS83" s="122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8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8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8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8"/>
      <c r="IB83" s="118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8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8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8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5"/>
      <c r="I84" s="122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8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8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8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5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5"/>
      <c r="BE84" s="122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8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8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8"/>
      <c r="CQ84" s="52" t="str">
        <f t="shared" si="175"/>
        <v/>
      </c>
      <c r="CX84" s="135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5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5"/>
      <c r="FS84" s="122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8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8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8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8"/>
      <c r="IB84" s="118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8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8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8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5"/>
      <c r="I85" s="122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8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8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8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5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5"/>
      <c r="BE85" s="122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8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8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8"/>
      <c r="CQ85" s="52" t="str">
        <f t="shared" si="175"/>
        <v/>
      </c>
      <c r="CX85" s="135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5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5"/>
      <c r="FS85" s="122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8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8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8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8"/>
      <c r="IB85" s="118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8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8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8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5"/>
      <c r="I86" s="122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8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8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8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5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5"/>
      <c r="BE86" s="122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8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8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8"/>
      <c r="CQ86" s="52" t="str">
        <f t="shared" si="175"/>
        <v/>
      </c>
      <c r="CX86" s="135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5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5"/>
      <c r="FS86" s="122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8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8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8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8"/>
      <c r="IB86" s="118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8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8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8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5"/>
      <c r="I87" s="122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8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8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8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5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5"/>
      <c r="BE87" s="122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8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8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8"/>
      <c r="CQ87" s="52" t="str">
        <f t="shared" si="175"/>
        <v/>
      </c>
      <c r="CX87" s="135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5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5"/>
      <c r="FS87" s="122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8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8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8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8"/>
      <c r="IB87" s="118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8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8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8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5"/>
      <c r="I88" s="122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8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8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8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5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5"/>
      <c r="BE88" s="122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8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8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8"/>
      <c r="CQ88" s="52" t="str">
        <f t="shared" si="175"/>
        <v/>
      </c>
      <c r="CX88" s="135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5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5"/>
      <c r="FS88" s="122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8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8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8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8"/>
      <c r="IB88" s="118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8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8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8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5"/>
      <c r="I89" s="122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8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8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8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5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5"/>
      <c r="BE89" s="122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8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8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8"/>
      <c r="CQ89" s="52" t="str">
        <f t="shared" si="175"/>
        <v/>
      </c>
      <c r="CX89" s="135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5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5"/>
      <c r="FS89" s="122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8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8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8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8"/>
      <c r="IB89" s="118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8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8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8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5"/>
      <c r="I90" s="122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8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8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8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5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5"/>
      <c r="BE90" s="122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8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8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8"/>
      <c r="CQ90" s="52" t="str">
        <f t="shared" si="175"/>
        <v/>
      </c>
      <c r="CX90" s="135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5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5"/>
      <c r="FS90" s="122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8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8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8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8"/>
      <c r="IB90" s="118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8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8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8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5"/>
      <c r="I91" s="122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8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8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8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5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5"/>
      <c r="BE91" s="122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8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8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8"/>
      <c r="CQ91" s="52" t="str">
        <f t="shared" si="175"/>
        <v/>
      </c>
      <c r="CX91" s="135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5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5"/>
      <c r="FS91" s="122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8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8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8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8"/>
      <c r="IB91" s="118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8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8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8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5"/>
      <c r="I92" s="122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8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8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8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5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5"/>
      <c r="BE92" s="122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8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8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8"/>
      <c r="CQ92" s="52" t="str">
        <f t="shared" si="175"/>
        <v/>
      </c>
      <c r="CX92" s="135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5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5"/>
      <c r="FS92" s="122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8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8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8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8"/>
      <c r="IB92" s="118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8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8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8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5"/>
      <c r="I93" s="122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8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8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8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5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5"/>
      <c r="BE93" s="122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8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8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8"/>
      <c r="CQ93" s="52" t="str">
        <f t="shared" si="175"/>
        <v/>
      </c>
      <c r="CX93" s="135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5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5"/>
      <c r="FS93" s="122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8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8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8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8"/>
      <c r="IB93" s="118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8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8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8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5"/>
      <c r="I94" s="122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8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8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8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5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5"/>
      <c r="BE94" s="122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8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8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8"/>
      <c r="CQ94" s="52" t="str">
        <f t="shared" si="175"/>
        <v/>
      </c>
      <c r="CX94" s="135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5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5"/>
      <c r="FS94" s="122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8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8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8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8"/>
      <c r="IB94" s="118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8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8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8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5"/>
      <c r="I95" s="122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8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8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8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5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5"/>
      <c r="BE95" s="122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8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8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8"/>
      <c r="CQ95" s="52" t="str">
        <f t="shared" si="175"/>
        <v/>
      </c>
      <c r="CX95" s="135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5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5"/>
      <c r="FS95" s="122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8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8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8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8"/>
      <c r="IB95" s="118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8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8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8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5"/>
      <c r="I96" s="122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8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8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8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5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5"/>
      <c r="BE96" s="122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8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8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8"/>
      <c r="CQ96" s="52" t="str">
        <f t="shared" si="175"/>
        <v/>
      </c>
      <c r="CX96" s="135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5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5"/>
      <c r="FS96" s="122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8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8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8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8"/>
      <c r="IB96" s="118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8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8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8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5"/>
      <c r="I97" s="122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8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8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8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5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5"/>
      <c r="BE97" s="122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8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8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8"/>
      <c r="CQ97" s="52" t="str">
        <f t="shared" si="175"/>
        <v/>
      </c>
      <c r="CX97" s="135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5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5"/>
      <c r="FS97" s="122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8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8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8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8"/>
      <c r="IB97" s="118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8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8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8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5"/>
      <c r="I98" s="122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8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8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8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5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5"/>
      <c r="BE98" s="122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8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8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8"/>
      <c r="CQ98" s="52" t="str">
        <f t="shared" ref="CQ98:CQ161" si="383">IF(AND(Sufficient_data="Yes",Include_study?="Yes"),c_/(c_+d_),"")</f>
        <v/>
      </c>
      <c r="CX98" s="135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5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5"/>
      <c r="FS98" s="122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8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8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8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8"/>
      <c r="IB98" s="118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8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8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8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5"/>
      <c r="I99" s="122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8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8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8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5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5"/>
      <c r="BE99" s="122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8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8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8"/>
      <c r="CQ99" s="52" t="str">
        <f t="shared" si="383"/>
        <v/>
      </c>
      <c r="CX99" s="135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5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5"/>
      <c r="FS99" s="122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8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8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8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8"/>
      <c r="IB99" s="118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8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8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8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5"/>
      <c r="I100" s="122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8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8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8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5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5"/>
      <c r="BE100" s="122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8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8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8"/>
      <c r="CQ100" s="52" t="str">
        <f t="shared" si="383"/>
        <v/>
      </c>
      <c r="CX100" s="135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5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5"/>
      <c r="FS100" s="122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8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8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8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8"/>
      <c r="IB100" s="118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8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8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8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5"/>
      <c r="I101" s="122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8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8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8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5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5"/>
      <c r="BE101" s="122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8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8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8"/>
      <c r="CQ101" s="52" t="str">
        <f t="shared" si="383"/>
        <v/>
      </c>
      <c r="CX101" s="135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5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5"/>
      <c r="FS101" s="122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8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8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8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8"/>
      <c r="IB101" s="118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8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8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8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5"/>
      <c r="I102" s="122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8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8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8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5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5"/>
      <c r="BE102" s="122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8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8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8"/>
      <c r="CQ102" s="52" t="str">
        <f t="shared" si="383"/>
        <v/>
      </c>
      <c r="CX102" s="135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5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5"/>
      <c r="FS102" s="122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8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8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8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8"/>
      <c r="IB102" s="118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8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8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8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5"/>
      <c r="I103" s="122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8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8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8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5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5"/>
      <c r="BE103" s="122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8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8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8"/>
      <c r="CQ103" s="52" t="str">
        <f t="shared" si="383"/>
        <v/>
      </c>
      <c r="CX103" s="135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5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5"/>
      <c r="FS103" s="122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8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8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8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8"/>
      <c r="IB103" s="118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8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8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8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5"/>
      <c r="I104" s="122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8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8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8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5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5"/>
      <c r="BE104" s="122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8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8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8"/>
      <c r="CQ104" s="52" t="str">
        <f t="shared" si="383"/>
        <v/>
      </c>
      <c r="CX104" s="135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5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5"/>
      <c r="FS104" s="122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8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8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8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8"/>
      <c r="IB104" s="118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8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8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8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5"/>
      <c r="I105" s="122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8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8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8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5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5"/>
      <c r="BE105" s="122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8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8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8"/>
      <c r="CQ105" s="52" t="str">
        <f t="shared" si="383"/>
        <v/>
      </c>
      <c r="CX105" s="135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5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5"/>
      <c r="FS105" s="122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8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8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8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8"/>
      <c r="IB105" s="118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8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8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8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5"/>
      <c r="I106" s="122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8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8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8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5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5"/>
      <c r="BE106" s="122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8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8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8"/>
      <c r="CQ106" s="52" t="str">
        <f t="shared" si="383"/>
        <v/>
      </c>
      <c r="CX106" s="135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5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5"/>
      <c r="FS106" s="122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8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8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8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8"/>
      <c r="IB106" s="118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8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8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8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5"/>
      <c r="I107" s="122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8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8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8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5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5"/>
      <c r="BE107" s="122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8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8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8"/>
      <c r="CQ107" s="52" t="str">
        <f t="shared" si="383"/>
        <v/>
      </c>
      <c r="CX107" s="135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5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5"/>
      <c r="FS107" s="122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8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8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8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8"/>
      <c r="IB107" s="118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8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8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8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5"/>
      <c r="I108" s="122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8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8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8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5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5"/>
      <c r="BE108" s="122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8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8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8"/>
      <c r="CQ108" s="52" t="str">
        <f t="shared" si="383"/>
        <v/>
      </c>
      <c r="CX108" s="135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5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5"/>
      <c r="FS108" s="122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8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8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8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8"/>
      <c r="IB108" s="118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8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8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8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5"/>
      <c r="I109" s="122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8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8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8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5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5"/>
      <c r="BE109" s="122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8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8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8"/>
      <c r="CQ109" s="52" t="str">
        <f t="shared" si="383"/>
        <v/>
      </c>
      <c r="CX109" s="135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5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5"/>
      <c r="FS109" s="122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8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8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8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8"/>
      <c r="IB109" s="118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8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8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8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5"/>
      <c r="I110" s="122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8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8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8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5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5"/>
      <c r="BE110" s="122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8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8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8"/>
      <c r="CQ110" s="52" t="str">
        <f t="shared" si="383"/>
        <v/>
      </c>
      <c r="CX110" s="135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5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5"/>
      <c r="FS110" s="122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8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8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8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8"/>
      <c r="IB110" s="118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8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8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8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5"/>
      <c r="I111" s="122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8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8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8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5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5"/>
      <c r="BE111" s="122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8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8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8"/>
      <c r="CQ111" s="52" t="str">
        <f t="shared" si="383"/>
        <v/>
      </c>
      <c r="CX111" s="135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5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5"/>
      <c r="FS111" s="122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8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8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8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8"/>
      <c r="IB111" s="118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8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8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8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5"/>
      <c r="I112" s="122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8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8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8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5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5"/>
      <c r="BE112" s="122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8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8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8"/>
      <c r="CQ112" s="52" t="str">
        <f t="shared" si="383"/>
        <v/>
      </c>
      <c r="CX112" s="135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5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5"/>
      <c r="FS112" s="122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8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8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8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8"/>
      <c r="IB112" s="118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8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8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8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5"/>
      <c r="I113" s="122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8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8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8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5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5"/>
      <c r="BE113" s="122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8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8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8"/>
      <c r="CQ113" s="52" t="str">
        <f t="shared" si="383"/>
        <v/>
      </c>
      <c r="CX113" s="135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5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5"/>
      <c r="FS113" s="122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8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8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8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8"/>
      <c r="IB113" s="118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8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8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8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5"/>
      <c r="I114" s="122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8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8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8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5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5"/>
      <c r="BE114" s="122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8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8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8"/>
      <c r="CQ114" s="52" t="str">
        <f t="shared" si="383"/>
        <v/>
      </c>
      <c r="CX114" s="135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5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5"/>
      <c r="FS114" s="122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8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8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8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8"/>
      <c r="IB114" s="118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8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8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8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5"/>
      <c r="I115" s="122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8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8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8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5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5"/>
      <c r="BE115" s="122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8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8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8"/>
      <c r="CQ115" s="52" t="str">
        <f t="shared" si="383"/>
        <v/>
      </c>
      <c r="CX115" s="135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5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5"/>
      <c r="FS115" s="122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8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8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8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8"/>
      <c r="IB115" s="118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8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8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8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5"/>
      <c r="I116" s="122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8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8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8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5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5"/>
      <c r="BE116" s="122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8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8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8"/>
      <c r="CQ116" s="52" t="str">
        <f t="shared" si="383"/>
        <v/>
      </c>
      <c r="CX116" s="135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5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5"/>
      <c r="FS116" s="122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8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8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8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8"/>
      <c r="IB116" s="118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8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8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8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5"/>
      <c r="I117" s="122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8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8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8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5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5"/>
      <c r="BE117" s="122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8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8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8"/>
      <c r="CQ117" s="52" t="str">
        <f t="shared" si="383"/>
        <v/>
      </c>
      <c r="CX117" s="135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5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5"/>
      <c r="FS117" s="122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8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8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8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8"/>
      <c r="IB117" s="118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8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8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8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5"/>
      <c r="I118" s="122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8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8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8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5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5"/>
      <c r="BE118" s="122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8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8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8"/>
      <c r="CQ118" s="52" t="str">
        <f t="shared" si="383"/>
        <v/>
      </c>
      <c r="CX118" s="135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5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5"/>
      <c r="FS118" s="122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8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8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8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8"/>
      <c r="IB118" s="118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8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8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8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5"/>
      <c r="I119" s="122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8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8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8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5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5"/>
      <c r="BE119" s="122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8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8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8"/>
      <c r="CQ119" s="52" t="str">
        <f t="shared" si="383"/>
        <v/>
      </c>
      <c r="CX119" s="135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5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5"/>
      <c r="FS119" s="122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8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8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8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8"/>
      <c r="IB119" s="118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8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8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8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5"/>
      <c r="I120" s="122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8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8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8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5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5"/>
      <c r="BE120" s="122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8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8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8"/>
      <c r="CQ120" s="52" t="str">
        <f t="shared" si="383"/>
        <v/>
      </c>
      <c r="CX120" s="135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5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5"/>
      <c r="FS120" s="122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8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8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8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8"/>
      <c r="IB120" s="118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8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8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8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5"/>
      <c r="I121" s="122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8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8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8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5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5"/>
      <c r="BE121" s="122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8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8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8"/>
      <c r="CQ121" s="52" t="str">
        <f t="shared" si="383"/>
        <v/>
      </c>
      <c r="CX121" s="135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5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5"/>
      <c r="FS121" s="122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8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8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8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8"/>
      <c r="IB121" s="118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8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8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8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5"/>
      <c r="I122" s="122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8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8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8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5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5"/>
      <c r="BE122" s="122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8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8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8"/>
      <c r="CQ122" s="52" t="str">
        <f t="shared" si="383"/>
        <v/>
      </c>
      <c r="CX122" s="135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5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5"/>
      <c r="FS122" s="122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8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8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8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8"/>
      <c r="IB122" s="118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8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8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8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5"/>
      <c r="I123" s="122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8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8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8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5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5"/>
      <c r="BE123" s="122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8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8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8"/>
      <c r="CQ123" s="52" t="str">
        <f t="shared" si="383"/>
        <v/>
      </c>
      <c r="CX123" s="135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5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5"/>
      <c r="FS123" s="122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8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8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8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8"/>
      <c r="IB123" s="118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8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8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8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5"/>
      <c r="I124" s="122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8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8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8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5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5"/>
      <c r="BE124" s="122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8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8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8"/>
      <c r="CQ124" s="52" t="str">
        <f t="shared" si="383"/>
        <v/>
      </c>
      <c r="CX124" s="135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5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5"/>
      <c r="FS124" s="122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8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8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8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8"/>
      <c r="IB124" s="118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8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8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8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5"/>
      <c r="I125" s="122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8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8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8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5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5"/>
      <c r="BE125" s="122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8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8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8"/>
      <c r="CQ125" s="52" t="str">
        <f t="shared" si="383"/>
        <v/>
      </c>
      <c r="CX125" s="135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5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5"/>
      <c r="FS125" s="122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8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8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8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8"/>
      <c r="IB125" s="118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8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8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8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5"/>
      <c r="I126" s="122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8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8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8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5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5"/>
      <c r="BE126" s="122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8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8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8"/>
      <c r="CQ126" s="52" t="str">
        <f t="shared" si="383"/>
        <v/>
      </c>
      <c r="CX126" s="135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5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5"/>
      <c r="FS126" s="122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8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8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8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8"/>
      <c r="IB126" s="118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8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8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8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5"/>
      <c r="I127" s="122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8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8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8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5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5"/>
      <c r="BE127" s="122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8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8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8"/>
      <c r="CQ127" s="52" t="str">
        <f t="shared" si="383"/>
        <v/>
      </c>
      <c r="CX127" s="135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5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5"/>
      <c r="FS127" s="122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8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8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8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8"/>
      <c r="IB127" s="118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8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8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8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5"/>
      <c r="I128" s="122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8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8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8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5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5"/>
      <c r="BE128" s="122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8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8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8"/>
      <c r="CQ128" s="52" t="str">
        <f t="shared" si="383"/>
        <v/>
      </c>
      <c r="CX128" s="135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5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5"/>
      <c r="FS128" s="122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8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8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8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8"/>
      <c r="IB128" s="118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8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8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8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5"/>
      <c r="I129" s="122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8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8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8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5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5"/>
      <c r="BE129" s="122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8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8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8"/>
      <c r="CQ129" s="52" t="str">
        <f t="shared" si="383"/>
        <v/>
      </c>
      <c r="CX129" s="135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5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5"/>
      <c r="FS129" s="122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8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8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8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8"/>
      <c r="IB129" s="118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8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8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8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5"/>
      <c r="I130" s="122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8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8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8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5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5"/>
      <c r="BE130" s="122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8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8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8"/>
      <c r="CQ130" s="52" t="str">
        <f t="shared" si="383"/>
        <v/>
      </c>
      <c r="CX130" s="135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5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5"/>
      <c r="FS130" s="122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8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8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8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8"/>
      <c r="IB130" s="118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8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8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8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5"/>
      <c r="I131" s="122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8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8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8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5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5"/>
      <c r="BE131" s="122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8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8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8"/>
      <c r="CQ131" s="52" t="str">
        <f t="shared" si="383"/>
        <v/>
      </c>
      <c r="CX131" s="135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5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5"/>
      <c r="FS131" s="122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8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8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8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8"/>
      <c r="IB131" s="118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8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8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8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5"/>
      <c r="I132" s="122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8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8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8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5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5"/>
      <c r="BE132" s="122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8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8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8"/>
      <c r="CQ132" s="52" t="str">
        <f t="shared" si="383"/>
        <v/>
      </c>
      <c r="CX132" s="135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5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5"/>
      <c r="FS132" s="122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8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8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8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8"/>
      <c r="IB132" s="118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8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8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8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5"/>
      <c r="I133" s="122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8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8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8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5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5"/>
      <c r="BE133" s="122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8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8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8"/>
      <c r="CQ133" s="52" t="str">
        <f t="shared" si="383"/>
        <v/>
      </c>
      <c r="CX133" s="135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5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5"/>
      <c r="FS133" s="122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8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8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8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8"/>
      <c r="IB133" s="118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8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8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8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5"/>
      <c r="I134" s="122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8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8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8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5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5"/>
      <c r="BE134" s="122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8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8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8"/>
      <c r="CQ134" s="52" t="str">
        <f t="shared" si="383"/>
        <v/>
      </c>
      <c r="CX134" s="135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5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5"/>
      <c r="FS134" s="122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8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8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8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8"/>
      <c r="IB134" s="118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8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8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8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5"/>
      <c r="I135" s="122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8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8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8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5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5"/>
      <c r="BE135" s="122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8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8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8"/>
      <c r="CQ135" s="52" t="str">
        <f t="shared" si="383"/>
        <v/>
      </c>
      <c r="CX135" s="135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5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5"/>
      <c r="FS135" s="122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8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8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8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8"/>
      <c r="IB135" s="118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8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8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8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5"/>
      <c r="I136" s="122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8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8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8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5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5"/>
      <c r="BE136" s="122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8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8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8"/>
      <c r="CQ136" s="52" t="str">
        <f t="shared" si="383"/>
        <v/>
      </c>
      <c r="CX136" s="135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5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5"/>
      <c r="FS136" s="122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8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8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8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8"/>
      <c r="IB136" s="118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8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8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8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5"/>
      <c r="I137" s="122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8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8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8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5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5"/>
      <c r="BE137" s="122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8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8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8"/>
      <c r="CQ137" s="52" t="str">
        <f t="shared" si="383"/>
        <v/>
      </c>
      <c r="CX137" s="135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5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5"/>
      <c r="FS137" s="122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8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8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8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8"/>
      <c r="IB137" s="118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8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8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8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5"/>
      <c r="I138" s="122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8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8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8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5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5"/>
      <c r="BE138" s="122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8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8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8"/>
      <c r="CQ138" s="52" t="str">
        <f t="shared" si="383"/>
        <v/>
      </c>
      <c r="CX138" s="135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5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5"/>
      <c r="FS138" s="122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8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8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8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8"/>
      <c r="IB138" s="118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8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8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8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5"/>
      <c r="I139" s="122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8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8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8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5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5"/>
      <c r="BE139" s="122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8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8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8"/>
      <c r="CQ139" s="52" t="str">
        <f t="shared" si="383"/>
        <v/>
      </c>
      <c r="CX139" s="135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5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5"/>
      <c r="FS139" s="122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8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8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8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8"/>
      <c r="IB139" s="118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8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8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8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5"/>
      <c r="I140" s="122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8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8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8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5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5"/>
      <c r="BE140" s="122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8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8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8"/>
      <c r="CQ140" s="52" t="str">
        <f t="shared" si="383"/>
        <v/>
      </c>
      <c r="CX140" s="135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5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5"/>
      <c r="FS140" s="122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8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8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8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8"/>
      <c r="IB140" s="118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8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8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8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5"/>
      <c r="I141" s="122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8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8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8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5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5"/>
      <c r="BE141" s="122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8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8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8"/>
      <c r="CQ141" s="52" t="str">
        <f t="shared" si="383"/>
        <v/>
      </c>
      <c r="CX141" s="135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5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5"/>
      <c r="FS141" s="122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8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8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8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8"/>
      <c r="IB141" s="118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8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8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8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5"/>
      <c r="I142" s="122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8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8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8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5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5"/>
      <c r="BE142" s="122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8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8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8"/>
      <c r="CQ142" s="52" t="str">
        <f t="shared" si="383"/>
        <v/>
      </c>
      <c r="CX142" s="135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5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5"/>
      <c r="FS142" s="122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8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8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8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8"/>
      <c r="IB142" s="118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8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8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8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5"/>
      <c r="I143" s="122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8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8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8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5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5"/>
      <c r="BE143" s="122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8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8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8"/>
      <c r="CQ143" s="52" t="str">
        <f t="shared" si="383"/>
        <v/>
      </c>
      <c r="CX143" s="135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5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5"/>
      <c r="FS143" s="122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8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8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8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8"/>
      <c r="IB143" s="118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8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8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8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5"/>
      <c r="I144" s="122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8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8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8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5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5"/>
      <c r="BE144" s="122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8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8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8"/>
      <c r="CQ144" s="52" t="str">
        <f t="shared" si="383"/>
        <v/>
      </c>
      <c r="CX144" s="135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5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5"/>
      <c r="FS144" s="122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8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8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8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8"/>
      <c r="IB144" s="118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8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8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8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5"/>
      <c r="I145" s="122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8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8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8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5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5"/>
      <c r="BE145" s="122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8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8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8"/>
      <c r="CQ145" s="52" t="str">
        <f t="shared" si="383"/>
        <v/>
      </c>
      <c r="CX145" s="135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5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5"/>
      <c r="FS145" s="122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8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8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8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8"/>
      <c r="IB145" s="118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8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8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8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5"/>
      <c r="I146" s="122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8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8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8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5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5"/>
      <c r="BE146" s="122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8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8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8"/>
      <c r="CQ146" s="52" t="str">
        <f t="shared" si="383"/>
        <v/>
      </c>
      <c r="CX146" s="135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5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5"/>
      <c r="FS146" s="122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8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8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8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8"/>
      <c r="IB146" s="118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8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8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8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5"/>
      <c r="I147" s="122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8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8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8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5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5"/>
      <c r="BE147" s="122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8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8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8"/>
      <c r="CQ147" s="52" t="str">
        <f t="shared" si="383"/>
        <v/>
      </c>
      <c r="CX147" s="135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5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5"/>
      <c r="FS147" s="122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8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8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8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8"/>
      <c r="IB147" s="118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8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8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8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5"/>
      <c r="I148" s="122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8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8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8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5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5"/>
      <c r="BE148" s="122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8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8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8"/>
      <c r="CQ148" s="52" t="str">
        <f t="shared" si="383"/>
        <v/>
      </c>
      <c r="CX148" s="135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5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5"/>
      <c r="FS148" s="122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8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8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8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8"/>
      <c r="IB148" s="118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8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8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8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5"/>
      <c r="I149" s="122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8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8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8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5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5"/>
      <c r="BE149" s="122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8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8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8"/>
      <c r="CQ149" s="52" t="str">
        <f t="shared" si="383"/>
        <v/>
      </c>
      <c r="CX149" s="135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5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5"/>
      <c r="FS149" s="122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8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8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8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8"/>
      <c r="IB149" s="118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8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8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8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5"/>
      <c r="I150" s="122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8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8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8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5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5"/>
      <c r="BE150" s="122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8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8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8"/>
      <c r="CQ150" s="52" t="str">
        <f t="shared" si="383"/>
        <v/>
      </c>
      <c r="CX150" s="135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5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5"/>
      <c r="FS150" s="122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8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8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8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8"/>
      <c r="IB150" s="118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8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8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8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5"/>
      <c r="I151" s="122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8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8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8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5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5"/>
      <c r="BE151" s="122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8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8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8"/>
      <c r="CQ151" s="52" t="str">
        <f t="shared" si="383"/>
        <v/>
      </c>
      <c r="CX151" s="135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5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5"/>
      <c r="FS151" s="122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8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8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8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8"/>
      <c r="IB151" s="118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8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8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8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5"/>
      <c r="I152" s="122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8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8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8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5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5"/>
      <c r="BE152" s="122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8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8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8"/>
      <c r="CQ152" s="52" t="str">
        <f t="shared" si="383"/>
        <v/>
      </c>
      <c r="CX152" s="135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5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5"/>
      <c r="FS152" s="122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8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8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8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8"/>
      <c r="IB152" s="118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8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8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8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5"/>
      <c r="I153" s="122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8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8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8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5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5"/>
      <c r="BE153" s="122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8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8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8"/>
      <c r="CQ153" s="52" t="str">
        <f t="shared" si="383"/>
        <v/>
      </c>
      <c r="CX153" s="135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5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5"/>
      <c r="FS153" s="122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8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8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8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8"/>
      <c r="IB153" s="118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8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8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8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5"/>
      <c r="I154" s="122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8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8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8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5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5"/>
      <c r="BE154" s="122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8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8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8"/>
      <c r="CQ154" s="52" t="str">
        <f t="shared" si="383"/>
        <v/>
      </c>
      <c r="CX154" s="135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5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5"/>
      <c r="FS154" s="122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8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8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8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8"/>
      <c r="IB154" s="118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8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8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8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5"/>
      <c r="I155" s="122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8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8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8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5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5"/>
      <c r="BE155" s="122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8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8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8"/>
      <c r="CQ155" s="52" t="str">
        <f t="shared" si="383"/>
        <v/>
      </c>
      <c r="CX155" s="135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5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5"/>
      <c r="FS155" s="122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8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8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8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8"/>
      <c r="IB155" s="118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8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8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8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5"/>
      <c r="I156" s="122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8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8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8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5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5"/>
      <c r="BE156" s="122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8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8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8"/>
      <c r="CQ156" s="52" t="str">
        <f t="shared" si="383"/>
        <v/>
      </c>
      <c r="CX156" s="135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5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5"/>
      <c r="FS156" s="122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8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8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8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8"/>
      <c r="IB156" s="118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8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8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8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5"/>
      <c r="I157" s="122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8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8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8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5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5"/>
      <c r="BE157" s="122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8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8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8"/>
      <c r="CQ157" s="52" t="str">
        <f t="shared" si="383"/>
        <v/>
      </c>
      <c r="CX157" s="135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5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5"/>
      <c r="FS157" s="122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8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8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8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8"/>
      <c r="IB157" s="118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8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8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8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5"/>
      <c r="I158" s="122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8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8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8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5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5"/>
      <c r="BE158" s="122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8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8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8"/>
      <c r="CQ158" s="52" t="str">
        <f t="shared" si="383"/>
        <v/>
      </c>
      <c r="CX158" s="135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5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5"/>
      <c r="FS158" s="122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8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8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8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8"/>
      <c r="IB158" s="118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8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8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8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5"/>
      <c r="I159" s="122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8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8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8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5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5"/>
      <c r="BE159" s="122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8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8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8"/>
      <c r="CQ159" s="52" t="str">
        <f t="shared" si="383"/>
        <v/>
      </c>
      <c r="CX159" s="135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5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5"/>
      <c r="FS159" s="122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8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8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8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8"/>
      <c r="IB159" s="118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8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8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8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5"/>
      <c r="I160" s="122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8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8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8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5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5"/>
      <c r="BE160" s="122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8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8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8"/>
      <c r="CQ160" s="52" t="str">
        <f t="shared" si="383"/>
        <v/>
      </c>
      <c r="CX160" s="135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5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5"/>
      <c r="FS160" s="122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8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8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8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8"/>
      <c r="IB160" s="118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8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8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8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5"/>
      <c r="I161" s="122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8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8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8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5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5"/>
      <c r="BE161" s="122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8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8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8"/>
      <c r="CQ161" s="52" t="str">
        <f t="shared" si="383"/>
        <v/>
      </c>
      <c r="CX161" s="135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5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5"/>
      <c r="FS161" s="122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8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8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8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8"/>
      <c r="IB161" s="118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8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8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8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5"/>
      <c r="I162" s="122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8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8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8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5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5"/>
      <c r="BE162" s="122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8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8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8"/>
      <c r="CQ162" s="52" t="str">
        <f t="shared" ref="CQ162:CQ201" si="582">IF(AND(Sufficient_data="Yes",Include_study?="Yes"),c_/(c_+d_),"")</f>
        <v/>
      </c>
      <c r="CX162" s="135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5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5"/>
      <c r="FS162" s="122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8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8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8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8"/>
      <c r="IB162" s="118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8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8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8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5"/>
      <c r="I163" s="122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8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8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8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5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5"/>
      <c r="BE163" s="122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8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8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8"/>
      <c r="CQ163" s="52" t="str">
        <f t="shared" si="582"/>
        <v/>
      </c>
      <c r="CX163" s="135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5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5"/>
      <c r="FS163" s="122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8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8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8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8"/>
      <c r="IB163" s="118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8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8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8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5"/>
      <c r="I164" s="122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8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8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8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5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5"/>
      <c r="BE164" s="122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8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8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8"/>
      <c r="CQ164" s="52" t="str">
        <f t="shared" si="582"/>
        <v/>
      </c>
      <c r="CX164" s="135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5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5"/>
      <c r="FS164" s="122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8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8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8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8"/>
      <c r="IB164" s="118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8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8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8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5"/>
      <c r="I165" s="122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8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8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8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5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5"/>
      <c r="BE165" s="122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8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8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8"/>
      <c r="CQ165" s="52" t="str">
        <f t="shared" si="582"/>
        <v/>
      </c>
      <c r="CX165" s="135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5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5"/>
      <c r="FS165" s="122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8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8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8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8"/>
      <c r="IB165" s="118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8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8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8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5"/>
      <c r="I166" s="122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8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8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8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5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5"/>
      <c r="BE166" s="122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8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8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8"/>
      <c r="CQ166" s="52" t="str">
        <f t="shared" si="582"/>
        <v/>
      </c>
      <c r="CX166" s="135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5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5"/>
      <c r="FS166" s="122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8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8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8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8"/>
      <c r="IB166" s="118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8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8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8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5"/>
      <c r="I167" s="122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8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8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8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5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5"/>
      <c r="BE167" s="122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8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8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8"/>
      <c r="CQ167" s="52" t="str">
        <f t="shared" si="582"/>
        <v/>
      </c>
      <c r="CX167" s="135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5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5"/>
      <c r="FS167" s="122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8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8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8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8"/>
      <c r="IB167" s="118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8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8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8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5"/>
      <c r="I168" s="122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8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8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8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5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5"/>
      <c r="BE168" s="122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8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8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8"/>
      <c r="CQ168" s="52" t="str">
        <f t="shared" si="582"/>
        <v/>
      </c>
      <c r="CX168" s="135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5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5"/>
      <c r="FS168" s="122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8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8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8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8"/>
      <c r="IB168" s="118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8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8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8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5"/>
      <c r="I169" s="122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8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8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8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5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5"/>
      <c r="BE169" s="122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8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8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8"/>
      <c r="CQ169" s="52" t="str">
        <f t="shared" si="582"/>
        <v/>
      </c>
      <c r="CX169" s="135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5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5"/>
      <c r="FS169" s="122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8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8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8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8"/>
      <c r="IB169" s="118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8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8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8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5"/>
      <c r="I170" s="122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8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8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8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5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5"/>
      <c r="BE170" s="122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8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8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8"/>
      <c r="CQ170" s="52" t="str">
        <f t="shared" si="582"/>
        <v/>
      </c>
      <c r="CX170" s="135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5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5"/>
      <c r="FS170" s="122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8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8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8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8"/>
      <c r="IB170" s="118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8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8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8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5"/>
      <c r="I171" s="122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8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8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8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5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5"/>
      <c r="BE171" s="122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8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8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8"/>
      <c r="CQ171" s="52" t="str">
        <f t="shared" si="582"/>
        <v/>
      </c>
      <c r="CX171" s="135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5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5"/>
      <c r="FS171" s="122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8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8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8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8"/>
      <c r="IB171" s="118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8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8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8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5"/>
      <c r="I172" s="122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8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8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8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5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5"/>
      <c r="BE172" s="122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8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8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8"/>
      <c r="CQ172" s="52" t="str">
        <f t="shared" si="582"/>
        <v/>
      </c>
      <c r="CX172" s="135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5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5"/>
      <c r="FS172" s="122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8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8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8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8"/>
      <c r="IB172" s="118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8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8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8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5"/>
      <c r="I173" s="122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8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8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8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5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5"/>
      <c r="BE173" s="122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8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8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8"/>
      <c r="CQ173" s="52" t="str">
        <f t="shared" si="582"/>
        <v/>
      </c>
      <c r="CX173" s="135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5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5"/>
      <c r="FS173" s="122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8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8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8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8"/>
      <c r="IB173" s="118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8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8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8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5"/>
      <c r="I174" s="122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8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8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8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5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5"/>
      <c r="BE174" s="122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8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8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8"/>
      <c r="CQ174" s="52" t="str">
        <f t="shared" si="582"/>
        <v/>
      </c>
      <c r="CX174" s="135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5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5"/>
      <c r="FS174" s="122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8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8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8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8"/>
      <c r="IB174" s="118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8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8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8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5"/>
      <c r="I175" s="122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8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8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8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5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5"/>
      <c r="BE175" s="122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8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8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8"/>
      <c r="CQ175" s="52" t="str">
        <f t="shared" si="582"/>
        <v/>
      </c>
      <c r="CX175" s="135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5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5"/>
      <c r="FS175" s="122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8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8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8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8"/>
      <c r="IB175" s="118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8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8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8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5"/>
      <c r="I176" s="122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8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8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8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5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5"/>
      <c r="BE176" s="122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8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8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8"/>
      <c r="CQ176" s="52" t="str">
        <f t="shared" si="582"/>
        <v/>
      </c>
      <c r="CX176" s="135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5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5"/>
      <c r="FS176" s="122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8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8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8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8"/>
      <c r="IB176" s="118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8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8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8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5"/>
      <c r="I177" s="122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8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8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8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5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5"/>
      <c r="BE177" s="122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8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8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8"/>
      <c r="CQ177" s="52" t="str">
        <f t="shared" si="582"/>
        <v/>
      </c>
      <c r="CX177" s="135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5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5"/>
      <c r="FS177" s="122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8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8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8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8"/>
      <c r="IB177" s="118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8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8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8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5"/>
      <c r="I178" s="122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8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8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8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5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5"/>
      <c r="BE178" s="122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8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8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8"/>
      <c r="CQ178" s="52" t="str">
        <f t="shared" si="582"/>
        <v/>
      </c>
      <c r="CX178" s="135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5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5"/>
      <c r="FS178" s="122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8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8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8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8"/>
      <c r="IB178" s="118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8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8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8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5"/>
      <c r="I179" s="122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8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8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8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5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5"/>
      <c r="BE179" s="122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8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8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8"/>
      <c r="CQ179" s="52" t="str">
        <f t="shared" si="582"/>
        <v/>
      </c>
      <c r="CX179" s="135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5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5"/>
      <c r="FS179" s="122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8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8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8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8"/>
      <c r="IB179" s="118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8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8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8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5"/>
      <c r="I180" s="122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8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8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8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5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5"/>
      <c r="BE180" s="122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8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8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8"/>
      <c r="CQ180" s="52" t="str">
        <f t="shared" si="582"/>
        <v/>
      </c>
      <c r="CX180" s="135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5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5"/>
      <c r="FS180" s="122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8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8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8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8"/>
      <c r="IB180" s="118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8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8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8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5"/>
      <c r="I181" s="122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8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8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8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5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5"/>
      <c r="BE181" s="122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8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8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8"/>
      <c r="CQ181" s="52" t="str">
        <f t="shared" si="582"/>
        <v/>
      </c>
      <c r="CX181" s="135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5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5"/>
      <c r="FS181" s="122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8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8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8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8"/>
      <c r="IB181" s="118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8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8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8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5"/>
      <c r="I182" s="122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8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8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8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5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5"/>
      <c r="BE182" s="122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8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8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8"/>
      <c r="CQ182" s="52" t="str">
        <f t="shared" si="582"/>
        <v/>
      </c>
      <c r="CX182" s="135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5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5"/>
      <c r="FS182" s="122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8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8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8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8"/>
      <c r="IB182" s="118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8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8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8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5"/>
      <c r="I183" s="122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8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8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8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5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5"/>
      <c r="BE183" s="122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8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8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8"/>
      <c r="CQ183" s="52" t="str">
        <f t="shared" si="582"/>
        <v/>
      </c>
      <c r="CX183" s="135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5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5"/>
      <c r="FS183" s="122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8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8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8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8"/>
      <c r="IB183" s="118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8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8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8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5"/>
      <c r="I184" s="122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8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8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8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5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5"/>
      <c r="BE184" s="122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8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8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8"/>
      <c r="CQ184" s="52" t="str">
        <f t="shared" si="582"/>
        <v/>
      </c>
      <c r="CX184" s="135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5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5"/>
      <c r="FS184" s="122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8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8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8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8"/>
      <c r="IB184" s="118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8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8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8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5"/>
      <c r="I185" s="122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8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8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8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5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5"/>
      <c r="BE185" s="122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8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8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8"/>
      <c r="CQ185" s="52" t="str">
        <f t="shared" si="582"/>
        <v/>
      </c>
      <c r="CX185" s="135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5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5"/>
      <c r="FS185" s="122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8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8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8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8"/>
      <c r="IB185" s="118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8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8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8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5"/>
      <c r="I186" s="122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8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8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8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5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5"/>
      <c r="BE186" s="122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8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8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8"/>
      <c r="CQ186" s="52" t="str">
        <f t="shared" si="582"/>
        <v/>
      </c>
      <c r="CX186" s="135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5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5"/>
      <c r="FS186" s="122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8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8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8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8"/>
      <c r="IB186" s="118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8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8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8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5"/>
      <c r="I187" s="122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8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8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8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5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5"/>
      <c r="BE187" s="122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8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8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8"/>
      <c r="CQ187" s="52" t="str">
        <f t="shared" si="582"/>
        <v/>
      </c>
      <c r="CX187" s="135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5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5"/>
      <c r="FS187" s="122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8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8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8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8"/>
      <c r="IB187" s="118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8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8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8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5"/>
      <c r="I188" s="122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8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8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8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5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5"/>
      <c r="BE188" s="122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8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8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8"/>
      <c r="CQ188" s="52" t="str">
        <f t="shared" si="582"/>
        <v/>
      </c>
      <c r="CX188" s="135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5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5"/>
      <c r="FS188" s="122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8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8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8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8"/>
      <c r="IB188" s="118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8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8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8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5"/>
      <c r="I189" s="122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8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8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8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5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5"/>
      <c r="BE189" s="122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8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8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8"/>
      <c r="CQ189" s="52" t="str">
        <f t="shared" si="582"/>
        <v/>
      </c>
      <c r="CX189" s="135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5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5"/>
      <c r="FS189" s="122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8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8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8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8"/>
      <c r="IB189" s="118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8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8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8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5"/>
      <c r="I190" s="122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8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8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8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5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5"/>
      <c r="BE190" s="122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8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8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8"/>
      <c r="CQ190" s="52" t="str">
        <f t="shared" si="582"/>
        <v/>
      </c>
      <c r="CX190" s="135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5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5"/>
      <c r="FS190" s="122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8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8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8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8"/>
      <c r="IB190" s="118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8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8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8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5"/>
      <c r="I191" s="122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8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8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8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5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5"/>
      <c r="BE191" s="122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8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8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8"/>
      <c r="CQ191" s="52" t="str">
        <f t="shared" si="582"/>
        <v/>
      </c>
      <c r="CX191" s="135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5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5"/>
      <c r="FS191" s="122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8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8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8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8"/>
      <c r="IB191" s="118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8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8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8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5"/>
      <c r="I192" s="122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8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8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8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5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5"/>
      <c r="BE192" s="122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8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8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8"/>
      <c r="CQ192" s="52" t="str">
        <f t="shared" si="582"/>
        <v/>
      </c>
      <c r="CX192" s="135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5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5"/>
      <c r="FS192" s="122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8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8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8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8"/>
      <c r="IB192" s="118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8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8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8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5"/>
      <c r="I193" s="122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8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8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8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5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5"/>
      <c r="BE193" s="122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8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8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8"/>
      <c r="CQ193" s="52" t="str">
        <f t="shared" si="582"/>
        <v/>
      </c>
      <c r="CX193" s="135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5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5"/>
      <c r="FS193" s="122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8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8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8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8"/>
      <c r="IB193" s="118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8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8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8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5"/>
      <c r="I194" s="122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8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8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8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5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5"/>
      <c r="BE194" s="122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8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8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8"/>
      <c r="CQ194" s="52" t="str">
        <f t="shared" si="582"/>
        <v/>
      </c>
      <c r="CX194" s="135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5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5"/>
      <c r="FS194" s="122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8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8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8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8"/>
      <c r="IB194" s="118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8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8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8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5"/>
      <c r="I195" s="122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8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8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8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5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5"/>
      <c r="BE195" s="122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8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8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8"/>
      <c r="CQ195" s="52" t="str">
        <f t="shared" si="582"/>
        <v/>
      </c>
      <c r="CX195" s="135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5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5"/>
      <c r="FS195" s="122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8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8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8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8"/>
      <c r="IB195" s="118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8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8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8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5"/>
      <c r="I196" s="122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8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8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8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5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5"/>
      <c r="BE196" s="122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8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8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8"/>
      <c r="CQ196" s="52" t="str">
        <f t="shared" si="582"/>
        <v/>
      </c>
      <c r="CX196" s="135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5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5"/>
      <c r="FS196" s="122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8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8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8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8"/>
      <c r="IB196" s="118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8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8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8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5"/>
      <c r="I197" s="122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8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8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8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5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5"/>
      <c r="BE197" s="122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8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8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8"/>
      <c r="CQ197" s="52" t="str">
        <f t="shared" si="582"/>
        <v/>
      </c>
      <c r="CX197" s="135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5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5"/>
      <c r="FS197" s="122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8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8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8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8"/>
      <c r="IB197" s="118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8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8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8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5"/>
      <c r="I198" s="122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8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8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8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5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5"/>
      <c r="BE198" s="122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8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8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8"/>
      <c r="CQ198" s="52" t="str">
        <f t="shared" si="582"/>
        <v/>
      </c>
      <c r="CX198" s="135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5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5"/>
      <c r="FS198" s="122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8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8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8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8"/>
      <c r="IB198" s="118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8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8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8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5"/>
      <c r="I199" s="122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8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8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8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5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5"/>
      <c r="BE199" s="122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8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8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8"/>
      <c r="CQ199" s="52" t="str">
        <f t="shared" si="582"/>
        <v/>
      </c>
      <c r="CX199" s="135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5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5"/>
      <c r="FS199" s="122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8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8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8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8"/>
      <c r="IB199" s="118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8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8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8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5"/>
      <c r="I200" s="122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8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8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8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5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5"/>
      <c r="BE200" s="122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8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8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8"/>
      <c r="CQ200" s="52" t="str">
        <f t="shared" si="582"/>
        <v/>
      </c>
      <c r="CX200" s="135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5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5"/>
      <c r="FS200" s="122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8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8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8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8"/>
      <c r="IB200" s="118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8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8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8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6"/>
      <c r="I201" s="123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9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9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9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6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6"/>
      <c r="BE201" s="123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9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9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9"/>
      <c r="CQ201" s="53" t="str">
        <f t="shared" si="582"/>
        <v/>
      </c>
      <c r="CX201" s="136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6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6"/>
      <c r="FS201" s="123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9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9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9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9"/>
      <c r="IB201" s="119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9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9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9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9"/>
  <sheetViews>
    <sheetView showGridLines="0" topLeftCell="C1" workbookViewId="0">
      <selection activeCell="L9" sqref="L9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113"/>
      <c r="G3" s="113"/>
      <c r="H3" s="113"/>
      <c r="I3" s="113"/>
      <c r="J3" s="95"/>
      <c r="K3" s="95"/>
      <c r="L3" s="95"/>
      <c r="M3" s="95"/>
      <c r="N3" s="95"/>
    </row>
    <row r="4" spans="5:14" ht="24" x14ac:dyDescent="0.3">
      <c r="E4" s="96" t="s">
        <v>1</v>
      </c>
      <c r="F4" s="105" t="s">
        <v>334</v>
      </c>
      <c r="G4" s="105" t="s">
        <v>335</v>
      </c>
      <c r="H4" s="105" t="s">
        <v>336</v>
      </c>
      <c r="I4" s="106" t="s">
        <v>29</v>
      </c>
      <c r="J4" s="95" t="s">
        <v>337</v>
      </c>
      <c r="K4" s="95"/>
      <c r="L4" s="96" t="s">
        <v>1</v>
      </c>
      <c r="M4" s="105" t="s">
        <v>92</v>
      </c>
      <c r="N4" s="105" t="s">
        <v>338</v>
      </c>
    </row>
    <row r="5" spans="5:14" x14ac:dyDescent="0.3">
      <c r="E5" s="102" t="s">
        <v>341</v>
      </c>
      <c r="F5" s="103">
        <v>1.1547711733101051</v>
      </c>
      <c r="G5" s="103">
        <v>0.79572475790243646</v>
      </c>
      <c r="H5" s="103">
        <v>1.6758262822224472</v>
      </c>
      <c r="I5" s="104">
        <v>0.50447717013390825</v>
      </c>
      <c r="J5" s="95" t="s">
        <v>337</v>
      </c>
      <c r="K5" s="95"/>
      <c r="L5" s="102" t="s">
        <v>341</v>
      </c>
      <c r="M5" s="103">
        <v>0.14390220599949552</v>
      </c>
      <c r="N5" s="103">
        <v>0.18999414861669803</v>
      </c>
    </row>
    <row r="6" spans="5:14" x14ac:dyDescent="0.3">
      <c r="E6" s="102" t="s">
        <v>342</v>
      </c>
      <c r="F6" s="103">
        <v>1.6166146357723934</v>
      </c>
      <c r="G6" s="103">
        <v>1.1081584419086683</v>
      </c>
      <c r="H6" s="103">
        <v>2.3583657189780287</v>
      </c>
      <c r="I6" s="104">
        <v>0.49552282986609175</v>
      </c>
      <c r="J6" s="95" t="s">
        <v>337</v>
      </c>
      <c r="K6" s="95"/>
      <c r="L6" s="102" t="s">
        <v>342</v>
      </c>
      <c r="M6" s="103">
        <v>0.48033423170505085</v>
      </c>
      <c r="N6" s="103">
        <v>0.19264290024350392</v>
      </c>
    </row>
    <row r="7" spans="5:14" x14ac:dyDescent="0.3">
      <c r="E7" s="102"/>
      <c r="F7" s="103"/>
      <c r="G7" s="103"/>
      <c r="H7" s="103"/>
      <c r="I7" s="104"/>
      <c r="J7" s="95"/>
      <c r="K7" s="95"/>
      <c r="L7" s="102"/>
      <c r="M7" s="103"/>
      <c r="N7" s="103"/>
    </row>
    <row r="8" spans="5:14" x14ac:dyDescent="0.3">
      <c r="E8" s="102"/>
      <c r="F8" s="103"/>
      <c r="G8" s="103"/>
      <c r="H8" s="103"/>
      <c r="I8" s="104"/>
      <c r="J8" s="95"/>
      <c r="K8" s="95"/>
      <c r="L8" s="102"/>
      <c r="M8" s="103"/>
      <c r="N8" s="103"/>
    </row>
    <row r="9" spans="5:14" x14ac:dyDescent="0.3">
      <c r="E9" s="102"/>
      <c r="F9" s="103"/>
      <c r="G9" s="103"/>
      <c r="H9" s="103"/>
      <c r="I9" s="104"/>
      <c r="J9" s="95"/>
      <c r="K9" s="95"/>
      <c r="L9" s="102"/>
      <c r="M9" s="103"/>
      <c r="N9" s="103"/>
    </row>
    <row r="10" spans="5:14" x14ac:dyDescent="0.3">
      <c r="E10" s="112"/>
      <c r="F10" s="103"/>
      <c r="G10" s="103"/>
      <c r="H10" s="103"/>
      <c r="I10" s="114"/>
      <c r="L10" s="112"/>
      <c r="M10" s="103"/>
      <c r="N10" s="103"/>
    </row>
    <row r="11" spans="5:14" x14ac:dyDescent="0.3">
      <c r="E11" s="112"/>
      <c r="F11" s="103"/>
      <c r="G11" s="103"/>
      <c r="H11" s="103"/>
      <c r="I11" s="114"/>
      <c r="L11" s="112"/>
      <c r="M11" s="103"/>
      <c r="N11" s="103"/>
    </row>
    <row r="12" spans="5:14" x14ac:dyDescent="0.3">
      <c r="E12" s="112"/>
      <c r="F12" s="103" t="s">
        <v>337</v>
      </c>
      <c r="G12" s="103" t="s">
        <v>337</v>
      </c>
      <c r="H12" s="103" t="s">
        <v>337</v>
      </c>
      <c r="I12" s="114" t="s">
        <v>337</v>
      </c>
      <c r="L12" s="112"/>
      <c r="M12" s="103"/>
      <c r="N12" s="103"/>
    </row>
    <row r="13" spans="5:14" x14ac:dyDescent="0.3">
      <c r="E13" s="112"/>
      <c r="F13" s="103"/>
      <c r="G13" s="103"/>
      <c r="H13" s="103"/>
      <c r="I13" s="114"/>
      <c r="L13" s="112"/>
      <c r="M13" s="103"/>
      <c r="N13" s="103"/>
    </row>
    <row r="14" spans="5:14" x14ac:dyDescent="0.3">
      <c r="E14" s="112"/>
      <c r="F14" s="103"/>
      <c r="G14" s="103"/>
      <c r="H14" s="103"/>
      <c r="I14" s="114"/>
      <c r="L14" s="112"/>
      <c r="M14" s="103"/>
      <c r="N14" s="103"/>
    </row>
    <row r="15" spans="5:14" x14ac:dyDescent="0.3">
      <c r="E15" s="112"/>
      <c r="F15" s="103"/>
      <c r="G15" s="103"/>
      <c r="H15" s="103"/>
      <c r="I15" s="114"/>
      <c r="L15" s="112"/>
      <c r="M15" s="103"/>
      <c r="N15" s="103"/>
    </row>
    <row r="16" spans="5:14" x14ac:dyDescent="0.3">
      <c r="E16" s="112"/>
      <c r="F16" s="103"/>
      <c r="G16" s="103"/>
      <c r="H16" s="103"/>
      <c r="I16" s="114"/>
      <c r="L16" s="112"/>
      <c r="M16" s="103"/>
      <c r="N16" s="103"/>
    </row>
    <row r="17" spans="5:14" x14ac:dyDescent="0.3">
      <c r="E17" s="112"/>
      <c r="F17" s="103"/>
      <c r="G17" s="103"/>
      <c r="H17" s="103"/>
      <c r="I17" s="114"/>
      <c r="L17" s="112"/>
      <c r="M17" s="103"/>
      <c r="N17" s="103"/>
    </row>
    <row r="18" spans="5:14" x14ac:dyDescent="0.3">
      <c r="E18" s="112"/>
      <c r="F18" s="103"/>
      <c r="G18" s="103"/>
      <c r="H18" s="103"/>
      <c r="I18" s="114"/>
      <c r="L18" s="112"/>
      <c r="M18" s="103"/>
      <c r="N18" s="103"/>
    </row>
    <row r="19" spans="5:14" x14ac:dyDescent="0.3">
      <c r="E19" s="112"/>
      <c r="F19" s="103"/>
      <c r="G19" s="103"/>
      <c r="H19" s="103"/>
      <c r="I19" s="114"/>
      <c r="L19" s="112"/>
      <c r="M19" s="103"/>
      <c r="N19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2023-07-06T09:40:42Z</dcterms:modified>
  <cp:category/>
  <cp:contentStatus/>
</cp:coreProperties>
</file>