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a\OneDrive - ku.ac.ae\Documents\RA_2023\Leontios\meta-analysis\Meta_essential\Emotional model metaanalysis\datasettype\"/>
    </mc:Choice>
  </mc:AlternateContent>
  <xr:revisionPtr revIDLastSave="0" documentId="13_ncr:1_{188A4168-8EB8-4AF5-BDED-98F9A029F576}" xr6:coauthVersionLast="47" xr6:coauthVersionMax="47" xr10:uidLastSave="{00000000-0000-0000-0000-000000000000}"/>
  <bookViews>
    <workbookView xWindow="-110" yWindow="-110" windowWidth="19420" windowHeight="10300" tabRatio="819" activeTab="6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J8" i="1" l="1"/>
  <c r="J9" i="1"/>
  <c r="J5" i="1" l="1"/>
  <c r="B4" i="8"/>
  <c r="J2" i="1"/>
  <c r="A2" i="1" s="1"/>
  <c r="J3" i="1"/>
  <c r="A3" i="1" s="1"/>
  <c r="J4" i="1"/>
  <c r="J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A4" i="1" l="1"/>
  <c r="A5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A127" i="2" s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181" i="2" s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IY69" i="2" s="1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X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IV61" i="2" s="1"/>
  <c r="IW61" i="2" s="1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AM12" i="2"/>
  <c r="BE12" i="8" s="1"/>
  <c r="BJ56" i="2"/>
  <c r="DA12" i="2"/>
  <c r="E12" i="2"/>
  <c r="CQ12" i="2" s="1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51" i="2"/>
  <c r="E7" i="2"/>
  <c r="D7" i="2"/>
  <c r="C7" i="2"/>
  <c r="AT9" i="8"/>
  <c r="BE11" i="8"/>
  <c r="D12" i="10"/>
  <c r="CZ11" i="2"/>
  <c r="V10" i="8"/>
  <c r="IY186" i="2"/>
  <c r="A39" i="2"/>
  <c r="BY88" i="2"/>
  <c r="BY48" i="2"/>
  <c r="D6" i="2"/>
  <c r="AW107" i="2"/>
  <c r="DP34" i="2"/>
  <c r="AX180" i="2"/>
  <c r="AX155" i="2"/>
  <c r="AW100" i="2"/>
  <c r="AX123" i="2"/>
  <c r="A48" i="2"/>
  <c r="AX131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BJ127" i="2"/>
  <c r="AY179" i="2"/>
  <c r="BJ79" i="2"/>
  <c r="DR34" i="2"/>
  <c r="AX163" i="2"/>
  <c r="AW51" i="2"/>
  <c r="AX59" i="2"/>
  <c r="C6" i="2"/>
  <c r="AX42" i="2"/>
  <c r="AW75" i="2"/>
  <c r="E6" i="2"/>
  <c r="D10" i="10"/>
  <c r="AT10" i="8"/>
  <c r="D9" i="8"/>
  <c r="D10" i="8"/>
  <c r="AG10" i="8"/>
  <c r="CZ10" i="2"/>
  <c r="BE9" i="8"/>
  <c r="V9" i="8"/>
  <c r="D9" i="10"/>
  <c r="AG9" i="8"/>
  <c r="IY167" i="2"/>
  <c r="IY151" i="2"/>
  <c r="IV135" i="2"/>
  <c r="IW135" i="2" s="1"/>
  <c r="AX60" i="2"/>
  <c r="AY117" i="2"/>
  <c r="AY149" i="2"/>
  <c r="AW76" i="2"/>
  <c r="AY51" i="2"/>
  <c r="AW42" i="2"/>
  <c r="AW67" i="2"/>
  <c r="AX179" i="2"/>
  <c r="AX67" i="2"/>
  <c r="AW148" i="2"/>
  <c r="AY52" i="2"/>
  <c r="AY132" i="2"/>
  <c r="A197" i="2"/>
  <c r="AW83" i="2"/>
  <c r="AX83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71" i="2"/>
  <c r="AX148" i="2"/>
  <c r="AW123" i="2"/>
  <c r="AW147" i="2"/>
  <c r="DR111" i="2"/>
  <c r="AX52" i="2"/>
  <c r="AX75" i="2"/>
  <c r="AY187" i="2"/>
  <c r="BJ170" i="2"/>
  <c r="BI178" i="2"/>
  <c r="BJ58" i="2"/>
  <c r="E5" i="2"/>
  <c r="D5" i="2"/>
  <c r="DA5" i="2"/>
  <c r="C5" i="2"/>
  <c r="AY167" i="2"/>
  <c r="CK143" i="2"/>
  <c r="AX143" i="2"/>
  <c r="DR120" i="2"/>
  <c r="AL52" i="2"/>
  <c r="BI45" i="2"/>
  <c r="AX151" i="2"/>
  <c r="BJ77" i="2"/>
  <c r="BY199" i="2"/>
  <c r="AX114" i="2"/>
  <c r="A80" i="2"/>
  <c r="BJ53" i="2"/>
  <c r="IY42" i="2"/>
  <c r="IV114" i="2"/>
  <c r="IW114" i="2" s="1"/>
  <c r="AY39" i="2"/>
  <c r="AY109" i="2"/>
  <c r="IY66" i="2"/>
  <c r="IY162" i="2"/>
  <c r="DP120" i="2"/>
  <c r="A88" i="2"/>
  <c r="AW101" i="2"/>
  <c r="AM4" i="2"/>
  <c r="V4" i="8" s="1"/>
  <c r="BY53" i="2"/>
  <c r="A47" i="2"/>
  <c r="AW156" i="2"/>
  <c r="IY178" i="2"/>
  <c r="IY122" i="2"/>
  <c r="AX156" i="2"/>
  <c r="BJ196" i="2"/>
  <c r="BJ69" i="2"/>
  <c r="BY85" i="2"/>
  <c r="BX69" i="2"/>
  <c r="AL34" i="2"/>
  <c r="DR48" i="2"/>
  <c r="IV146" i="2"/>
  <c r="IW146" i="2" s="1"/>
  <c r="IV98" i="2"/>
  <c r="IW98" i="2" s="1"/>
  <c r="AL104" i="2"/>
  <c r="AW117" i="2"/>
  <c r="BJ117" i="2"/>
  <c r="BX174" i="2"/>
  <c r="DP48" i="2"/>
  <c r="A56" i="2"/>
  <c r="IV74" i="2"/>
  <c r="IW74" i="2" s="1"/>
  <c r="IV59" i="2"/>
  <c r="IW59" i="2" s="1"/>
  <c r="IV170" i="2"/>
  <c r="IW170" i="2" s="1"/>
  <c r="E4" i="10"/>
  <c r="FB4" i="2" s="1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85" i="2"/>
  <c r="BX93" i="2"/>
  <c r="IY52" i="2"/>
  <c r="AY50" i="2"/>
  <c r="AW50" i="2"/>
  <c r="IV91" i="2"/>
  <c r="IW91" i="2" s="1"/>
  <c r="IY92" i="2"/>
  <c r="IV117" i="2"/>
  <c r="IW117" i="2" s="1"/>
  <c r="AL130" i="2"/>
  <c r="IV60" i="2"/>
  <c r="IW60" i="2" s="1"/>
  <c r="A58" i="2"/>
  <c r="BX130" i="2"/>
  <c r="IY187" i="2"/>
  <c r="AX178" i="2"/>
  <c r="AW34" i="2"/>
  <c r="DP31" i="2"/>
  <c r="AW114" i="2"/>
  <c r="AW151" i="2"/>
  <c r="AY119" i="2"/>
  <c r="BI36" i="2"/>
  <c r="IY163" i="2"/>
  <c r="IY124" i="2"/>
  <c r="AY178" i="2"/>
  <c r="AW143" i="2"/>
  <c r="AL74" i="2"/>
  <c r="CJ35" i="2"/>
  <c r="IV148" i="2"/>
  <c r="IW148" i="2" s="1"/>
  <c r="IV40" i="2"/>
  <c r="IW40" i="2" s="1"/>
  <c r="IV108" i="2"/>
  <c r="IW108" i="2" s="1"/>
  <c r="AY186" i="2"/>
  <c r="AL186" i="2"/>
  <c r="CK61" i="2"/>
  <c r="A42" i="2"/>
  <c r="AL178" i="2"/>
  <c r="BY138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CK51" i="2"/>
  <c r="IV107" i="2"/>
  <c r="IW107" i="2" s="1"/>
  <c r="DR45" i="2"/>
  <c r="IV123" i="2"/>
  <c r="IW123" i="2" s="1"/>
  <c r="IV164" i="2"/>
  <c r="IW164" i="2" s="1"/>
  <c r="IV140" i="2"/>
  <c r="IW140" i="2" s="1"/>
  <c r="A66" i="2"/>
  <c r="AL154" i="2"/>
  <c r="BY127" i="2"/>
  <c r="A50" i="2"/>
  <c r="DP45" i="2"/>
  <c r="IV171" i="2"/>
  <c r="IW171" i="2" s="1"/>
  <c r="IV147" i="2"/>
  <c r="IW147" i="2" s="1"/>
  <c r="IV76" i="2"/>
  <c r="IW76" i="2" s="1"/>
  <c r="IV75" i="2"/>
  <c r="IW75" i="2" s="1"/>
  <c r="BJ66" i="2"/>
  <c r="BI98" i="2"/>
  <c r="A98" i="2"/>
  <c r="IV44" i="2"/>
  <c r="IW44" i="2" s="1"/>
  <c r="IV199" i="2"/>
  <c r="IW199" i="2" s="1"/>
  <c r="IV100" i="2"/>
  <c r="IW100" i="2" s="1"/>
  <c r="IV132" i="2"/>
  <c r="IW132" i="2" s="1"/>
  <c r="A194" i="2"/>
  <c r="BY9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BY184" i="2"/>
  <c r="CK155" i="2"/>
  <c r="A82" i="2"/>
  <c r="BY200" i="2"/>
  <c r="BY112" i="2"/>
  <c r="BI34" i="2"/>
  <c r="CJ149" i="2"/>
  <c r="E4" i="2"/>
  <c r="D4" i="2"/>
  <c r="C4" i="2"/>
  <c r="AI4" i="8" s="1"/>
  <c r="BY125" i="2"/>
  <c r="BY178" i="2"/>
  <c r="BY42" i="2"/>
  <c r="CJ55" i="2"/>
  <c r="AX34" i="2"/>
  <c r="BY146" i="2"/>
  <c r="BX101" i="2"/>
  <c r="BY77" i="2"/>
  <c r="BY50" i="2"/>
  <c r="BY37" i="2"/>
  <c r="CK175" i="2"/>
  <c r="BX194" i="2"/>
  <c r="BY172" i="2"/>
  <c r="BY116" i="2"/>
  <c r="CJ135" i="2"/>
  <c r="BY170" i="2"/>
  <c r="BI64" i="2"/>
  <c r="A35" i="2"/>
  <c r="AY191" i="2"/>
  <c r="A91" i="2"/>
  <c r="BY175" i="2"/>
  <c r="BY151" i="2"/>
  <c r="BY71" i="2"/>
  <c r="BY47" i="2"/>
  <c r="A200" i="2"/>
  <c r="AL83" i="2"/>
  <c r="BJ104" i="2"/>
  <c r="AY47" i="2"/>
  <c r="BY103" i="2"/>
  <c r="BY79" i="2"/>
  <c r="BI112" i="2"/>
  <c r="IY36" i="2"/>
  <c r="BY159" i="2"/>
  <c r="BY31" i="2"/>
  <c r="CJ58" i="2"/>
  <c r="AY90" i="2"/>
  <c r="BY111" i="2"/>
  <c r="BY87" i="2"/>
  <c r="BY143" i="2"/>
  <c r="BY39" i="2"/>
  <c r="IY34" i="2"/>
  <c r="CK114" i="2"/>
  <c r="IV30" i="2"/>
  <c r="IW30" i="2" s="1"/>
  <c r="BX163" i="2"/>
  <c r="BY131" i="2"/>
  <c r="BX131" i="2"/>
  <c r="AX63" i="2"/>
  <c r="AY79" i="2"/>
  <c r="AX79" i="2"/>
  <c r="AW103" i="2"/>
  <c r="AW79" i="2"/>
  <c r="AW58" i="2"/>
  <c r="AY58" i="2"/>
  <c r="AY154" i="2"/>
  <c r="AW154" i="2"/>
  <c r="AY195" i="2"/>
  <c r="AX195" i="2"/>
  <c r="AL67" i="2"/>
  <c r="A67" i="2"/>
  <c r="A59" i="2"/>
  <c r="AW191" i="2"/>
  <c r="AW195" i="2"/>
  <c r="CK123" i="2"/>
  <c r="CJ123" i="2"/>
  <c r="CJ107" i="2"/>
  <c r="CK107" i="2"/>
  <c r="CJ83" i="2"/>
  <c r="CK83" i="2"/>
  <c r="IY55" i="2"/>
  <c r="BX58" i="2"/>
  <c r="E3" i="2"/>
  <c r="BJ138" i="2"/>
  <c r="BY186" i="2"/>
  <c r="BY122" i="2"/>
  <c r="D3" i="2"/>
  <c r="BJ82" i="2"/>
  <c r="C3" i="2"/>
  <c r="BY34" i="2"/>
  <c r="CK82" i="2"/>
  <c r="D13" i="8"/>
  <c r="BE13" i="8"/>
  <c r="CZ7" i="2"/>
  <c r="AT13" i="8"/>
  <c r="D13" i="10"/>
  <c r="AG13" i="8"/>
  <c r="D7" i="8"/>
  <c r="V13" i="8"/>
  <c r="AX108" i="2"/>
  <c r="AX84" i="2"/>
  <c r="IV72" i="2"/>
  <c r="IW72" i="2" s="1"/>
  <c r="AW60" i="2"/>
  <c r="AW124" i="2"/>
  <c r="AY44" i="2"/>
  <c r="AY92" i="2"/>
  <c r="IV87" i="2"/>
  <c r="IW87" i="2" s="1"/>
  <c r="DR180" i="2"/>
  <c r="AY172" i="2"/>
  <c r="AX162" i="2"/>
  <c r="AW82" i="2"/>
  <c r="AW84" i="2"/>
  <c r="AW164" i="2"/>
  <c r="AW98" i="2"/>
  <c r="CJ119" i="2"/>
  <c r="AX44" i="2"/>
  <c r="AX36" i="2"/>
  <c r="A157" i="2"/>
  <c r="DP180" i="2"/>
  <c r="AX98" i="2"/>
  <c r="CJ184" i="2"/>
  <c r="CJ87" i="2"/>
  <c r="CJ63" i="2"/>
  <c r="AX43" i="2"/>
  <c r="AY116" i="2"/>
  <c r="AY164" i="2"/>
  <c r="AW92" i="2"/>
  <c r="AW116" i="2"/>
  <c r="AY82" i="2"/>
  <c r="CK151" i="2"/>
  <c r="AY43" i="2"/>
  <c r="AY36" i="2"/>
  <c r="AW108" i="2"/>
  <c r="AX124" i="2"/>
  <c r="AX76" i="2"/>
  <c r="AY162" i="2"/>
  <c r="AW172" i="2"/>
  <c r="IV79" i="2"/>
  <c r="IW79" i="2" s="1"/>
  <c r="CJ192" i="2"/>
  <c r="CJ56" i="2"/>
  <c r="IY35" i="2"/>
  <c r="A63" i="2"/>
  <c r="AX149" i="2"/>
  <c r="AX125" i="2"/>
  <c r="AL95" i="2"/>
  <c r="IV39" i="2"/>
  <c r="IW39" i="2" s="1"/>
  <c r="IV51" i="2"/>
  <c r="IW51" i="2" s="1"/>
  <c r="A167" i="2"/>
  <c r="A103" i="2"/>
  <c r="CJ172" i="2"/>
  <c r="CK172" i="2"/>
  <c r="A143" i="2"/>
  <c r="AL143" i="2"/>
  <c r="AY35" i="2"/>
  <c r="AW35" i="2"/>
  <c r="BX187" i="2"/>
  <c r="BY179" i="2"/>
  <c r="BY171" i="2"/>
  <c r="BX171" i="2"/>
  <c r="BX155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BY35" i="2"/>
  <c r="BX35" i="2"/>
  <c r="AY125" i="2"/>
  <c r="BX195" i="2"/>
  <c r="CK45" i="2"/>
  <c r="CK194" i="2"/>
  <c r="CK162" i="2"/>
  <c r="CK98" i="2"/>
  <c r="CK34" i="2"/>
  <c r="CJ53" i="2"/>
  <c r="CJ197" i="2"/>
  <c r="AY30" i="2"/>
  <c r="AX30" i="2"/>
  <c r="B2" i="2"/>
  <c r="AM2" i="2"/>
  <c r="E2" i="10"/>
  <c r="DQ9" i="2"/>
  <c r="FP8" i="2"/>
  <c r="DQ6" i="2"/>
  <c r="DS6" i="2" s="1"/>
  <c r="BJ126" i="2"/>
  <c r="BJ118" i="2"/>
  <c r="BI118" i="2"/>
  <c r="AY122" i="2"/>
  <c r="AX194" i="2"/>
  <c r="AW194" i="2"/>
  <c r="AX146" i="2"/>
  <c r="AW186" i="2"/>
  <c r="AW138" i="2"/>
  <c r="AY66" i="2"/>
  <c r="AY146" i="2"/>
  <c r="IV141" i="2"/>
  <c r="IW141" i="2" s="1"/>
  <c r="AX130" i="2"/>
  <c r="AY74" i="2"/>
  <c r="AW74" i="2"/>
  <c r="AW170" i="2"/>
  <c r="AX170" i="2"/>
  <c r="AY170" i="2"/>
  <c r="AX159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31" i="2"/>
  <c r="E2" i="2"/>
  <c r="D2" i="2"/>
  <c r="C2" i="2"/>
  <c r="IY61" i="2" l="1"/>
  <c r="AL181" i="2"/>
  <c r="IV173" i="2"/>
  <c r="IW173" i="2" s="1"/>
  <c r="AX55" i="2"/>
  <c r="CK93" i="2"/>
  <c r="IV127" i="2"/>
  <c r="IW127" i="2" s="1"/>
  <c r="DR93" i="2"/>
  <c r="IV69" i="2"/>
  <c r="IW69" i="2" s="1"/>
  <c r="AX77" i="2"/>
  <c r="AX167" i="2"/>
  <c r="AY159" i="2"/>
  <c r="AY55" i="2"/>
  <c r="IV191" i="2"/>
  <c r="IW191" i="2" s="1"/>
  <c r="A69" i="2"/>
  <c r="CJ37" i="2"/>
  <c r="AW77" i="2"/>
  <c r="AW109" i="2"/>
  <c r="CJ100" i="2"/>
  <c r="A6" i="1"/>
  <c r="A7" i="1" s="1"/>
  <c r="AI5" i="8"/>
  <c r="BJ154" i="2"/>
  <c r="BI52" i="2"/>
  <c r="BY56" i="2"/>
  <c r="BX66" i="2"/>
  <c r="BI114" i="2"/>
  <c r="BJ109" i="2"/>
  <c r="BI39" i="2"/>
  <c r="BY119" i="2"/>
  <c r="BI37" i="2"/>
  <c r="AX135" i="2"/>
  <c r="BY140" i="2"/>
  <c r="BJ140" i="2"/>
  <c r="AX53" i="2"/>
  <c r="CJ69" i="2"/>
  <c r="DP138" i="2"/>
  <c r="IV53" i="2"/>
  <c r="IW53" i="2" s="1"/>
  <c r="DR82" i="2"/>
  <c r="DR138" i="2"/>
  <c r="CK66" i="2"/>
  <c r="DP82" i="2"/>
  <c r="AX199" i="2"/>
  <c r="AW31" i="2"/>
  <c r="AY111" i="2"/>
  <c r="CK108" i="2"/>
  <c r="IV165" i="2"/>
  <c r="IW165" i="2" s="1"/>
  <c r="DR141" i="2"/>
  <c r="AW111" i="2"/>
  <c r="AY199" i="2"/>
  <c r="IV71" i="2"/>
  <c r="IW71" i="2" s="1"/>
  <c r="IV133" i="2"/>
  <c r="IW133" i="2" s="1"/>
  <c r="AY69" i="2"/>
  <c r="CJ101" i="2"/>
  <c r="DR69" i="2"/>
  <c r="IV95" i="2"/>
  <c r="IW95" i="2" s="1"/>
  <c r="CJ48" i="2"/>
  <c r="IV159" i="2"/>
  <c r="IW159" i="2" s="1"/>
  <c r="AX71" i="2"/>
  <c r="CK157" i="2"/>
  <c r="AY71" i="2"/>
  <c r="CJ117" i="2"/>
  <c r="AX31" i="2"/>
  <c r="IY183" i="2"/>
  <c r="AW69" i="2"/>
  <c r="IY125" i="2"/>
  <c r="A179" i="2"/>
  <c r="CJ44" i="2"/>
  <c r="DR164" i="2"/>
  <c r="CJ200" i="2"/>
  <c r="CK171" i="2"/>
  <c r="A75" i="2"/>
  <c r="IV201" i="2"/>
  <c r="IW201" i="2" s="1"/>
  <c r="DR101" i="2"/>
  <c r="DR119" i="2"/>
  <c r="DP143" i="2"/>
  <c r="DP119" i="2"/>
  <c r="DR122" i="2"/>
  <c r="DP69" i="2"/>
  <c r="DP101" i="2"/>
  <c r="DP141" i="2"/>
  <c r="DR143" i="2"/>
  <c r="CQ15" i="2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8" i="1" l="1"/>
  <c r="A9" i="1" s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AF12" i="2" l="1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X13" i="2" l="1"/>
  <c r="A14" i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16" i="1" l="1"/>
  <c r="A17" i="1" s="1"/>
  <c r="DT24" i="2"/>
  <c r="DT142" i="2"/>
  <c r="AV13" i="8"/>
  <c r="IL13" i="2" s="1"/>
  <c r="DT49" i="2"/>
  <c r="DT21" i="2"/>
  <c r="EQ21" i="2" s="1"/>
  <c r="DT43" i="2"/>
  <c r="DU43" i="2" s="1"/>
  <c r="DT94" i="2"/>
  <c r="EM94" i="2" s="1"/>
  <c r="DT4" i="2"/>
  <c r="EB4" i="2" s="1"/>
  <c r="DT107" i="2"/>
  <c r="EM107" i="2" s="1"/>
  <c r="DT157" i="2"/>
  <c r="DT48" i="2"/>
  <c r="EV48" i="2" s="1"/>
  <c r="DT141" i="2"/>
  <c r="DW141" i="2" s="1"/>
  <c r="DT173" i="2"/>
  <c r="DT159" i="2"/>
  <c r="ES159" i="2" s="1"/>
  <c r="EU159" i="2" s="1"/>
  <c r="DT147" i="2"/>
  <c r="DT154" i="2"/>
  <c r="DT137" i="2"/>
  <c r="EA137" i="2" s="1"/>
  <c r="ET137" i="2" s="1"/>
  <c r="DT168" i="2"/>
  <c r="DT198" i="2"/>
  <c r="DT108" i="2"/>
  <c r="EI108" i="2" s="1"/>
  <c r="DT132" i="2"/>
  <c r="DT72" i="2"/>
  <c r="ED72" i="2" s="1"/>
  <c r="DT85" i="2"/>
  <c r="EB85" i="2" s="1"/>
  <c r="DT30" i="2"/>
  <c r="DT175" i="2"/>
  <c r="EF175" i="2" s="1"/>
  <c r="DT97" i="2"/>
  <c r="DT199" i="2"/>
  <c r="DT26" i="2"/>
  <c r="DT162" i="2"/>
  <c r="EV162" i="2" s="1"/>
  <c r="DT135" i="2"/>
  <c r="EO135" i="2" s="1"/>
  <c r="DT67" i="2"/>
  <c r="DT165" i="2"/>
  <c r="EH165" i="2" s="1"/>
  <c r="DT192" i="2"/>
  <c r="EK192" i="2" s="1"/>
  <c r="DT127" i="2"/>
  <c r="DT25" i="2"/>
  <c r="EC25" i="2" s="1"/>
  <c r="DT129" i="2"/>
  <c r="DT59" i="2"/>
  <c r="DT47" i="2"/>
  <c r="EQ47" i="2" s="1"/>
  <c r="DT184" i="2"/>
  <c r="DT73" i="2"/>
  <c r="DT106" i="2"/>
  <c r="EV106" i="2" s="1"/>
  <c r="DT150" i="2"/>
  <c r="DT131" i="2"/>
  <c r="DT86" i="2"/>
  <c r="EQ86" i="2" s="1"/>
  <c r="DT75" i="2"/>
  <c r="DT155" i="2"/>
  <c r="DU155" i="2" s="1"/>
  <c r="DT158" i="2"/>
  <c r="EH158" i="2" s="1"/>
  <c r="DT197" i="2"/>
  <c r="DT80" i="2"/>
  <c r="EP80" i="2" s="1"/>
  <c r="DT124" i="2"/>
  <c r="DT23" i="2"/>
  <c r="DT22" i="2"/>
  <c r="DT93" i="2"/>
  <c r="ES93" i="2" s="1"/>
  <c r="EU93" i="2" s="1"/>
  <c r="DT62" i="2"/>
  <c r="EM62" i="2" s="1"/>
  <c r="DT50" i="2"/>
  <c r="DT174" i="2"/>
  <c r="EJ174" i="2" s="1"/>
  <c r="DT183" i="2"/>
  <c r="EV183" i="2" s="1"/>
  <c r="DT152" i="2"/>
  <c r="DT74" i="2"/>
  <c r="EP74" i="2" s="1"/>
  <c r="DT88" i="2"/>
  <c r="DT45" i="2"/>
  <c r="DT53" i="2"/>
  <c r="DT91" i="2"/>
  <c r="DT29" i="2"/>
  <c r="DT35" i="2"/>
  <c r="DT136" i="2"/>
  <c r="DT78" i="2"/>
  <c r="DT95" i="2"/>
  <c r="EQ95" i="2" s="1"/>
  <c r="DT143" i="2"/>
  <c r="DT109" i="2"/>
  <c r="EB109" i="2" s="1"/>
  <c r="DT116" i="2"/>
  <c r="EB116" i="2" s="1"/>
  <c r="DT98" i="2"/>
  <c r="DT194" i="2"/>
  <c r="EL194" i="2" s="1"/>
  <c r="DT105" i="2"/>
  <c r="EJ105" i="2" s="1"/>
  <c r="DT42" i="2"/>
  <c r="DT122" i="2"/>
  <c r="DT40" i="2"/>
  <c r="DX40" i="2" s="1"/>
  <c r="DY40" i="2" s="1"/>
  <c r="DT182" i="2"/>
  <c r="EG182" i="2" s="1"/>
  <c r="DT193" i="2"/>
  <c r="EN193" i="2" s="1"/>
  <c r="DT69" i="2"/>
  <c r="DT99" i="2"/>
  <c r="DU99" i="2" s="1"/>
  <c r="DT139" i="2"/>
  <c r="JH7" i="2"/>
  <c r="JI7" i="2" s="1"/>
  <c r="JJ7" i="2" s="1"/>
  <c r="BG7" i="8"/>
  <c r="IY7" i="2" s="1"/>
  <c r="AV7" i="8"/>
  <c r="IL7" i="2" s="1"/>
  <c r="DT58" i="2"/>
  <c r="DT201" i="2"/>
  <c r="DT171" i="2"/>
  <c r="DT103" i="2"/>
  <c r="DX103" i="2" s="1"/>
  <c r="DY103" i="2" s="1"/>
  <c r="DT181" i="2"/>
  <c r="DT191" i="2"/>
  <c r="DT130" i="2"/>
  <c r="EA130" i="2" s="1"/>
  <c r="ET130" i="2" s="1"/>
  <c r="DT145" i="2"/>
  <c r="DT66" i="2"/>
  <c r="EH66" i="2" s="1"/>
  <c r="DT87" i="2"/>
  <c r="DV87" i="2" s="1"/>
  <c r="DT55" i="2"/>
  <c r="DT70" i="2"/>
  <c r="EN70" i="2" s="1"/>
  <c r="DT164" i="2"/>
  <c r="DW164" i="2" s="1"/>
  <c r="DT9" i="2"/>
  <c r="DT186" i="2"/>
  <c r="DT161" i="2"/>
  <c r="EJ161" i="2" s="1"/>
  <c r="DT60" i="2"/>
  <c r="EC60" i="2" s="1"/>
  <c r="DT79" i="2"/>
  <c r="DT189" i="2"/>
  <c r="DT44" i="2"/>
  <c r="EI44" i="2" s="1"/>
  <c r="DT125" i="2"/>
  <c r="DT71" i="2"/>
  <c r="EK71" i="2" s="1"/>
  <c r="DT28" i="2"/>
  <c r="DT121" i="2"/>
  <c r="DT111" i="2"/>
  <c r="DT64" i="2"/>
  <c r="DT179" i="2"/>
  <c r="DT82" i="2"/>
  <c r="DU82" i="2" s="1"/>
  <c r="DT100" i="2"/>
  <c r="DT18" i="2"/>
  <c r="DT166" i="2"/>
  <c r="DT68" i="2"/>
  <c r="DT123" i="2"/>
  <c r="EG123" i="2" s="1"/>
  <c r="DT190" i="2"/>
  <c r="EH190" i="2" s="1"/>
  <c r="DT117" i="2"/>
  <c r="DT167" i="2"/>
  <c r="DV167" i="2" s="1"/>
  <c r="DT20" i="2"/>
  <c r="DT84" i="2"/>
  <c r="DT77" i="2"/>
  <c r="DT89" i="2"/>
  <c r="DT163" i="2"/>
  <c r="DU163" i="2" s="1"/>
  <c r="DT112" i="2"/>
  <c r="DT76" i="2"/>
  <c r="EO76" i="2" s="1"/>
  <c r="DT38" i="2"/>
  <c r="DX38" i="2" s="1"/>
  <c r="DY38" i="2" s="1"/>
  <c r="DT180" i="2"/>
  <c r="DT115" i="2"/>
  <c r="EV115" i="2" s="1"/>
  <c r="DT39" i="2"/>
  <c r="DT34" i="2"/>
  <c r="DT149" i="2"/>
  <c r="DT90" i="2"/>
  <c r="DT83" i="2"/>
  <c r="DT15" i="2"/>
  <c r="EF15" i="2" s="1"/>
  <c r="DT144" i="2"/>
  <c r="DT81" i="2"/>
  <c r="DT31" i="2"/>
  <c r="DW31" i="2" s="1"/>
  <c r="DT126" i="2"/>
  <c r="DT110" i="2"/>
  <c r="EF110" i="2" s="1"/>
  <c r="DT133" i="2"/>
  <c r="EC133" i="2" s="1"/>
  <c r="DT101" i="2"/>
  <c r="DT177" i="2"/>
  <c r="DX177" i="2" s="1"/>
  <c r="DY177" i="2" s="1"/>
  <c r="DT54" i="2"/>
  <c r="EG54" i="2" s="1"/>
  <c r="DT41" i="2"/>
  <c r="DT65" i="2"/>
  <c r="DT196" i="2"/>
  <c r="EB196" i="2" s="1"/>
  <c r="DT17" i="2"/>
  <c r="EV17" i="2" s="1"/>
  <c r="DT128" i="2"/>
  <c r="DT134" i="2"/>
  <c r="EP134" i="2" s="1"/>
  <c r="DT172" i="2"/>
  <c r="EO172" i="2" s="1"/>
  <c r="DT37" i="2"/>
  <c r="DT200" i="2"/>
  <c r="DU200" i="2" s="1"/>
  <c r="DT188" i="2"/>
  <c r="DT16" i="2"/>
  <c r="DT36" i="2"/>
  <c r="EN36" i="2" s="1"/>
  <c r="DT120" i="2"/>
  <c r="DT195" i="2"/>
  <c r="DT151" i="2"/>
  <c r="EL151" i="2" s="1"/>
  <c r="DT63" i="2"/>
  <c r="DT153" i="2"/>
  <c r="DT146" i="2"/>
  <c r="EC146" i="2" s="1"/>
  <c r="DT19" i="2"/>
  <c r="DT13" i="2"/>
  <c r="EE13" i="2" s="1"/>
  <c r="DT32" i="2"/>
  <c r="DV32" i="2" s="1"/>
  <c r="DT156" i="2"/>
  <c r="DT140" i="2"/>
  <c r="EL140" i="2" s="1"/>
  <c r="DT118" i="2"/>
  <c r="EG118" i="2" s="1"/>
  <c r="DT102" i="2"/>
  <c r="DT176" i="2"/>
  <c r="DT104" i="2"/>
  <c r="DW104" i="2" s="1"/>
  <c r="DT14" i="2"/>
  <c r="ER14" i="2" s="1"/>
  <c r="DT52" i="2"/>
  <c r="DT27" i="2"/>
  <c r="EF27" i="2" s="1"/>
  <c r="DT46" i="2"/>
  <c r="ER46" i="2" s="1"/>
  <c r="DT185" i="2"/>
  <c r="DT57" i="2"/>
  <c r="DX57" i="2" s="1"/>
  <c r="DY57" i="2" s="1"/>
  <c r="DT113" i="2"/>
  <c r="DT187" i="2"/>
  <c r="DT33" i="2"/>
  <c r="EF33" i="2" s="1"/>
  <c r="DT114" i="2"/>
  <c r="DT170" i="2"/>
  <c r="DT56" i="2"/>
  <c r="DV56" i="2" s="1"/>
  <c r="DT169" i="2"/>
  <c r="DW169" i="2" s="1"/>
  <c r="DT51" i="2"/>
  <c r="DT138" i="2"/>
  <c r="DT61" i="2"/>
  <c r="EO61" i="2" s="1"/>
  <c r="DT160" i="2"/>
  <c r="EQ160" i="2" s="1"/>
  <c r="DT92" i="2"/>
  <c r="DT148" i="2"/>
  <c r="DT96" i="2"/>
  <c r="ER96" i="2" s="1"/>
  <c r="DT178" i="2"/>
  <c r="ED178" i="2" s="1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R198" i="2"/>
  <c r="EN198" i="2"/>
  <c r="EH26" i="2"/>
  <c r="ER94" i="2"/>
  <c r="EG94" i="2"/>
  <c r="EK94" i="2"/>
  <c r="DU94" i="2"/>
  <c r="ES94" i="2"/>
  <c r="EU94" i="2" s="1"/>
  <c r="EE94" i="2"/>
  <c r="EB94" i="2"/>
  <c r="ED94" i="2"/>
  <c r="DV94" i="2"/>
  <c r="EC94" i="2"/>
  <c r="DX94" i="2"/>
  <c r="DY94" i="2" s="1"/>
  <c r="EL94" i="2"/>
  <c r="EF94" i="2"/>
  <c r="EV94" i="2"/>
  <c r="EP94" i="2"/>
  <c r="DZ94" i="2"/>
  <c r="EO94" i="2"/>
  <c r="EC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W183" i="2"/>
  <c r="DZ183" i="2"/>
  <c r="EH30" i="2"/>
  <c r="EF30" i="2"/>
  <c r="EO30" i="2"/>
  <c r="EK30" i="2"/>
  <c r="DZ30" i="2"/>
  <c r="EA30" i="2"/>
  <c r="ET30" i="2" s="1"/>
  <c r="EG30" i="2"/>
  <c r="EQ30" i="2"/>
  <c r="ED30" i="2"/>
  <c r="DW30" i="2"/>
  <c r="ER30" i="2"/>
  <c r="DW35" i="2"/>
  <c r="EQ182" i="2"/>
  <c r="ED136" i="2"/>
  <c r="EL193" i="2"/>
  <c r="DX193" i="2"/>
  <c r="DY193" i="2" s="1"/>
  <c r="DV193" i="2"/>
  <c r="EG78" i="2"/>
  <c r="DW69" i="2"/>
  <c r="ED42" i="2"/>
  <c r="EB129" i="2"/>
  <c r="EV169" i="2"/>
  <c r="EC51" i="2"/>
  <c r="EV51" i="2"/>
  <c r="EV61" i="2"/>
  <c r="DV61" i="2"/>
  <c r="H173" i="9"/>
  <c r="DU197" i="2"/>
  <c r="EN197" i="2"/>
  <c r="EV197" i="2"/>
  <c r="EF22" i="2"/>
  <c r="EH174" i="2"/>
  <c r="EO127" i="2"/>
  <c r="ES127" i="2"/>
  <c r="EU127" i="2" s="1"/>
  <c r="EI127" i="2"/>
  <c r="EA127" i="2"/>
  <c r="ET127" i="2" s="1"/>
  <c r="EK127" i="2"/>
  <c r="EN184" i="2"/>
  <c r="ER184" i="2"/>
  <c r="EG184" i="2"/>
  <c r="EJ184" i="2"/>
  <c r="DX184" i="2"/>
  <c r="DY184" i="2" s="1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DU73" i="2"/>
  <c r="EV73" i="2"/>
  <c r="EM73" i="2"/>
  <c r="ED73" i="2"/>
  <c r="DZ73" i="2"/>
  <c r="EP73" i="2"/>
  <c r="EJ25" i="2"/>
  <c r="ER141" i="2"/>
  <c r="DX141" i="2"/>
  <c r="DY141" i="2" s="1"/>
  <c r="DV141" i="2"/>
  <c r="EG141" i="2"/>
  <c r="EM141" i="2"/>
  <c r="EH141" i="2"/>
  <c r="EP141" i="2"/>
  <c r="EA141" i="2"/>
  <c r="ET141" i="2" s="1"/>
  <c r="EP150" i="2"/>
  <c r="EF150" i="2"/>
  <c r="DU150" i="2"/>
  <c r="EI150" i="2"/>
  <c r="EH150" i="2"/>
  <c r="ER150" i="2"/>
  <c r="DV150" i="2"/>
  <c r="EQ150" i="2"/>
  <c r="EJ150" i="2"/>
  <c r="EC150" i="2"/>
  <c r="EM150" i="2"/>
  <c r="EN150" i="2"/>
  <c r="EB150" i="2"/>
  <c r="EO150" i="2"/>
  <c r="ER175" i="2"/>
  <c r="EN175" i="2"/>
  <c r="ED175" i="2"/>
  <c r="DW175" i="2"/>
  <c r="EK175" i="2"/>
  <c r="ES175" i="2"/>
  <c r="EU175" i="2" s="1"/>
  <c r="DX175" i="2"/>
  <c r="DY175" i="2" s="1"/>
  <c r="EM175" i="2"/>
  <c r="EJ175" i="2"/>
  <c r="DV175" i="2"/>
  <c r="DZ175" i="2"/>
  <c r="EP131" i="2"/>
  <c r="EO131" i="2"/>
  <c r="DX131" i="2"/>
  <c r="DY131" i="2" s="1"/>
  <c r="ED131" i="2"/>
  <c r="EF55" i="2"/>
  <c r="EE55" i="2"/>
  <c r="ER55" i="2"/>
  <c r="DW55" i="2"/>
  <c r="EB55" i="2"/>
  <c r="ED55" i="2"/>
  <c r="DX55" i="2"/>
  <c r="DY55" i="2" s="1"/>
  <c r="EI55" i="2"/>
  <c r="DV55" i="2"/>
  <c r="EC55" i="2"/>
  <c r="EH55" i="2"/>
  <c r="EL55" i="2"/>
  <c r="EQ55" i="2"/>
  <c r="EG55" i="2"/>
  <c r="EM55" i="2"/>
  <c r="EO55" i="2"/>
  <c r="DW122" i="2"/>
  <c r="EE122" i="2"/>
  <c r="DX122" i="2"/>
  <c r="DY122" i="2" s="1"/>
  <c r="DU147" i="2"/>
  <c r="DW147" i="2"/>
  <c r="DX147" i="2"/>
  <c r="DY147" i="2" s="1"/>
  <c r="EO147" i="2"/>
  <c r="ER147" i="2"/>
  <c r="EL147" i="2"/>
  <c r="EH147" i="2"/>
  <c r="DV147" i="2"/>
  <c r="EB147" i="2"/>
  <c r="EV147" i="2"/>
  <c r="ES147" i="2"/>
  <c r="EU147" i="2" s="1"/>
  <c r="EJ147" i="2"/>
  <c r="EQ147" i="2"/>
  <c r="EC147" i="2"/>
  <c r="EG147" i="2"/>
  <c r="EA147" i="2"/>
  <c r="ET147" i="2" s="1"/>
  <c r="EF147" i="2"/>
  <c r="EI147" i="2"/>
  <c r="EE147" i="2"/>
  <c r="EI70" i="2"/>
  <c r="EV70" i="2"/>
  <c r="EQ70" i="2"/>
  <c r="DZ70" i="2"/>
  <c r="EP70" i="2"/>
  <c r="EH9" i="2"/>
  <c r="ED9" i="2"/>
  <c r="DX9" i="2"/>
  <c r="DY9" i="2" s="1"/>
  <c r="EJ9" i="2"/>
  <c r="EQ9" i="2"/>
  <c r="EC9" i="2"/>
  <c r="EK9" i="2"/>
  <c r="EL9" i="2"/>
  <c r="EF9" i="2"/>
  <c r="EA9" i="2"/>
  <c r="ET9" i="2" s="1"/>
  <c r="EB9" i="2"/>
  <c r="EV9" i="2"/>
  <c r="EM9" i="2"/>
  <c r="EE9" i="2"/>
  <c r="EP9" i="2"/>
  <c r="EC186" i="2"/>
  <c r="EK186" i="2"/>
  <c r="EG186" i="2"/>
  <c r="DV186" i="2"/>
  <c r="EN186" i="2"/>
  <c r="EH79" i="2"/>
  <c r="DV79" i="2"/>
  <c r="EV79" i="2"/>
  <c r="EE79" i="2"/>
  <c r="EN79" i="2"/>
  <c r="EO79" i="2"/>
  <c r="EC79" i="2"/>
  <c r="EQ79" i="2"/>
  <c r="EM79" i="2"/>
  <c r="DZ79" i="2"/>
  <c r="EP79" i="2"/>
  <c r="ER44" i="2"/>
  <c r="EN44" i="2"/>
  <c r="EP44" i="2"/>
  <c r="EF44" i="2"/>
  <c r="EA44" i="2"/>
  <c r="ET44" i="2" s="1"/>
  <c r="EL44" i="2"/>
  <c r="DW44" i="2"/>
  <c r="EC44" i="2"/>
  <c r="EK44" i="2"/>
  <c r="EQ44" i="2"/>
  <c r="EM44" i="2"/>
  <c r="DV44" i="2"/>
  <c r="ES44" i="2"/>
  <c r="EU44" i="2" s="1"/>
  <c r="EH44" i="2"/>
  <c r="DX44" i="2"/>
  <c r="DY44" i="2" s="1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J28" i="2"/>
  <c r="EQ28" i="2"/>
  <c r="ER28" i="2"/>
  <c r="EH28" i="2"/>
  <c r="DX28" i="2"/>
  <c r="DY28" i="2" s="1"/>
  <c r="ED28" i="2"/>
  <c r="EG28" i="2"/>
  <c r="DU28" i="2"/>
  <c r="EC28" i="2"/>
  <c r="EM28" i="2"/>
  <c r="EO28" i="2"/>
  <c r="EI28" i="2"/>
  <c r="EV28" i="2"/>
  <c r="ES28" i="2"/>
  <c r="EU28" i="2" s="1"/>
  <c r="EB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EP179" i="2"/>
  <c r="DW179" i="2"/>
  <c r="EH179" i="2"/>
  <c r="EG179" i="2"/>
  <c r="EM179" i="2"/>
  <c r="DV179" i="2"/>
  <c r="DZ179" i="2"/>
  <c r="EJ179" i="2"/>
  <c r="ED179" i="2"/>
  <c r="EK179" i="2"/>
  <c r="EB179" i="2"/>
  <c r="EE179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J18" i="2"/>
  <c r="EC18" i="2"/>
  <c r="DW18" i="2"/>
  <c r="DU18" i="2"/>
  <c r="EQ18" i="2"/>
  <c r="EE18" i="2"/>
  <c r="EL18" i="2"/>
  <c r="EO18" i="2"/>
  <c r="DV18" i="2"/>
  <c r="DZ18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M96" i="2"/>
  <c r="EI96" i="2"/>
  <c r="EV96" i="2"/>
  <c r="EJ96" i="2"/>
  <c r="ED96" i="2"/>
  <c r="EA96" i="2"/>
  <c r="ET96" i="2" s="1"/>
  <c r="EM119" i="2"/>
  <c r="EA119" i="2"/>
  <c r="ET119" i="2" s="1"/>
  <c r="DU119" i="2"/>
  <c r="EJ119" i="2"/>
  <c r="EE119" i="2"/>
  <c r="EK119" i="2"/>
  <c r="DX119" i="2"/>
  <c r="DY119" i="2" s="1"/>
  <c r="DW119" i="2"/>
  <c r="EO119" i="2"/>
  <c r="ES119" i="2"/>
  <c r="EU119" i="2" s="1"/>
  <c r="EB119" i="2"/>
  <c r="EC119" i="2"/>
  <c r="DV119" i="2"/>
  <c r="EF119" i="2"/>
  <c r="DZ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EB199" i="2"/>
  <c r="EE199" i="2"/>
  <c r="EV199" i="2"/>
  <c r="ES199" i="2"/>
  <c r="EU199" i="2" s="1"/>
  <c r="EG199" i="2"/>
  <c r="EM199" i="2"/>
  <c r="EF199" i="2"/>
  <c r="DU199" i="2"/>
  <c r="EJ199" i="2"/>
  <c r="EL199" i="2"/>
  <c r="EH199" i="2"/>
  <c r="DX199" i="2"/>
  <c r="DY199" i="2" s="1"/>
  <c r="EP199" i="2"/>
  <c r="DZ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DX88" i="2"/>
  <c r="DY88" i="2" s="1"/>
  <c r="EV88" i="2"/>
  <c r="EE88" i="2"/>
  <c r="ES88" i="2"/>
  <c r="EU88" i="2" s="1"/>
  <c r="EN88" i="2"/>
  <c r="DU88" i="2"/>
  <c r="EA88" i="2"/>
  <c r="ET88" i="2" s="1"/>
  <c r="EO88" i="2"/>
  <c r="EG88" i="2"/>
  <c r="EB88" i="2"/>
  <c r="EL88" i="2"/>
  <c r="EJ88" i="2"/>
  <c r="DW88" i="2"/>
  <c r="DV88" i="2"/>
  <c r="EP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J99" i="2"/>
  <c r="ES99" i="2"/>
  <c r="EU99" i="2" s="1"/>
  <c r="EQ99" i="2"/>
  <c r="ER99" i="2"/>
  <c r="DW99" i="2"/>
  <c r="EC99" i="2"/>
  <c r="EO99" i="2"/>
  <c r="EB99" i="2"/>
  <c r="EE99" i="2"/>
  <c r="EG99" i="2"/>
  <c r="EH99" i="2"/>
  <c r="EF99" i="2"/>
  <c r="EI99" i="2"/>
  <c r="ED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DW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ER167" i="2"/>
  <c r="DU167" i="2"/>
  <c r="EF167" i="2"/>
  <c r="EB167" i="2"/>
  <c r="EI167" i="2"/>
  <c r="EA167" i="2"/>
  <c r="ET167" i="2" s="1"/>
  <c r="EO167" i="2"/>
  <c r="EN167" i="2"/>
  <c r="EK167" i="2"/>
  <c r="EG167" i="2"/>
  <c r="EQ167" i="2"/>
  <c r="EM167" i="2"/>
  <c r="DX167" i="2"/>
  <c r="DY167" i="2" s="1"/>
  <c r="EL167" i="2"/>
  <c r="EP167" i="2"/>
  <c r="DZ167" i="2"/>
  <c r="EP84" i="2"/>
  <c r="ED84" i="2"/>
  <c r="EG84" i="2"/>
  <c r="EB84" i="2"/>
  <c r="EV84" i="2"/>
  <c r="EM84" i="2"/>
  <c r="EI84" i="2"/>
  <c r="DV84" i="2"/>
  <c r="EA84" i="2"/>
  <c r="ET84" i="2" s="1"/>
  <c r="ER84" i="2"/>
  <c r="ES84" i="2"/>
  <c r="EU84" i="2" s="1"/>
  <c r="EF84" i="2"/>
  <c r="DZ84" i="2"/>
  <c r="EH84" i="2"/>
  <c r="DX84" i="2"/>
  <c r="DY84" i="2" s="1"/>
  <c r="EN84" i="2"/>
  <c r="EC77" i="2"/>
  <c r="DW77" i="2"/>
  <c r="EV77" i="2"/>
  <c r="EE77" i="2"/>
  <c r="ER77" i="2"/>
  <c r="DX77" i="2"/>
  <c r="DY77" i="2" s="1"/>
  <c r="DU77" i="2"/>
  <c r="DV77" i="2"/>
  <c r="EG77" i="2"/>
  <c r="EH77" i="2"/>
  <c r="EB77" i="2"/>
  <c r="EA77" i="2"/>
  <c r="ET77" i="2" s="1"/>
  <c r="ES77" i="2"/>
  <c r="EU77" i="2" s="1"/>
  <c r="EK77" i="2"/>
  <c r="EL77" i="2"/>
  <c r="EP77" i="2"/>
  <c r="DX163" i="2"/>
  <c r="DY163" i="2" s="1"/>
  <c r="EF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A38" i="2"/>
  <c r="ET38" i="2" s="1"/>
  <c r="EO38" i="2"/>
  <c r="EQ38" i="2"/>
  <c r="ER38" i="2"/>
  <c r="EF38" i="2"/>
  <c r="EN38" i="2"/>
  <c r="DU38" i="2"/>
  <c r="EH38" i="2"/>
  <c r="EK38" i="2"/>
  <c r="EI38" i="2"/>
  <c r="DW38" i="2"/>
  <c r="EB38" i="2"/>
  <c r="DV38" i="2"/>
  <c r="ES38" i="2"/>
  <c r="EU38" i="2" s="1"/>
  <c r="EP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DX39" i="2"/>
  <c r="DY39" i="2" s="1"/>
  <c r="EF39" i="2"/>
  <c r="EC39" i="2"/>
  <c r="EH39" i="2"/>
  <c r="EV39" i="2"/>
  <c r="ED39" i="2"/>
  <c r="EK39" i="2"/>
  <c r="DV39" i="2"/>
  <c r="DW39" i="2"/>
  <c r="ER39" i="2"/>
  <c r="EB39" i="2"/>
  <c r="ES39" i="2"/>
  <c r="EU39" i="2" s="1"/>
  <c r="EI39" i="2"/>
  <c r="EQ39" i="2"/>
  <c r="EN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R81" i="2"/>
  <c r="EL81" i="2"/>
  <c r="EM81" i="2"/>
  <c r="EK81" i="2"/>
  <c r="EF81" i="2"/>
  <c r="EQ81" i="2"/>
  <c r="DV81" i="2"/>
  <c r="EA81" i="2"/>
  <c r="ET81" i="2" s="1"/>
  <c r="EB81" i="2"/>
  <c r="ED81" i="2"/>
  <c r="DX81" i="2"/>
  <c r="DY81" i="2" s="1"/>
  <c r="EN81" i="2"/>
  <c r="EI81" i="2"/>
  <c r="DZ8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B191" i="2"/>
  <c r="EF191" i="2"/>
  <c r="ER191" i="2"/>
  <c r="EJ191" i="2"/>
  <c r="EL191" i="2"/>
  <c r="EN191" i="2"/>
  <c r="EI191" i="2"/>
  <c r="DW191" i="2"/>
  <c r="DX191" i="2"/>
  <c r="DY191" i="2" s="1"/>
  <c r="EC191" i="2"/>
  <c r="ED191" i="2"/>
  <c r="EO191" i="2"/>
  <c r="EE191" i="2"/>
  <c r="DZ191" i="2"/>
  <c r="EM109" i="2"/>
  <c r="DZ109" i="2"/>
  <c r="EA135" i="2"/>
  <c r="ET135" i="2" s="1"/>
  <c r="DW135" i="2"/>
  <c r="EF72" i="2"/>
  <c r="EK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B194" i="2"/>
  <c r="EJ194" i="2"/>
  <c r="EG194" i="2"/>
  <c r="EF194" i="2"/>
  <c r="ES194" i="2"/>
  <c r="EU194" i="2" s="1"/>
  <c r="EE194" i="2"/>
  <c r="DW194" i="2"/>
  <c r="DU194" i="2"/>
  <c r="EC194" i="2"/>
  <c r="ER194" i="2"/>
  <c r="EH194" i="2"/>
  <c r="EN194" i="2"/>
  <c r="EO194" i="2"/>
  <c r="EQ66" i="2"/>
  <c r="EJ66" i="2"/>
  <c r="EV41" i="2"/>
  <c r="EE41" i="2"/>
  <c r="EG41" i="2"/>
  <c r="ED41" i="2"/>
  <c r="EM41" i="2"/>
  <c r="EO41" i="2"/>
  <c r="EJ41" i="2"/>
  <c r="EQ41" i="2"/>
  <c r="EB41" i="2"/>
  <c r="ES41" i="2"/>
  <c r="EU41" i="2" s="1"/>
  <c r="DU41" i="2"/>
  <c r="EN41" i="2"/>
  <c r="EC41" i="2"/>
  <c r="EP41" i="2"/>
  <c r="EA41" i="2"/>
  <c r="ET41" i="2" s="1"/>
  <c r="DZ41" i="2"/>
  <c r="EA65" i="2"/>
  <c r="ET65" i="2" s="1"/>
  <c r="EC65" i="2"/>
  <c r="EF65" i="2"/>
  <c r="EV65" i="2"/>
  <c r="EG65" i="2"/>
  <c r="DU65" i="2"/>
  <c r="EN65" i="2"/>
  <c r="EE65" i="2"/>
  <c r="DX65" i="2"/>
  <c r="DY65" i="2" s="1"/>
  <c r="DW65" i="2"/>
  <c r="ER65" i="2"/>
  <c r="EK65" i="2"/>
  <c r="ED65" i="2"/>
  <c r="EQ65" i="2"/>
  <c r="EP65" i="2"/>
  <c r="DZ65" i="2"/>
  <c r="EC110" i="2"/>
  <c r="EP110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V177" i="2"/>
  <c r="DU177" i="2"/>
  <c r="EP177" i="2"/>
  <c r="EF177" i="2"/>
  <c r="DW177" i="2"/>
  <c r="EL177" i="2"/>
  <c r="EJ177" i="2"/>
  <c r="EI177" i="2"/>
  <c r="ED177" i="2"/>
  <c r="EE177" i="2"/>
  <c r="EG177" i="2"/>
  <c r="EB177" i="2"/>
  <c r="EO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V80" i="2"/>
  <c r="EH80" i="2"/>
  <c r="EE80" i="2"/>
  <c r="EG80" i="2"/>
  <c r="EJ80" i="2"/>
  <c r="DU80" i="2"/>
  <c r="EO80" i="2"/>
  <c r="ER80" i="2"/>
  <c r="EM80" i="2"/>
  <c r="EB80" i="2"/>
  <c r="EN80" i="2"/>
  <c r="DV80" i="2"/>
  <c r="EC80" i="2"/>
  <c r="EA80" i="2"/>
  <c r="ET80" i="2" s="1"/>
  <c r="EI80" i="2"/>
  <c r="ES80" i="2"/>
  <c r="EU80" i="2" s="1"/>
  <c r="DU23" i="2"/>
  <c r="EK23" i="2"/>
  <c r="EP23" i="2"/>
  <c r="DW23" i="2"/>
  <c r="EO23" i="2"/>
  <c r="DX23" i="2"/>
  <c r="DY23" i="2" s="1"/>
  <c r="EB23" i="2"/>
  <c r="DZ23" i="2"/>
  <c r="EE23" i="2"/>
  <c r="EF23" i="2"/>
  <c r="ES23" i="2"/>
  <c r="EU23" i="2" s="1"/>
  <c r="EI23" i="2"/>
  <c r="DV23" i="2"/>
  <c r="EH23" i="2"/>
  <c r="EQ2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R188" i="2"/>
  <c r="EN188" i="2"/>
  <c r="DV188" i="2"/>
  <c r="EQ188" i="2"/>
  <c r="EF188" i="2"/>
  <c r="EC188" i="2"/>
  <c r="EL188" i="2"/>
  <c r="DU188" i="2"/>
  <c r="EB188" i="2"/>
  <c r="EI188" i="2"/>
  <c r="EJ188" i="2"/>
  <c r="EO188" i="2"/>
  <c r="EK188" i="2"/>
  <c r="EG188" i="2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H13" i="2"/>
  <c r="EJ13" i="2"/>
  <c r="EG17" i="2"/>
  <c r="EC17" i="2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V172" i="2"/>
  <c r="EQ172" i="2"/>
  <c r="EE172" i="2"/>
  <c r="EJ172" i="2"/>
  <c r="DU172" i="2"/>
  <c r="DV172" i="2"/>
  <c r="ES172" i="2"/>
  <c r="EU172" i="2" s="1"/>
  <c r="EL172" i="2"/>
  <c r="EK172" i="2"/>
  <c r="ER172" i="2"/>
  <c r="EN172" i="2"/>
  <c r="DX172" i="2"/>
  <c r="DY172" i="2" s="1"/>
  <c r="DW172" i="2"/>
  <c r="EA172" i="2"/>
  <c r="ET172" i="2" s="1"/>
  <c r="DZ172" i="2"/>
  <c r="EP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C107" i="2"/>
  <c r="ES107" i="2"/>
  <c r="EU107" i="2" s="1"/>
  <c r="DV107" i="2"/>
  <c r="EV107" i="2"/>
  <c r="EQ107" i="2"/>
  <c r="EK107" i="2"/>
  <c r="EJ107" i="2"/>
  <c r="EO107" i="2"/>
  <c r="EA107" i="2"/>
  <c r="ET107" i="2" s="1"/>
  <c r="DU107" i="2"/>
  <c r="ED107" i="2"/>
  <c r="DW107" i="2"/>
  <c r="EG107" i="2"/>
  <c r="EI107" i="2"/>
  <c r="EP107" i="2"/>
  <c r="EE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DU192" i="2"/>
  <c r="EV192" i="2"/>
  <c r="EI192" i="2"/>
  <c r="EM192" i="2"/>
  <c r="EB192" i="2"/>
  <c r="DV192" i="2"/>
  <c r="EL192" i="2"/>
  <c r="EC192" i="2"/>
  <c r="EN192" i="2"/>
  <c r="EG192" i="2"/>
  <c r="EA192" i="2"/>
  <c r="ET192" i="2" s="1"/>
  <c r="DZ192" i="2"/>
  <c r="DX192" i="2"/>
  <c r="DY192" i="2" s="1"/>
  <c r="EH192" i="2"/>
  <c r="EJ192" i="2"/>
  <c r="DU14" i="2"/>
  <c r="ED14" i="2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V46" i="2"/>
  <c r="EO46" i="2"/>
  <c r="EH46" i="2"/>
  <c r="DZ46" i="2"/>
  <c r="DX46" i="2"/>
  <c r="DY46" i="2" s="1"/>
  <c r="DW46" i="2"/>
  <c r="EE46" i="2"/>
  <c r="EC46" i="2"/>
  <c r="EF46" i="2"/>
  <c r="EB46" i="2"/>
  <c r="EG46" i="2"/>
  <c r="ES46" i="2"/>
  <c r="EU46" i="2" s="1"/>
  <c r="EL46" i="2"/>
  <c r="EA46" i="2"/>
  <c r="ET46" i="2" s="1"/>
  <c r="DV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EA140" i="2"/>
  <c r="ET140" i="2" s="1"/>
  <c r="EF140" i="2"/>
  <c r="EV140" i="2"/>
  <c r="EN140" i="2"/>
  <c r="ES140" i="2"/>
  <c r="EU140" i="2" s="1"/>
  <c r="EQ140" i="2"/>
  <c r="EJ140" i="2"/>
  <c r="EG140" i="2"/>
  <c r="EK140" i="2"/>
  <c r="DU140" i="2"/>
  <c r="EP140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N14" i="2" l="1"/>
  <c r="EN17" i="2"/>
  <c r="EL13" i="2"/>
  <c r="EA110" i="2"/>
  <c r="ET110" i="2" s="1"/>
  <c r="EC66" i="2"/>
  <c r="EL72" i="2"/>
  <c r="EI135" i="2"/>
  <c r="EC109" i="2"/>
  <c r="ED163" i="2"/>
  <c r="EP123" i="2"/>
  <c r="EK14" i="2"/>
  <c r="EJ17" i="2"/>
  <c r="EK17" i="2"/>
  <c r="EB13" i="2"/>
  <c r="EN110" i="2"/>
  <c r="DW72" i="2"/>
  <c r="EO43" i="2"/>
  <c r="EH109" i="2"/>
  <c r="EJ163" i="2"/>
  <c r="EI14" i="2"/>
  <c r="EF17" i="2"/>
  <c r="DV13" i="2"/>
  <c r="EM13" i="2"/>
  <c r="EQ110" i="2"/>
  <c r="ES72" i="2"/>
  <c r="EU72" i="2" s="1"/>
  <c r="EQ43" i="2"/>
  <c r="EG109" i="2"/>
  <c r="ES60" i="2"/>
  <c r="EU60" i="2" s="1"/>
  <c r="ES14" i="2"/>
  <c r="EU14" i="2" s="1"/>
  <c r="EC14" i="2"/>
  <c r="EO17" i="2"/>
  <c r="ER13" i="2"/>
  <c r="EP66" i="2"/>
  <c r="EN135" i="2"/>
  <c r="ED43" i="2"/>
  <c r="EL109" i="2"/>
  <c r="EE123" i="2"/>
  <c r="DW60" i="2"/>
  <c r="EM14" i="2"/>
  <c r="EA14" i="2"/>
  <c r="ET14" i="2" s="1"/>
  <c r="ED17" i="2"/>
  <c r="EN13" i="2"/>
  <c r="ER66" i="2"/>
  <c r="DZ135" i="2"/>
  <c r="EE43" i="2"/>
  <c r="DU123" i="2"/>
  <c r="DX60" i="2"/>
  <c r="DY60" i="2" s="1"/>
  <c r="EJ14" i="2"/>
  <c r="EM17" i="2"/>
  <c r="EI13" i="2"/>
  <c r="DX66" i="2"/>
  <c r="DY66" i="2" s="1"/>
  <c r="EG72" i="2"/>
  <c r="EE135" i="2"/>
  <c r="EC43" i="2"/>
  <c r="EL163" i="2"/>
  <c r="DZ123" i="2"/>
  <c r="DU60" i="2"/>
  <c r="EJ160" i="2"/>
  <c r="EG14" i="2"/>
  <c r="EF14" i="2"/>
  <c r="EB14" i="2"/>
  <c r="DX17" i="2"/>
  <c r="DY17" i="2" s="1"/>
  <c r="DV17" i="2"/>
  <c r="EI17" i="2"/>
  <c r="EA13" i="2"/>
  <c r="ET13" i="2" s="1"/>
  <c r="EO13" i="2"/>
  <c r="EF13" i="2"/>
  <c r="EG110" i="2"/>
  <c r="EJ110" i="2"/>
  <c r="EV66" i="2"/>
  <c r="EE66" i="2"/>
  <c r="EJ72" i="2"/>
  <c r="EN72" i="2"/>
  <c r="ES135" i="2"/>
  <c r="EU135" i="2" s="1"/>
  <c r="DU135" i="2"/>
  <c r="EP43" i="2"/>
  <c r="EK43" i="2"/>
  <c r="EQ109" i="2"/>
  <c r="EA109" i="2"/>
  <c r="ET109" i="2" s="1"/>
  <c r="EV163" i="2"/>
  <c r="EB163" i="2"/>
  <c r="EC123" i="2"/>
  <c r="EM123" i="2"/>
  <c r="ER60" i="2"/>
  <c r="EB60" i="2"/>
  <c r="DU160" i="2"/>
  <c r="EP14" i="2"/>
  <c r="EQ14" i="2"/>
  <c r="DX14" i="2"/>
  <c r="DY14" i="2" s="1"/>
  <c r="EP17" i="2"/>
  <c r="EH17" i="2"/>
  <c r="EE17" i="2"/>
  <c r="EG13" i="2"/>
  <c r="EQ13" i="2"/>
  <c r="DZ13" i="2"/>
  <c r="ES13" i="2"/>
  <c r="EU13" i="2" s="1"/>
  <c r="EH110" i="2"/>
  <c r="EK110" i="2"/>
  <c r="EA66" i="2"/>
  <c r="ET66" i="2" s="1"/>
  <c r="EI66" i="2"/>
  <c r="EV72" i="2"/>
  <c r="EH72" i="2"/>
  <c r="EC135" i="2"/>
  <c r="ED135" i="2"/>
  <c r="EA43" i="2"/>
  <c r="ET43" i="2" s="1"/>
  <c r="EJ43" i="2"/>
  <c r="ED109" i="2"/>
  <c r="EV109" i="2"/>
  <c r="DZ163" i="2"/>
  <c r="EE163" i="2"/>
  <c r="EF123" i="2"/>
  <c r="ES123" i="2"/>
  <c r="EU123" i="2" s="1"/>
  <c r="DZ60" i="2"/>
  <c r="EG60" i="2"/>
  <c r="EB160" i="2"/>
  <c r="EL14" i="2"/>
  <c r="EO14" i="2"/>
  <c r="DZ14" i="2"/>
  <c r="ER17" i="2"/>
  <c r="EB17" i="2"/>
  <c r="ES17" i="2"/>
  <c r="EU17" i="2" s="1"/>
  <c r="DW13" i="2"/>
  <c r="EC13" i="2"/>
  <c r="EV13" i="2"/>
  <c r="EM110" i="2"/>
  <c r="DZ110" i="2"/>
  <c r="DU66" i="2"/>
  <c r="EL66" i="2"/>
  <c r="DV72" i="2"/>
  <c r="DU72" i="2"/>
  <c r="ER135" i="2"/>
  <c r="EJ135" i="2"/>
  <c r="DX43" i="2"/>
  <c r="DY43" i="2" s="1"/>
  <c r="DW43" i="2"/>
  <c r="DU109" i="2"/>
  <c r="EN109" i="2"/>
  <c r="EQ163" i="2"/>
  <c r="EI163" i="2"/>
  <c r="EB123" i="2"/>
  <c r="EH123" i="2"/>
  <c r="EV60" i="2"/>
  <c r="EL60" i="2"/>
  <c r="EH160" i="2"/>
  <c r="DW14" i="2"/>
  <c r="EV14" i="2"/>
  <c r="EH14" i="2"/>
  <c r="EA17" i="2"/>
  <c r="ET17" i="2" s="1"/>
  <c r="DW17" i="2"/>
  <c r="EQ17" i="2"/>
  <c r="EK13" i="2"/>
  <c r="EP13" i="2"/>
  <c r="ED13" i="2"/>
  <c r="DX110" i="2"/>
  <c r="DY110" i="2" s="1"/>
  <c r="DU110" i="2"/>
  <c r="ED66" i="2"/>
  <c r="DX72" i="2"/>
  <c r="DY72" i="2" s="1"/>
  <c r="EI72" i="2"/>
  <c r="EK135" i="2"/>
  <c r="EQ135" i="2"/>
  <c r="EN43" i="2"/>
  <c r="EH43" i="2"/>
  <c r="EF109" i="2"/>
  <c r="EK109" i="2"/>
  <c r="EA163" i="2"/>
  <c r="ET163" i="2" s="1"/>
  <c r="EK163" i="2"/>
  <c r="EI123" i="2"/>
  <c r="ER123" i="2"/>
  <c r="DV60" i="2"/>
  <c r="EQ60" i="2"/>
  <c r="EJ62" i="2"/>
  <c r="EN60" i="2"/>
  <c r="EH60" i="2"/>
  <c r="DV14" i="2"/>
  <c r="EE14" i="2"/>
  <c r="DU17" i="2"/>
  <c r="EL17" i="2"/>
  <c r="DX13" i="2"/>
  <c r="DY13" i="2" s="1"/>
  <c r="DU13" i="2"/>
  <c r="EV110" i="2"/>
  <c r="EB66" i="2"/>
  <c r="EA72" i="2"/>
  <c r="ET72" i="2" s="1"/>
  <c r="EH135" i="2"/>
  <c r="ER43" i="2"/>
  <c r="DV43" i="2"/>
  <c r="EO109" i="2"/>
  <c r="ER163" i="2"/>
  <c r="EJ123" i="2"/>
  <c r="EO60" i="2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ER9" i="2"/>
  <c r="EI9" i="2"/>
  <c r="EG9" i="2"/>
  <c r="DZ9" i="2"/>
  <c r="EN9" i="2"/>
  <c r="DV9" i="2"/>
  <c r="EO9" i="2"/>
  <c r="DU9" i="2"/>
  <c r="ES9" i="2"/>
  <c r="EU9" i="2" s="1"/>
  <c r="DW9" i="2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7" i="2" l="1"/>
  <c r="BJ16" i="2"/>
  <c r="BJ15" i="2"/>
  <c r="BJ14" i="2"/>
  <c r="BJ11" i="2"/>
  <c r="BJ12" i="2"/>
  <c r="BJ13" i="2"/>
  <c r="BJ10" i="2"/>
  <c r="BJ9" i="2"/>
  <c r="BM9" i="2"/>
  <c r="CT11" i="2" s="1"/>
  <c r="CT19" i="2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CT3" i="2"/>
  <c r="B16" i="5" s="1"/>
  <c r="DJ13" i="2"/>
  <c r="DJ6" i="2"/>
  <c r="DJ10" i="2"/>
  <c r="DJ7" i="2"/>
  <c r="DJ11" i="2"/>
  <c r="DJ5" i="2"/>
  <c r="DJ8" i="2"/>
  <c r="DJ4" i="2"/>
  <c r="DJ3" i="2"/>
  <c r="DJ2" i="2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A2" i="2" l="1"/>
  <c r="EJ2" i="2" s="1"/>
  <c r="EL2" i="2" s="1"/>
  <c r="EA3" i="2"/>
  <c r="EI4" i="2"/>
  <c r="BM3" i="2"/>
  <c r="BM16" i="2" s="1"/>
  <c r="B22" i="5" s="1"/>
  <c r="HY4" i="2"/>
  <c r="Y33" i="8" s="1"/>
  <c r="Q3" i="9"/>
  <c r="EC2" i="2"/>
  <c r="EF2" i="2" s="1"/>
  <c r="EH2" i="2" s="1"/>
  <c r="EK2" i="2"/>
  <c r="EM2" i="2" s="1"/>
  <c r="EO2" i="2" s="1"/>
  <c r="ES2" i="2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N2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K3" i="2" l="1"/>
  <c r="EM3" i="2" s="1"/>
  <c r="EO3" i="2" s="1"/>
  <c r="ES3" i="2"/>
  <c r="EC3" i="2"/>
  <c r="EF3" i="2" s="1"/>
  <c r="EH3" i="2" s="1"/>
  <c r="ED3" i="2"/>
  <c r="EG3" i="2" s="1"/>
  <c r="EI3" i="2" s="1"/>
  <c r="EJ3" i="2"/>
  <c r="EL3" i="2" s="1"/>
  <c r="EN3" i="2" s="1"/>
  <c r="ER7" i="2"/>
  <c r="ER4" i="2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5" i="2"/>
  <c r="EV11" i="2"/>
  <c r="R3" i="9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4" i="2" l="1"/>
  <c r="EY35" i="2" s="1"/>
  <c r="CT15" i="2"/>
  <c r="CT5" i="2"/>
  <c r="B18" i="5" s="1"/>
  <c r="BB5" i="2" s="1"/>
  <c r="CT12" i="2"/>
  <c r="CT23" i="2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Q2" i="9" l="1"/>
  <c r="ET2" i="2"/>
  <c r="ET3" i="2"/>
  <c r="ER3" i="2" s="1"/>
  <c r="R14" i="9"/>
  <c r="R2" i="9"/>
  <c r="Q13" i="9"/>
  <c r="Q25" i="9"/>
  <c r="R13" i="9"/>
  <c r="R25" i="9"/>
  <c r="Q12" i="9"/>
  <c r="R11" i="9"/>
  <c r="R12" i="9"/>
  <c r="Q10" i="9"/>
  <c r="Q11" i="9"/>
  <c r="R9" i="9"/>
  <c r="R10" i="9"/>
  <c r="Q8" i="9"/>
  <c r="Q9" i="9"/>
  <c r="R8" i="9"/>
  <c r="Q5" i="9"/>
  <c r="Q6" i="9"/>
  <c r="R4" i="9"/>
  <c r="R6" i="9"/>
  <c r="Q4" i="9"/>
  <c r="A20" i="2"/>
  <c r="AL20" i="2"/>
  <c r="A24" i="1"/>
  <c r="GW14" i="2"/>
  <c r="GW12" i="2"/>
  <c r="GW13" i="2" s="1"/>
  <c r="GW10" i="2"/>
  <c r="AA36" i="8"/>
  <c r="AA37" i="8" s="1"/>
  <c r="EY2" i="2" l="1"/>
  <c r="ER2" i="2"/>
  <c r="EY31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U3" i="2" l="1"/>
  <c r="EU2" i="2"/>
  <c r="EV2" i="2"/>
  <c r="EY3" i="2" s="1"/>
  <c r="EY5" i="2" s="1"/>
  <c r="EY12" i="2" s="1"/>
  <c r="EV3" i="2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4" i="2"/>
  <c r="B11" i="9"/>
  <c r="EY28" i="2"/>
  <c r="B13" i="9"/>
  <c r="EY7" i="2"/>
  <c r="EY14" i="2" s="1"/>
  <c r="EY4" i="2"/>
  <c r="EY11" i="2" s="1"/>
  <c r="A27" i="1"/>
  <c r="A23" i="2"/>
  <c r="AL23" i="2"/>
  <c r="GW21" i="2"/>
  <c r="Q7" i="9" l="1"/>
  <c r="B14" i="9"/>
  <c r="EY27" i="2"/>
  <c r="B12" i="9"/>
  <c r="EY30" i="2"/>
  <c r="R7" i="9"/>
  <c r="B15" i="9"/>
  <c r="EY29" i="2"/>
  <c r="L39" i="8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J14" i="2" l="1"/>
  <c r="A32" i="1"/>
  <c r="AJ17" i="2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5" i="2" l="1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I18" i="5"/>
  <c r="G18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H18" i="5"/>
  <c r="G22" i="5"/>
  <c r="F24" i="5"/>
  <c r="F28" i="5"/>
  <c r="H23" i="5"/>
  <c r="F27" i="5"/>
  <c r="F20" i="5"/>
  <c r="E27" i="5"/>
  <c r="E26" i="5"/>
  <c r="F18" i="5"/>
  <c r="I20" i="5"/>
  <c r="G28" i="5"/>
  <c r="E25" i="5"/>
  <c r="I21" i="5"/>
  <c r="G25" i="5"/>
  <c r="E18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AK17" i="2" l="1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7" i="5" l="1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<sst xmlns="http://schemas.openxmlformats.org/spreadsheetml/2006/main" count="862" uniqueCount="340">
  <si>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</si>
  <si>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</si>
  <si>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</si>
  <si>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</si>
  <si>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</si>
  <si>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</si>
  <si>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</si>
  <si>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</si>
  <si>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</si>
  <si>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</si>
  <si>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</si>
  <si>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</si>
  <si>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</si>
  <si>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</si>
  <si>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</si>
  <si>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</si>
  <si>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</si>
  <si>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</si>
  <si>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</si>
  <si>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</si>
  <si>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</si>
  <si>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</si>
  <si>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</si>
  <si>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</si>
  <si>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</si>
  <si>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</si>
  <si>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</si>
  <si>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</si>
  <si>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</si>
  <si>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</si>
  <si>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</si>
  <si>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</si>
  <si>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</si>
  <si>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</si>
  <si>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</si>
  <si>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</si>
  <si>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</si>
  <si>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</si>
  <si>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</si>
  <si>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</si>
  <si>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</si>
  <si>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</si>
  <si>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</si>
  <si>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</si>
  <si>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</si>
  <si>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</si>
  <si>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</si>
  <si>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</si>
  <si>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</si>
  <si>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</si>
  <si>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</si>
  <si>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</si>
  <si>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</si>
  <si>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</si>
  <si>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</si>
  <si>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</si>
  <si>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</si>
  <si>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</si>
  <si>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</si>
  <si>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</si>
  <si>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</si>
  <si>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</si>
  <si>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</si>
  <si>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</si>
  <si>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</si>
  <si>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</si>
  <si>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</si>
  <si>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</si>
  <si>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</si>
  <si>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</si>
  <si>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</si>
  <si>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</si>
  <si>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</si>
  <si>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</si>
  <si>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</si>
  <si>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</si>
  <si>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</si>
  <si>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</si>
  <si>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</si>
  <si>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</si>
  <si>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</si>
  <si>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</si>
  <si>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</si>
  <si>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</si>
  <si>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</si>
  <si>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</si>
  <si>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</si>
  <si>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</si>
  <si>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</si>
  <si>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</si>
  <si>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</si>
  <si>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</si>
  <si>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</si>
  <si>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</si>
  <si>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</si>
  <si>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</si>
  <si>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</si>
  <si>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</si>
  <si>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</si>
  <si>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</si>
  <si>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</si>
  <si>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</si>
  <si>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</si>
  <si>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</si>
  <si>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</si>
  <si>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</si>
  <si>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</si>
  <si>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</si>
  <si>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</si>
  <si>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</si>
  <si>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</si>
  <si>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</si>
  <si>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</si>
  <si>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</si>
  <si>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</si>
  <si>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</si>
  <si>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</si>
  <si>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</si>
  <si>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</si>
  <si>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</si>
  <si>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</si>
  <si>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</si>
  <si>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</si>
  <si>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</si>
  <si>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</si>
  <si>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</si>
  <si>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</si>
  <si>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</si>
  <si>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</si>
  <si>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</si>
  <si>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</si>
  <si>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</si>
  <si>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</si>
  <si>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</si>
  <si>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</si>
  <si>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</si>
  <si>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</si>
  <si>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</si>
  <si>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</si>
  <si>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</si>
  <si>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</si>
  <si>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</si>
  <si>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</si>
  <si>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</si>
  <si>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</si>
  <si>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</si>
  <si>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</si>
  <si>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</si>
  <si>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</si>
  <si>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</si>
  <si>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</si>
  <si>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</si>
  <si>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</si>
  <si>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</si>
  <si>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</si>
  <si>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</si>
  <si>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</si>
  <si>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</si>
  <si>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</si>
  <si>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</si>
  <si>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</si>
  <si>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</si>
  <si>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</si>
  <si>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</si>
  <si>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</si>
  <si>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</si>
  <si>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</si>
  <si>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</si>
  <si>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</si>
  <si>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</si>
  <si>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</si>
  <si>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</si>
  <si>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</si>
  <si>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</si>
  <si>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</si>
  <si>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</si>
  <si>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</si>
  <si>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</si>
  <si>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</si>
  <si>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</si>
  <si>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</si>
  <si>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</si>
  <si>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</si>
  <si>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</si>
  <si>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</si>
  <si>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</si>
  <si>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</si>
  <si>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</si>
  <si>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</si>
  <si>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</si>
  <si>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</si>
  <si>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</si>
  <si>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</si>
  <si>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</si>
  <si>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</si>
  <si>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</si>
  <si>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</si>
  <si>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</si>
  <si>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</si>
  <si>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</si>
  <si>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</si>
  <si>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</si>
  <si>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</si>
  <si>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</si>
  <si>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</si>
  <si>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</si>
  <si>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</si>
  <si>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</si>
  <si>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</si>
  <si>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</si>
  <si>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</si>
  <si>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</si>
  <si>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</si>
  <si>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</si>
  <si>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</si>
  <si>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</si>
  <si>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</si>
  <si>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</si>
  <si>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</si>
  <si>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</si>
  <si>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</si>
  <si>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</si>
  <si>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</si>
  <si>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</si>
  <si>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</si>
  <si>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</si>
  <si>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</si>
  <si>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</si>
  <si>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</si>
  <si>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</si>
  <si>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</si>
  <si>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</si>
  <si>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</si>
  <si>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</si>
  <si>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</si>
  <si>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</si>
  <si>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</si>
  <si>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</si>
  <si>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</si>
  <si>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</si>
  <si>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</si>
  <si>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</si>
  <si>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</si>
  <si>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</si>
  <si>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</si>
  <si>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</si>
  <si>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</si>
  <si>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</si>
  <si>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</si>
  <si>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</si>
  <si>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</si>
  <si>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</si>
  <si>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</si>
  <si>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</si>
  <si>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</si>
  <si>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</si>
  <si>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</si>
  <si>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</si>
  <si>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</si>
  <si>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</si>
  <si>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</si>
  <si>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</si>
  <si>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</si>
  <si>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</si>
  <si>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</si>
  <si>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</si>
  <si>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</si>
  <si>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</si>
  <si>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</si>
  <si>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</si>
  <si>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</si>
  <si>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</si>
  <si>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</si>
  <si>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</si>
  <si>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</si>
  <si>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</si>
  <si>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</si>
  <si>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</si>
  <si>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</si>
  <si>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</si>
  <si>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</si>
  <si>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</si>
  <si>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</si>
  <si>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</si>
  <si>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</si>
  <si>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</si>
  <si>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</si>
  <si>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</si>
  <si>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</si>
  <si>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</si>
  <si>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</si>
  <si>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</si>
  <si>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</si>
  <si>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</si>
  <si>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</si>
  <si>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</si>
  <si>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</si>
  <si>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</si>
  <si>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</si>
  <si>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</si>
  <si>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</si>
  <si>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</si>
  <si>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</si>
  <si>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</si>
  <si>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</si>
  <si>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</si>
  <si>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</si>
  <si>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</si>
  <si>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</si>
  <si>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</si>
  <si>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</si>
  <si>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</si>
  <si>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</si>
  <si>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</si>
  <si>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</si>
  <si>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</si>
  <si>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</si>
  <si>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</si>
  <si>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</si>
  <si>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</si>
  <si>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</si>
  <si>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</si>
  <si>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</si>
  <si>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</si>
  <si>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</si>
  <si>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</si>
  <si>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</si>
  <si>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</si>
  <si>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</si>
  <si>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</si>
  <si>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</si>
  <si>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</si>
  <si>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</si>
  <si>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</si>
  <si>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</si>
  <si>
    <t>Neumann et al.</t>
  </si>
  <si>
    <t>English</t>
  </si>
  <si>
    <t xml:space="preserve">Chinese </t>
  </si>
  <si>
    <t>Chein et al.</t>
  </si>
  <si>
    <t>Quan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</si>
</sst>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8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1" fontId="13" fillId="38" borderId="0" xfId="10" applyNumberFormat="1" applyFill="1">
      <protection locked="0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49" fontId="13" fillId="37" borderId="0" xfId="10" applyNumberFormat="1" applyFill="1">
      <protection locked="0"/>
    </xf>
    <xf numFmtId="1" fontId="0" fillId="37" borderId="0" xfId="0" applyNumberFormat="1" applyFill="1"/>
    <xf numFmtId="1" fontId="13" fillId="39" borderId="0" xfId="12" applyNumberFormat="1" applyFill="1"/>
    <xf numFmtId="0" fontId="26" fillId="37" borderId="0" xfId="0" applyFont="1" applyFill="1"/>
    <xf numFmtId="49" fontId="14" fillId="9" borderId="0" xfId="10" applyNumberFormat="1" applyFont="1">
      <protection locked="0"/>
    </xf>
    <xf numFmtId="0" fontId="27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0.25446906049501977</c:v>
                </c:pt>
                <c:pt idx="1">
                  <c:v>0.18093807675749579</c:v>
                </c:pt>
                <c:pt idx="2">
                  <c:v>0.27361473098454037</c:v>
                </c:pt>
                <c:pt idx="3">
                  <c:v>0.29097813176294413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0.46685302775942072</c:v>
                  </c:pt>
                  <c:pt idx="2">
                    <c:v>0.54460801416189075</c:v>
                  </c:pt>
                  <c:pt idx="3">
                    <c:v>0.42467211850532793</c:v>
                  </c:pt>
                  <c:pt idx="4">
                    <c:v>0.36466201074807825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0.32793595241547246</c:v>
                  </c:pt>
                  <c:pt idx="2">
                    <c:v>0.35821844263844793</c:v>
                  </c:pt>
                  <c:pt idx="3">
                    <c:v>0.30206753137460207</c:v>
                  </c:pt>
                  <c:pt idx="4">
                    <c:v>0.26207342247923782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1.0462875939849625</c:v>
                </c:pt>
                <c:pt idx="4">
                  <c:v>0.93156775834039651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0.25446906049501977</c:v>
                </c:pt>
                <c:pt idx="2">
                  <c:v>0.18093807675749579</c:v>
                </c:pt>
                <c:pt idx="3">
                  <c:v>0.27361473098454037</c:v>
                </c:pt>
                <c:pt idx="4">
                  <c:v>0.29097813176294413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0.12947356308452584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0.11495381479126765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1.0250508266796186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0.29097813176294413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0.12947356308452584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0.11495381479126765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1.0250508266796186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0.29097813176294413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0.46685302775942072</c:v>
                  </c:pt>
                  <c:pt idx="2">
                    <c:v>0.54460801416189075</c:v>
                  </c:pt>
                  <c:pt idx="3">
                    <c:v>0.42467211850532793</c:v>
                  </c:pt>
                  <c:pt idx="4">
                    <c:v>0.36466201074807825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0.32793595241547246</c:v>
                  </c:pt>
                  <c:pt idx="2">
                    <c:v>0.35821844263844793</c:v>
                  </c:pt>
                  <c:pt idx="3">
                    <c:v>0.30206753137460207</c:v>
                  </c:pt>
                  <c:pt idx="4">
                    <c:v>0.26207342247923782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1.0462875939849625</c:v>
                </c:pt>
                <c:pt idx="4">
                  <c:v>0.93156775834039651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0.25446906049501977</c:v>
                </c:pt>
                <c:pt idx="2">
                  <c:v>0.18093807675749579</c:v>
                </c:pt>
                <c:pt idx="3">
                  <c:v>0.27361473098454037</c:v>
                </c:pt>
                <c:pt idx="4">
                  <c:v>0.29097813176294413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0.12947356308452584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0.11495381479126765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1.0250508266796186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0.29097813176294413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0.12947356308452584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0.11495381479126765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1.0250508266796186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0.29097813176294413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0.46685292959504787</c:v>
                  </c:pt>
                  <c:pt idx="2">
                    <c:v>0.54460780581634949</c:v>
                  </c:pt>
                  <c:pt idx="3">
                    <c:v>0.42467196189016909</c:v>
                  </c:pt>
                  <c:pt idx="4">
                    <c:v>0.36466187691774121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0.32793590397909789</c:v>
                  </c:pt>
                  <c:pt idx="2">
                    <c:v>0.35821835249958101</c:v>
                  </c:pt>
                  <c:pt idx="3">
                    <c:v>0.30206745213643205</c:v>
                  </c:pt>
                  <c:pt idx="4">
                    <c:v>0.26207335335672277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1.0462875939849625</c:v>
                </c:pt>
                <c:pt idx="4">
                  <c:v>0.93156775834039651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0.25446906049501977</c:v>
                </c:pt>
                <c:pt idx="2">
                  <c:v>0.18093807675749579</c:v>
                </c:pt>
                <c:pt idx="3">
                  <c:v>0.27361473098454037</c:v>
                </c:pt>
                <c:pt idx="4">
                  <c:v>0.29097813176294413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0.12947356308452584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0.11495381479126765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1.0250508266796186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0.12947356308452584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0.11495381479126765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1.0250508266796186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2.2204460492503131E-16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1.0250508266796188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2.2204460492503131E-16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1.0250508266796188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0.46685292959504787</c:v>
                  </c:pt>
                  <c:pt idx="2">
                    <c:v>0.54460780581634949</c:v>
                  </c:pt>
                  <c:pt idx="3">
                    <c:v>0.42467196189016909</c:v>
                  </c:pt>
                  <c:pt idx="4">
                    <c:v>0.36466187691774121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0.32793590397909789</c:v>
                  </c:pt>
                  <c:pt idx="2">
                    <c:v>0.35821835249958101</c:v>
                  </c:pt>
                  <c:pt idx="3">
                    <c:v>0.30206745213643205</c:v>
                  </c:pt>
                  <c:pt idx="4">
                    <c:v>0.26207335335672277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1.0462875939849625</c:v>
                </c:pt>
                <c:pt idx="4">
                  <c:v>0.93156775834039651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0.25446906049501977</c:v>
                </c:pt>
                <c:pt idx="2">
                  <c:v>0.18093807675749579</c:v>
                </c:pt>
                <c:pt idx="3">
                  <c:v>0.27361473098454037</c:v>
                </c:pt>
                <c:pt idx="4">
                  <c:v>0.29097813176294413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0.12947356308452584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0.11495381479126765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1.0250508266796186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0.12947356308452584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0.11495381479126765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1.0250508266796186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2.2204460492503131E-16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1.0250508266796188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2.2204460492503131E-16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1.0250508266796188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0.12947356308452584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0.11495381479126765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1.0250508266796186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0.12947356308452584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0.11495381479126765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1.0250508266796186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2.2204460492503131E-16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1.0250508266796188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2.2204460492503131E-16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1.0250508266796188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0.12947356308452584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0.11495381479126765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1.0250508266796186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0.12947356308452584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0.11495381479126765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1.0250508266796186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2.2204460492503131E-16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1.0250508266796188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2.2204460492503131E-16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1.0250508266796188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4.7400611620795105E-2</c:v>
                </c:pt>
                <c:pt idx="2">
                  <c:v>4.5685279187817257E-2</c:v>
                </c:pt>
                <c:pt idx="3">
                  <c:v>7.1065989847715741E-2</c:v>
                </c:pt>
                <c:pt idx="4">
                  <c:v>8.0203045685279181E-2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5.1987767584097858E-2</c:v>
                </c:pt>
                <c:pt idx="2">
                  <c:v>4.7715736040609136E-2</c:v>
                </c:pt>
                <c:pt idx="3">
                  <c:v>7.4111675126903559E-2</c:v>
                </c:pt>
                <c:pt idx="4">
                  <c:v>7.5126903553299498E-2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30.822402313175189</c:v>
                </c:pt>
                <c:pt idx="2">
                  <c:v>21.916008903962037</c:v>
                </c:pt>
                <c:pt idx="3">
                  <c:v>33.141409414610365</c:v>
                </c:pt>
                <c:pt idx="4">
                  <c:v>35.244540236391877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8.2028027621366156E-2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0.1468872869078853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-3.1824463052837078</c:v>
                </c:pt>
                <c:pt idx="1">
                  <c:v>-3.0355590183758223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3.1824463052837078</c:v>
                </c:pt>
                <c:pt idx="1">
                  <c:v>3.3293335921915932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5.5517927116540644</c:v>
                </c:pt>
                <c:pt idx="2">
                  <c:v>4.6814537169518227</c:v>
                </c:pt>
                <c:pt idx="3">
                  <c:v>5.7568575989519113</c:v>
                </c:pt>
                <c:pt idx="4">
                  <c:v>5.9367112306724064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0.53963625510001478</c:v>
                </c:pt>
                <c:pt idx="2">
                  <c:v>0.21354469011888383</c:v>
                </c:pt>
                <c:pt idx="3">
                  <c:v>0.26048787174469445</c:v>
                </c:pt>
                <c:pt idx="4">
                  <c:v>-0.42083179299499174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9.720036087933101E-2</c:v>
                </c:pt>
                <c:pt idx="2">
                  <c:v>4.561503819756367E-2</c:v>
                </c:pt>
                <c:pt idx="3">
                  <c:v>4.5248274300222172E-2</c:v>
                </c:pt>
                <c:pt idx="4">
                  <c:v>-7.0886350479830787E-2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0.18012199877362975</c:v>
                </c:pt>
                <c:pt idx="2">
                  <c:v>0.21360886178986249</c:v>
                </c:pt>
                <c:pt idx="3">
                  <c:v>0.17370587734913909</c:v>
                </c:pt>
                <c:pt idx="4">
                  <c:v>0.16844342955969202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-0.79101628120932455</c:v>
                </c:pt>
                <c:pt idx="1">
                  <c:v>2.4742198365482648E-2</c:v>
                </c:pt>
                <c:pt idx="2">
                  <c:v>0.84050067794028982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0.25633063414783497</c:v>
                </c:pt>
                <c:pt idx="1">
                  <c:v>0</c:v>
                </c:pt>
                <c:pt idx="2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2.4742198365482648E-2</c:v>
                </c:pt>
                <c:pt idx="1">
                  <c:v>2.4742198365482648E-2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0.28916474038533396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0.28916474038533396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2.4742198365482648E-2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0.28916474038533396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0.28916474038533396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2.4742198365482648E-2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0.28916474038533396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0.28916474038533396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2.4742198365482648E-2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0.28916474038533396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0.28916474038533396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2.4742198365482648E-2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1.020076232786199</c:v>
                </c:pt>
                <c:pt idx="2">
                  <c:v>-0.29338123212119332</c:v>
                </c:pt>
                <c:pt idx="3">
                  <c:v>0.29338123212119344</c:v>
                </c:pt>
                <c:pt idx="4">
                  <c:v>-1.020076232786199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0.53963625510001478</c:v>
                </c:pt>
                <c:pt idx="2">
                  <c:v>0.21354469011888383</c:v>
                </c:pt>
                <c:pt idx="3">
                  <c:v>0.26048787174469445</c:v>
                </c:pt>
                <c:pt idx="4">
                  <c:v>-0.42083179299499174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-1.020076232786199</c:v>
                </c:pt>
                <c:pt idx="1">
                  <c:v>1.020076232786199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-0.30157053467845657</c:v>
                </c:pt>
                <c:pt idx="1">
                  <c:v>0.59798904666275732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-1.020076232786199</c:v>
                </c:pt>
                <c:pt idx="1">
                  <c:v>1.020076232786199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0.14820925599215035</c:v>
                </c:pt>
                <c:pt idx="1">
                  <c:v>0.14820925599215035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1343025</xdr:colOff>
      <xdr:row>0</xdr:row>
      <xdr:rowOff>0</xdr:rowOff>
    </xdr:from>
    <xdr:to>
      <xdr:col>11</xdr:col>
      <xdr:colOff>4381500</xdr:colOff>
      <xdr:row>201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0</xdr:row>
      <xdr:rowOff>-9525</xdr:rowOff>
    </xdr:from>
    <xdr:to>
      <xdr:col>13</xdr:col>
      <xdr:colOff>161925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B7" sqref="B7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9" t="str">
        <f>IF(AND(Sufficient_data="Yes",Include_study?="Yes"),1,"")</f>
        <v/>
      </c>
      <c r="B2" s="111" t="s">
        <v>338</v>
      </c>
      <c r="C2" s="5" t="s">
        <v>20</v>
      </c>
      <c r="D2" s="27">
        <v>63</v>
      </c>
      <c r="E2" s="27"/>
      <c r="F2" s="27">
        <v>69</v>
      </c>
      <c r="G2" s="27"/>
      <c r="H2" s="27">
        <v>2229</v>
      </c>
      <c r="I2" s="27">
        <v>568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336</v>
      </c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109">
        <f>IF(AND(Sufficient_data="Yes",Include_study?="Yes"),COUNT(A$2:A2)+1,"")</f>
        <v>1</v>
      </c>
      <c r="B3" s="111" t="s">
        <v>335</v>
      </c>
      <c r="C3" s="5" t="s">
        <v>12</v>
      </c>
      <c r="D3" s="27">
        <v>68</v>
      </c>
      <c r="E3" s="27"/>
      <c r="F3" s="27">
        <v>62</v>
      </c>
      <c r="G3" s="27"/>
      <c r="H3" s="27">
        <v>1308</v>
      </c>
      <c r="I3" s="27">
        <v>1308</v>
      </c>
      <c r="J3" s="3" t="str">
        <f t="shared" si="0"/>
        <v>Yes</v>
      </c>
      <c r="K3" s="5" t="s">
        <v>336</v>
      </c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109">
        <f>IF(AND(Sufficient_data="Yes",Include_study?="Yes"),COUNT(A$2:A3)+1,"")</f>
        <v>2</v>
      </c>
      <c r="B4" s="111" t="s">
        <v>339</v>
      </c>
      <c r="C4" s="5" t="s">
        <v>12</v>
      </c>
      <c r="D4" s="27">
        <v>47</v>
      </c>
      <c r="E4" s="27"/>
      <c r="F4" s="27">
        <v>45</v>
      </c>
      <c r="G4" s="27"/>
      <c r="H4" s="27">
        <v>985</v>
      </c>
      <c r="I4" s="93">
        <v>985</v>
      </c>
      <c r="J4" s="3" t="str">
        <f t="shared" si="0"/>
        <v>Yes</v>
      </c>
      <c r="K4" s="5" t="s">
        <v>336</v>
      </c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109">
        <f>IF(AND(Sufficient_data="Yes",Include_study?="Yes"),COUNT(A$2:A4)+1,"")</f>
        <v>3</v>
      </c>
      <c r="B5" s="94" t="s">
        <v>339</v>
      </c>
      <c r="C5" s="5" t="s">
        <v>12</v>
      </c>
      <c r="D5" s="27">
        <v>73</v>
      </c>
      <c r="E5" s="27"/>
      <c r="F5" s="27">
        <v>70</v>
      </c>
      <c r="G5" s="27"/>
      <c r="H5" s="27">
        <v>985</v>
      </c>
      <c r="I5" s="27">
        <v>985</v>
      </c>
      <c r="J5" s="3" t="str">
        <f t="shared" si="0"/>
        <v>Yes</v>
      </c>
      <c r="K5" s="5" t="s">
        <v>336</v>
      </c>
      <c r="L5" s="27"/>
      <c r="S5" s="92"/>
      <c r="T5" s="92"/>
    </row>
    <row r="6" spans="1:20" x14ac:dyDescent="0.3">
      <c r="A6" s="109">
        <f>IF(AND(Sufficient_data="Yes",Include_study?="Yes"),COUNT(A$2:A5)+1,"")</f>
        <v>4</v>
      </c>
      <c r="B6" s="94" t="s">
        <v>339</v>
      </c>
      <c r="C6" s="5" t="s">
        <v>12</v>
      </c>
      <c r="D6" s="27">
        <v>74</v>
      </c>
      <c r="E6" s="27"/>
      <c r="F6" s="27">
        <v>79</v>
      </c>
      <c r="G6" s="27"/>
      <c r="H6" s="27">
        <v>985</v>
      </c>
      <c r="I6" s="27">
        <v>985</v>
      </c>
      <c r="J6" s="3" t="str">
        <f t="shared" si="0"/>
        <v>Yes</v>
      </c>
      <c r="K6" s="5" t="s">
        <v>336</v>
      </c>
      <c r="L6" s="27"/>
      <c r="S6" s="92"/>
      <c r="T6" s="92"/>
    </row>
    <row r="7" spans="1:20" x14ac:dyDescent="0.3">
      <c r="A7" s="109" t="str">
        <f>IF(AND(Sufficient_data="Yes",Include_study?="Yes"),COUNT(A$2:A6)+1,"")</f>
        <v/>
      </c>
      <c r="B7" s="111"/>
      <c r="C7" s="5" t="s">
        <v>20</v>
      </c>
      <c r="D7" s="27"/>
      <c r="E7" s="27"/>
      <c r="F7" s="27"/>
      <c r="G7" s="27"/>
      <c r="H7" s="27"/>
      <c r="I7" s="27"/>
      <c r="J7" s="3" t="str">
        <f t="shared" si="0"/>
        <v>No</v>
      </c>
      <c r="K7" s="5" t="s">
        <v>337</v>
      </c>
      <c r="L7" s="27"/>
      <c r="S7" s="92"/>
      <c r="T7" s="92"/>
    </row>
    <row r="8" spans="1:20" x14ac:dyDescent="0.3">
      <c r="A8" s="109" t="str">
        <f>IF(AND(Sufficient_data="Yes",Include_study?="Yes"),COUNT(A$2:A7)+1,"")</f>
        <v/>
      </c>
      <c r="B8" s="12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 t="s">
        <v>336</v>
      </c>
      <c r="L8" s="27"/>
      <c r="S8" s="92"/>
      <c r="T8" s="92"/>
    </row>
    <row r="9" spans="1:20" s="98" customFormat="1" x14ac:dyDescent="0.3">
      <c r="A9" s="109" t="str">
        <f>IF(AND(Sufficient_data="Yes",Include_study?="Yes"),COUNT(A$2:A8)+1,"")</f>
        <v/>
      </c>
      <c r="B9" s="12"/>
      <c r="C9" s="99" t="s">
        <v>20</v>
      </c>
      <c r="D9" s="27"/>
      <c r="E9" s="27"/>
      <c r="F9" s="27"/>
      <c r="G9" s="27"/>
      <c r="H9" s="27"/>
      <c r="I9" s="27"/>
      <c r="J9" s="100" t="str">
        <f t="shared" si="0"/>
        <v>No</v>
      </c>
      <c r="K9" s="99" t="s">
        <v>336</v>
      </c>
      <c r="L9" s="97"/>
    </row>
    <row r="10" spans="1:20" s="98" customFormat="1" x14ac:dyDescent="0.3">
      <c r="A10" s="109" t="str">
        <f>IF(AND(Sufficient_data="Yes",Include_study?="Yes"),COUNT(A$2:A9)+1,"")</f>
        <v/>
      </c>
      <c r="B10" s="94"/>
      <c r="C10" s="99" t="s">
        <v>20</v>
      </c>
      <c r="D10" s="101"/>
      <c r="E10" s="101"/>
      <c r="F10" s="101"/>
      <c r="G10" s="101"/>
      <c r="H10" s="101"/>
      <c r="I10" s="101"/>
      <c r="J10" s="100" t="s">
        <v>12</v>
      </c>
      <c r="K10" s="99" t="s">
        <v>336</v>
      </c>
      <c r="L10" s="97"/>
    </row>
    <row r="11" spans="1:20" s="98" customFormat="1" x14ac:dyDescent="0.3">
      <c r="A11" s="109" t="str">
        <f>IF(AND(Sufficient_data="Yes",Include_study?="Yes"),COUNT(A$2:A10)+1,"")</f>
        <v/>
      </c>
      <c r="B11" s="94"/>
      <c r="C11" s="99" t="s">
        <v>20</v>
      </c>
      <c r="D11" s="101"/>
      <c r="E11" s="101"/>
      <c r="F11" s="101"/>
      <c r="G11" s="101"/>
      <c r="H11" s="101"/>
      <c r="I11" s="101"/>
      <c r="J11" s="100" t="s">
        <v>12</v>
      </c>
      <c r="K11" s="99" t="s">
        <v>336</v>
      </c>
      <c r="L11" s="97"/>
    </row>
    <row r="12" spans="1:20" s="94" customFormat="1" x14ac:dyDescent="0.3">
      <c r="A12" s="109" t="str">
        <f>IF(AND(Sufficient_data="Yes",Include_study?="Yes"),COUNT(A$2:A11)+1,"")</f>
        <v/>
      </c>
      <c r="B12" s="107"/>
      <c r="C12" s="99" t="s">
        <v>20</v>
      </c>
      <c r="D12" s="101"/>
      <c r="E12" s="101"/>
      <c r="F12" s="101"/>
      <c r="G12" s="101"/>
      <c r="H12" s="101"/>
      <c r="I12" s="101"/>
      <c r="J12" s="100" t="str">
        <f t="shared" si="0"/>
        <v>No</v>
      </c>
      <c r="K12" s="99"/>
      <c r="L12" s="101"/>
      <c r="S12" s="108"/>
      <c r="T12" s="108"/>
    </row>
    <row r="13" spans="1:20" x14ac:dyDescent="0.3">
      <c r="A13" s="109" t="str">
        <f>IF(AND(Sufficient_data="Yes",Include_study?="Yes"),COUNT(A$2:A12)+1,"")</f>
        <v/>
      </c>
      <c r="B13" s="12"/>
      <c r="C13" s="5" t="s">
        <v>20</v>
      </c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  <c r="S13" s="92"/>
      <c r="T13" s="92"/>
    </row>
    <row r="14" spans="1:20" x14ac:dyDescent="0.3">
      <c r="A14" s="109" t="str">
        <f>IF(AND(Sufficient_data="Yes",Include_study?="Yes"),COUNT(A$2:A13)+1,"")</f>
        <v/>
      </c>
      <c r="B14" s="107"/>
      <c r="C14" s="5" t="s">
        <v>20</v>
      </c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  <c r="S14" s="92"/>
      <c r="T14" s="92"/>
    </row>
    <row r="15" spans="1:20" ht="14.5" x14ac:dyDescent="0.35">
      <c r="A15" s="109" t="str">
        <f>IF(AND(Sufficient_data="Yes",Include_study?="Yes"),COUNT(A$2:A14)+1,"")</f>
        <v/>
      </c>
      <c r="B15" s="110"/>
      <c r="C15" s="5" t="s">
        <v>20</v>
      </c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  <c r="S15" s="92"/>
      <c r="T15" s="92"/>
    </row>
    <row r="16" spans="1:20" x14ac:dyDescent="0.3">
      <c r="A16" s="109" t="str">
        <f>IF(AND(Sufficient_data="Yes",Include_study?="Yes"),COUNT(A$2:A15)+1,"")</f>
        <v/>
      </c>
      <c r="B16" s="12"/>
      <c r="C16" s="5" t="s">
        <v>20</v>
      </c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  <c r="S16" s="92"/>
      <c r="T16" s="92"/>
    </row>
    <row r="17" spans="1:12" x14ac:dyDescent="0.3">
      <c r="A17" s="109" t="str">
        <f>IF(AND(Sufficient_data="Yes",Include_study?="Yes"),COUNT(A$2:A16)+1,"")</f>
        <v/>
      </c>
      <c r="B17" s="1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109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109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C1" zoomScaleNormal="100" workbookViewId="0">
      <pane ySplit="1" topLeftCell="A2" activePane="bottomLeft" state="frozen"/>
      <selection pane="bottomLeft" activeCell="E2" sqref="E2:I5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8" t="s">
        <v>21</v>
      </c>
      <c r="B1" s="118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Neumann et al.</v>
      </c>
      <c r="F2" s="4">
        <f>IF(Ranked_number&lt;=COUNT(Entry_number),INDEX(Lookup_table,MATCH(Number,Calculations!AK:AK,0),5),"")</f>
        <v>1.1020811654526534</v>
      </c>
      <c r="G2" s="4">
        <f>IF(Ranked_number&lt;=COUNT(Entry_number),INDEX(Lookup_table,MATCH(Number,Calculations!AK:AK,0),9),"")</f>
        <v>0.77414521303718098</v>
      </c>
      <c r="H2" s="4">
        <f>IF(Ranked_number&lt;=COUNT(Entry_number),INDEX(Lookup_table,MATCH(Number,Calculations!AK:AK,0),10),"")</f>
        <v>1.5689341932120742</v>
      </c>
      <c r="I2" s="8">
        <f>IF(D2&lt;=COUNT(Entry_number),INDEX(Lookup_table,MATCH(Number,Calculations!AK:AK,0),11),"")</f>
        <v>0.25446906049501977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15" t="s">
        <v>29</v>
      </c>
      <c r="O2" s="116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Quan et al.</v>
      </c>
      <c r="F3" s="4">
        <f>IF(Ranked_number&lt;=COUNT(Entry_number),INDEX(Lookup_table,MATCH(Number,Calculations!AK:AK,0),5),"")</f>
        <v>1.04667140488036</v>
      </c>
      <c r="G3" s="4">
        <f>IF(Ranked_number&lt;=COUNT(Entry_number),INDEX(Lookup_table,MATCH(Number,Calculations!AK:AK,0),9),"")</f>
        <v>0.6884529622419121</v>
      </c>
      <c r="H3" s="4">
        <f>IF(Ranked_number&lt;=COUNT(Entry_number),INDEX(Lookup_table,MATCH(Number,Calculations!AK:AK,0),10),"")</f>
        <v>1.5912794190422508</v>
      </c>
      <c r="I3" s="8">
        <f>IF(D3&lt;=COUNT(Entry_number),INDEX(Lookup_table,MATCH(Number,Calculations!AK:AK,0),11),"")</f>
        <v>0.18093807675749579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5"/>
      <c r="O3" s="116"/>
    </row>
    <row r="4" spans="1:15" x14ac:dyDescent="0.3">
      <c r="D4" s="48">
        <v>3</v>
      </c>
      <c r="E4" s="16" t="str">
        <f>IF(Number&lt;=COUNT(Entry_number),INDEX(Lookup_table,MATCH(Number,Calculations!AK:AK,0),3),"")</f>
        <v>Quan et al.</v>
      </c>
      <c r="F4" s="4">
        <f>IF(Ranked_number&lt;=COUNT(Entry_number),INDEX(Lookup_table,MATCH(Number,Calculations!AK:AK,0),5),"")</f>
        <v>1.0462875939849625</v>
      </c>
      <c r="G4" s="4">
        <f>IF(Ranked_number&lt;=COUNT(Entry_number),INDEX(Lookup_table,MATCH(Number,Calculations!AK:AK,0),9),"")</f>
        <v>0.74422006261036044</v>
      </c>
      <c r="H4" s="4">
        <f>IF(Ranked_number&lt;=COUNT(Entry_number),INDEX(Lookup_table,MATCH(Number,Calculations!AK:AK,0),10),"")</f>
        <v>1.4709597124902904</v>
      </c>
      <c r="I4" s="8">
        <f>IF(D4&lt;=COUNT(Entry_number),INDEX(Lookup_table,MATCH(Number,Calculations!AK:AK,0),11),"")</f>
        <v>0.27361473098454037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15"/>
      <c r="O4" s="116"/>
    </row>
    <row r="5" spans="1:15" x14ac:dyDescent="0.3">
      <c r="A5" s="118" t="s">
        <v>33</v>
      </c>
      <c r="B5" s="118"/>
      <c r="D5" s="48">
        <v>4</v>
      </c>
      <c r="E5" s="16" t="str">
        <f>IF(Number&lt;=COUNT(Entry_number),INDEX(Lookup_table,MATCH(Number,Calculations!AK:AK,0),3),"")</f>
        <v>Quan et al.</v>
      </c>
      <c r="F5" s="4">
        <f>IF(Ranked_number&lt;=COUNT(Entry_number),INDEX(Lookup_table,MATCH(Number,Calculations!AK:AK,0),5),"")</f>
        <v>0.93156775834039651</v>
      </c>
      <c r="G5" s="4">
        <f>IF(Ranked_number&lt;=COUNT(Entry_number),INDEX(Lookup_table,MATCH(Number,Calculations!AK:AK,0),9),"")</f>
        <v>0.6694943358611587</v>
      </c>
      <c r="H5" s="4">
        <f>IF(Ranked_number&lt;=COUNT(Entry_number),INDEX(Lookup_table,MATCH(Number,Calculations!AK:AK,0),10),"")</f>
        <v>1.2962297690884748</v>
      </c>
      <c r="I5" s="8">
        <f>IF(D5&lt;=COUNT(Entry_number),INDEX(Lookup_table,MATCH(Number,Calculations!AK:AK,0),11),"")</f>
        <v>0.29097813176294413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5"/>
      <c r="O5" s="116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15"/>
      <c r="O6" s="116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15"/>
      <c r="O7" s="116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5"/>
      <c r="O8" s="116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5"/>
      <c r="O9" s="116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5"/>
      <c r="O10" s="116"/>
    </row>
    <row r="11" spans="1:15" x14ac:dyDescent="0.3">
      <c r="A11" s="118" t="s">
        <v>42</v>
      </c>
      <c r="B11" s="118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5"/>
      <c r="O11" s="116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5"/>
      <c r="O12" s="116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5"/>
      <c r="O13" s="116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5"/>
      <c r="O14" s="116"/>
    </row>
    <row r="15" spans="1:15" x14ac:dyDescent="0.3">
      <c r="A15" s="118" t="s">
        <v>46</v>
      </c>
      <c r="B15" s="118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5"/>
      <c r="O15" s="116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1.0250508266796186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5"/>
      <c r="O16" s="116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0.9100970118883509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5"/>
      <c r="O17" s="116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1.1545243897641444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5"/>
      <c r="O18" s="116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0.9100970118883509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5"/>
      <c r="O19" s="116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1.1545243897641444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5"/>
      <c r="O20" s="116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5"/>
      <c r="O21" s="116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0.66198555959008354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5"/>
      <c r="O22" s="116"/>
    </row>
    <row r="23" spans="1:15" x14ac:dyDescent="0.3">
      <c r="A23" s="3" t="s">
        <v>50</v>
      </c>
      <c r="B23" s="26">
        <f>IF(Valid_options="Yes",IF(B22&lt;&gt;"",1-NORMSDIST(ABS(B22)),""),"")</f>
        <v>0.25399023815077026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5"/>
      <c r="O23" s="116"/>
    </row>
    <row r="24" spans="1:15" x14ac:dyDescent="0.3">
      <c r="A24" s="3" t="s">
        <v>51</v>
      </c>
      <c r="B24" s="26">
        <f>IF(Valid_options="Yes",IF(B22&lt;&gt;"",2*(1-NORMSDIST(ABS(B22))),""),"")</f>
        <v>0.50798047630154053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5"/>
      <c r="O24" s="116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5"/>
      <c r="O25" s="116"/>
    </row>
    <row r="26" spans="1:15" ht="12" customHeight="1" x14ac:dyDescent="0.3">
      <c r="A26" s="3" t="s">
        <v>52</v>
      </c>
      <c r="B26" s="7">
        <f>SUMIF(Sufficient_data,"Yes",Number_of_subjects)</f>
        <v>8526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5"/>
      <c r="O26" s="116"/>
    </row>
    <row r="27" spans="1:15" x14ac:dyDescent="0.3">
      <c r="A27" s="3" t="s">
        <v>53</v>
      </c>
      <c r="B27" s="7">
        <f>COUNT(Weightf)</f>
        <v>4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5"/>
      <c r="O27" s="116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5"/>
      <c r="O28" s="116"/>
    </row>
    <row r="29" spans="1:15" x14ac:dyDescent="0.3">
      <c r="A29" s="118" t="s">
        <v>54</v>
      </c>
      <c r="B29" s="118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5"/>
      <c r="O29" s="116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0.50761247905694851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5"/>
      <c r="O30" s="116"/>
    </row>
    <row r="31" spans="1:15" ht="13" x14ac:dyDescent="0.35">
      <c r="A31" s="3" t="s">
        <v>56</v>
      </c>
      <c r="B31" s="26">
        <f>IF(Valid_options="Yes",IF(B30&lt;&gt;"",CHIDIST(B30,k_-1),""),"")</f>
        <v>0.91721582843947913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5"/>
      <c r="O31" s="116"/>
    </row>
    <row r="32" spans="1:15" ht="13.5" x14ac:dyDescent="0.3">
      <c r="A32" s="3" t="s">
        <v>57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5"/>
      <c r="O32" s="116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5"/>
      <c r="O33" s="116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5"/>
      <c r="O34" s="116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5"/>
      <c r="O35" s="116"/>
    </row>
    <row r="36" spans="1:15" x14ac:dyDescent="0.3">
      <c r="A36" s="118" t="s">
        <v>58</v>
      </c>
      <c r="B36" s="119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5"/>
      <c r="O36" s="116"/>
    </row>
    <row r="37" spans="1:15" x14ac:dyDescent="0.3">
      <c r="A37" s="120" t="s">
        <v>35</v>
      </c>
      <c r="B37" s="120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5"/>
      <c r="O37" s="116"/>
    </row>
    <row r="38" spans="1:15" x14ac:dyDescent="0.3">
      <c r="A38" s="121" t="s">
        <v>59</v>
      </c>
      <c r="B38" s="121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5"/>
      <c r="O38" s="116"/>
    </row>
    <row r="39" spans="1:15" x14ac:dyDescent="0.3">
      <c r="A39" s="121" t="s">
        <v>60</v>
      </c>
      <c r="B39" s="121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5"/>
      <c r="O39" s="116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5"/>
      <c r="O40" s="116"/>
    </row>
    <row r="41" spans="1:15" x14ac:dyDescent="0.3">
      <c r="A41" s="118" t="s">
        <v>61</v>
      </c>
      <c r="B41" s="119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5"/>
      <c r="O41" s="116"/>
    </row>
    <row r="42" spans="1:15" x14ac:dyDescent="0.3">
      <c r="A42" s="120" t="str">
        <f>IF(Weighting_method="Peto","Peto Odds Ratio","Odds Ratio")</f>
        <v>Odds Ratio</v>
      </c>
      <c r="B42" s="120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5"/>
      <c r="O42" s="116"/>
    </row>
    <row r="43" spans="1:15" x14ac:dyDescent="0.3">
      <c r="A43" s="121" t="str">
        <f>IF(Weighting_method="Inverse variance","Risk Ratio","")</f>
        <v>Risk Ratio</v>
      </c>
      <c r="B43" s="121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5"/>
      <c r="O43" s="116"/>
    </row>
    <row r="44" spans="1:15" x14ac:dyDescent="0.3">
      <c r="A44" s="121" t="str">
        <f>IF(Weighting_method="Inverse variance","Risk Difference","")</f>
        <v>Risk Difference</v>
      </c>
      <c r="B44" s="121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5"/>
      <c r="O44" s="116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5"/>
      <c r="O45" s="116"/>
    </row>
    <row r="46" spans="1:15" x14ac:dyDescent="0.3">
      <c r="A46" s="118" t="s">
        <v>62</v>
      </c>
      <c r="B46" s="119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5"/>
      <c r="O46" s="116"/>
    </row>
    <row r="47" spans="1:15" x14ac:dyDescent="0.3">
      <c r="A47" s="120" t="str">
        <f>IF(Model_effect_size_measure&lt;&gt;"",Model_effect_size_measure,"")</f>
        <v>Odds Ratio</v>
      </c>
      <c r="B47" s="120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5"/>
      <c r="O47" s="116"/>
    </row>
    <row r="48" spans="1:15" x14ac:dyDescent="0.3">
      <c r="A48" s="121" t="str">
        <f>IF(OR(Model_effect_size_measure="Odds Ratio",Model_effect_size_measure="Peto Odds Ratio"),"Risk Ratio",IF(Model_effect_size_measure="Risk Ratio","Risk Difference",""))</f>
        <v>Risk Ratio</v>
      </c>
      <c r="B48" s="121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5"/>
      <c r="O48" s="116"/>
    </row>
    <row r="49" spans="1:15" x14ac:dyDescent="0.3">
      <c r="A49" s="121" t="str">
        <f>IF(OR(Model_effect_size_measure="Odds Ratio",Model_effect_size_measure="Peto Odds Ratio"),"Risk Difference","")</f>
        <v>Risk Difference</v>
      </c>
      <c r="B49" s="121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5"/>
      <c r="O49" s="116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5"/>
      <c r="O50" s="116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5"/>
      <c r="O51" s="116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5"/>
      <c r="O52" s="116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5"/>
      <c r="O53" s="116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5"/>
      <c r="O54" s="116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5"/>
      <c r="O55" s="116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5"/>
      <c r="O56" s="116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5"/>
      <c r="O57" s="116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5"/>
      <c r="O58" s="116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5"/>
      <c r="O59" s="116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5"/>
      <c r="O60" s="116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5"/>
      <c r="O61" s="116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5"/>
      <c r="O62" s="116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5"/>
      <c r="O63" s="116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5"/>
      <c r="O64" s="116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5"/>
      <c r="O65" s="116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5"/>
      <c r="O66" s="116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5"/>
      <c r="O67" s="116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5"/>
      <c r="O68" s="116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5"/>
      <c r="O69" s="116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5"/>
      <c r="O70" s="116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5"/>
      <c r="O71" s="116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5"/>
      <c r="O72" s="116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5"/>
      <c r="O73" s="116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5"/>
      <c r="O74" s="116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5"/>
      <c r="O75" s="116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5"/>
      <c r="O76" s="116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5"/>
      <c r="O77" s="116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5"/>
      <c r="O78" s="116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5"/>
      <c r="O79" s="116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5"/>
      <c r="O80" s="116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5"/>
      <c r="O81" s="116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5"/>
      <c r="O82" s="116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5"/>
      <c r="O83" s="116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5"/>
      <c r="O84" s="116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5"/>
      <c r="O85" s="116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5"/>
      <c r="O86" s="116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5"/>
      <c r="O87" s="116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5"/>
      <c r="O88" s="116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5"/>
      <c r="O89" s="116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5"/>
      <c r="O90" s="116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5"/>
      <c r="O91" s="116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5"/>
      <c r="O92" s="116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5"/>
      <c r="O93" s="116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5"/>
      <c r="O94" s="116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5"/>
      <c r="O95" s="116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5"/>
      <c r="O96" s="116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5"/>
      <c r="O97" s="116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5"/>
      <c r="O98" s="116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5"/>
      <c r="O99" s="116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5"/>
      <c r="O100" s="116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5"/>
      <c r="O101" s="116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5"/>
      <c r="O102" s="116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5"/>
      <c r="O103" s="116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5"/>
      <c r="O104" s="116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5"/>
      <c r="O105" s="116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5"/>
      <c r="O106" s="116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5"/>
      <c r="O107" s="116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5"/>
      <c r="O108" s="116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5"/>
      <c r="O109" s="116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5"/>
      <c r="O110" s="116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5"/>
      <c r="O111" s="116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5"/>
      <c r="O112" s="116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5"/>
      <c r="O113" s="116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5"/>
      <c r="O114" s="116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5"/>
      <c r="O115" s="116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5"/>
      <c r="O116" s="116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5"/>
      <c r="O117" s="116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5"/>
      <c r="O118" s="116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5"/>
      <c r="O119" s="116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5"/>
      <c r="O120" s="116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5"/>
      <c r="O121" s="116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5"/>
      <c r="O122" s="116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5"/>
      <c r="O123" s="116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5"/>
      <c r="O124" s="116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5"/>
      <c r="O125" s="116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5"/>
      <c r="O126" s="116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5"/>
      <c r="O127" s="116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5"/>
      <c r="O128" s="116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5"/>
      <c r="O129" s="116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5"/>
      <c r="O130" s="116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5"/>
      <c r="O131" s="116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5"/>
      <c r="O132" s="116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5"/>
      <c r="O133" s="116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5"/>
      <c r="O134" s="116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5"/>
      <c r="O135" s="116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5"/>
      <c r="O136" s="116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5"/>
      <c r="O137" s="116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5"/>
      <c r="O138" s="116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5"/>
      <c r="O139" s="116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5"/>
      <c r="O140" s="116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5"/>
      <c r="O141" s="116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5"/>
      <c r="O142" s="116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5"/>
      <c r="O143" s="116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5"/>
      <c r="O144" s="116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5"/>
      <c r="O145" s="116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5"/>
      <c r="O146" s="116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5"/>
      <c r="O147" s="116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5"/>
      <c r="O148" s="116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5"/>
      <c r="O149" s="116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5"/>
      <c r="O150" s="116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5"/>
      <c r="O151" s="116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5"/>
      <c r="O152" s="116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5"/>
      <c r="O153" s="116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5"/>
      <c r="O154" s="116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5"/>
      <c r="O155" s="116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5"/>
      <c r="O156" s="116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5"/>
      <c r="O157" s="116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5"/>
      <c r="O158" s="116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5"/>
      <c r="O159" s="116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5"/>
      <c r="O160" s="116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5"/>
      <c r="O161" s="116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5"/>
      <c r="O162" s="116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5"/>
      <c r="O163" s="116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5"/>
      <c r="O164" s="116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5"/>
      <c r="O165" s="116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5"/>
      <c r="O166" s="116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5"/>
      <c r="O167" s="116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5"/>
      <c r="O168" s="116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5"/>
      <c r="O169" s="116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5"/>
      <c r="O170" s="116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5"/>
      <c r="O171" s="116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5"/>
      <c r="O172" s="116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5"/>
      <c r="O173" s="116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5"/>
      <c r="O174" s="116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5"/>
      <c r="O175" s="116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5"/>
      <c r="O176" s="116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5"/>
      <c r="O177" s="116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5"/>
      <c r="O178" s="116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5"/>
      <c r="O179" s="116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5"/>
      <c r="O180" s="116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5"/>
      <c r="O181" s="116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5"/>
      <c r="O182" s="116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5"/>
      <c r="O183" s="116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5"/>
      <c r="O184" s="116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5"/>
      <c r="O185" s="116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5"/>
      <c r="O186" s="116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5"/>
      <c r="O187" s="116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5"/>
      <c r="O188" s="116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5"/>
      <c r="O189" s="116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5"/>
      <c r="O190" s="116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5"/>
      <c r="O191" s="116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5"/>
      <c r="O192" s="116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5"/>
      <c r="O193" s="116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5"/>
      <c r="O194" s="116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5"/>
      <c r="O195" s="116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5"/>
      <c r="O196" s="116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5"/>
      <c r="O197" s="116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5"/>
      <c r="O198" s="116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5"/>
      <c r="O199" s="116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5"/>
      <c r="O200" s="116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5"/>
      <c r="O201" s="117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N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8" t="s">
        <v>21</v>
      </c>
      <c r="B1" s="118"/>
      <c r="C1" s="118"/>
      <c r="D1" s="118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23" t="s">
        <v>69</v>
      </c>
      <c r="C2" s="123"/>
      <c r="D2" s="123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Neumann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1.1020811654526534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0.77414526147355556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1.5689340950477013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0.25446906049501977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29" t="s">
        <v>70</v>
      </c>
      <c r="U2" s="116" t="s">
        <v>71</v>
      </c>
      <c r="W2" s="116" t="s">
        <v>72</v>
      </c>
      <c r="Y2" s="116" t="s">
        <v>73</v>
      </c>
      <c r="AA2" s="116" t="s">
        <v>74</v>
      </c>
    </row>
    <row r="3" spans="1:27" x14ac:dyDescent="0.3">
      <c r="A3" s="3" t="s">
        <v>75</v>
      </c>
      <c r="B3" s="124" t="s">
        <v>38</v>
      </c>
      <c r="C3" s="124"/>
      <c r="D3" s="124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1.04667140488036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0.68845305238077903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1.5912792106967095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0.18093807675749579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9"/>
      <c r="U3" s="116"/>
      <c r="W3" s="116"/>
      <c r="Y3" s="116"/>
      <c r="AA3" s="116"/>
    </row>
    <row r="4" spans="1:27" ht="11.25" customHeight="1" x14ac:dyDescent="0.3">
      <c r="A4" s="3" t="s">
        <v>41</v>
      </c>
      <c r="B4" s="125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5"/>
      <c r="D4" s="125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1.0462875939849625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0.74422014184853047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1.4709595558751316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0.27361473098454037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9"/>
      <c r="U4" s="116"/>
      <c r="W4" s="116"/>
      <c r="Y4" s="116"/>
      <c r="AA4" s="116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0.29097813176294413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9"/>
      <c r="U5" s="116"/>
      <c r="W5" s="116"/>
      <c r="Y5" s="116"/>
      <c r="AA5" s="116"/>
    </row>
    <row r="6" spans="1:27" x14ac:dyDescent="0.3">
      <c r="A6" s="3" t="s">
        <v>76</v>
      </c>
      <c r="B6" s="124" t="s">
        <v>77</v>
      </c>
      <c r="C6" s="124"/>
      <c r="D6" s="124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1.0250508266796186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0.9100970118883509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1.1545243897641444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9"/>
      <c r="U6" s="116"/>
      <c r="W6" s="116"/>
      <c r="Y6" s="116"/>
      <c r="AA6" s="116"/>
    </row>
    <row r="7" spans="1:27" x14ac:dyDescent="0.3">
      <c r="A7" s="3" t="s">
        <v>78</v>
      </c>
      <c r="B7" s="124" t="s">
        <v>79</v>
      </c>
      <c r="C7" s="124"/>
      <c r="D7" s="124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1.0250508266796188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1.0250508266796186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1.0250508266796188</v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>
        <f>IF(COUNTIF(Calculations!DP:DP,Subgroup_number)=1,INDEX(Calculations!DP:EU,MATCH(Subgroup_number,Calculations!DP:DP,0),5),IF(Subgroup_number=Calculations!EY$25,Calculations!EY$17,""))</f>
        <v>0.50761247905694851</v>
      </c>
      <c r="M7" s="26">
        <f>IF(COUNTIF(Calculations!DP:DP,Subgroup_number)=1,INDEX(Calculations!DP:EU,MATCH(Subgroup_number,Calculations!DP:DP,0),6),IF(Subgroup_number=Calculations!EY$25,Calculations!EY$18,""))</f>
        <v>0.91721582843947913</v>
      </c>
      <c r="N7" s="8">
        <f>IF(COUNTIF(Calculations!DP:DP,Subgroup_number)=1,INDEX(Calculations!DP:EU,MATCH(Subgroup_number,Calculations!DP:DP,0),7),IF(Subgroup_number=Calculations!EY$25,Calculations!EY$19,""))</f>
        <v>0</v>
      </c>
      <c r="O7" s="4">
        <f>IF(COUNTIF(Calculations!DP:DP,Subgroup_number)=1,INDEX(Calculations!DP:EU,MATCH(Subgroup_number,Calculations!DP:DP,0),9),IF(Subgroup_number=Calculations!EY$25,Calculations!EY$20,""))</f>
        <v>0</v>
      </c>
      <c r="P7" s="4">
        <f>IF(COUNTIF(Calculations!DP:DP,Subgroup_number)=1,INDEX(Calculations!DP:EU,MATCH(Subgroup_number,Calculations!DP:DP,0),10),IF(Subgroup_number=Calculations!EY$25,Calculations!EY$21,""))</f>
        <v>0</v>
      </c>
      <c r="Q7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1.0250508266796186</v>
      </c>
      <c r="R7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1.0250508266796188</v>
      </c>
      <c r="S7" s="129"/>
      <c r="U7" s="116"/>
      <c r="W7" s="116"/>
      <c r="Y7" s="116"/>
      <c r="AA7" s="116"/>
    </row>
    <row r="8" spans="1:27" x14ac:dyDescent="0.3">
      <c r="A8" s="3" t="s">
        <v>31</v>
      </c>
      <c r="B8" s="126">
        <v>0.95</v>
      </c>
      <c r="C8" s="126"/>
      <c r="D8" s="126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9"/>
      <c r="U8" s="116"/>
      <c r="W8" s="116"/>
      <c r="Y8" s="116"/>
      <c r="AA8" s="116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9"/>
      <c r="U9" s="116"/>
      <c r="W9" s="116"/>
      <c r="Y9" s="116"/>
      <c r="AA9" s="116"/>
    </row>
    <row r="10" spans="1:27" x14ac:dyDescent="0.3">
      <c r="A10" s="118" t="s">
        <v>46</v>
      </c>
      <c r="B10" s="118"/>
      <c r="C10" s="118"/>
      <c r="D10" s="118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9"/>
      <c r="U10" s="116"/>
      <c r="W10" s="116"/>
      <c r="Y10" s="116"/>
      <c r="AA10" s="116"/>
    </row>
    <row r="11" spans="1:27" x14ac:dyDescent="0.3">
      <c r="A11" s="3" t="str">
        <f>Subgroup_effect_size_measure</f>
        <v>Odds Ratio</v>
      </c>
      <c r="B11" s="127">
        <f>Calculations!EY9</f>
        <v>1.0250508266796188</v>
      </c>
      <c r="C11" s="127"/>
      <c r="D11" s="127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9"/>
      <c r="U11" s="116"/>
      <c r="W11" s="116"/>
      <c r="Y11" s="116"/>
      <c r="AA11" s="116"/>
    </row>
    <row r="12" spans="1:27" x14ac:dyDescent="0.3">
      <c r="A12" s="3" t="s">
        <v>23</v>
      </c>
      <c r="B12" s="128">
        <f>Calculations!EY11</f>
        <v>1.0250508266796186</v>
      </c>
      <c r="C12" s="128"/>
      <c r="D12" s="128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9"/>
      <c r="U12" s="116"/>
      <c r="W12" s="116"/>
      <c r="Y12" s="116"/>
      <c r="AA12" s="116"/>
    </row>
    <row r="13" spans="1:27" x14ac:dyDescent="0.3">
      <c r="A13" s="3" t="s">
        <v>24</v>
      </c>
      <c r="B13" s="128">
        <f>Calculations!EY12</f>
        <v>1.0250508266796188</v>
      </c>
      <c r="C13" s="128"/>
      <c r="D13" s="128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9"/>
      <c r="U13" s="116"/>
      <c r="W13" s="116"/>
      <c r="Y13" s="116"/>
      <c r="AA13" s="116"/>
    </row>
    <row r="14" spans="1:27" x14ac:dyDescent="0.3">
      <c r="A14" s="3" t="s">
        <v>47</v>
      </c>
      <c r="B14" s="128">
        <f>Calculations!EY13</f>
        <v>1.0250508266796186</v>
      </c>
      <c r="C14" s="128"/>
      <c r="D14" s="128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9"/>
      <c r="U14" s="116"/>
      <c r="W14" s="116"/>
      <c r="Y14" s="116"/>
      <c r="AA14" s="116"/>
    </row>
    <row r="15" spans="1:27" x14ac:dyDescent="0.3">
      <c r="A15" s="3" t="s">
        <v>48</v>
      </c>
      <c r="B15" s="128">
        <f>Calculations!EY14</f>
        <v>1.0250508266796188</v>
      </c>
      <c r="C15" s="128"/>
      <c r="D15" s="128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9"/>
      <c r="U15" s="116"/>
      <c r="W15" s="116"/>
      <c r="Y15" s="116"/>
      <c r="AA15" s="116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9"/>
      <c r="U16" s="116"/>
      <c r="W16" s="116"/>
      <c r="Y16" s="116"/>
      <c r="AA16" s="116"/>
    </row>
    <row r="17" spans="1:27" x14ac:dyDescent="0.3">
      <c r="A17" s="3" t="s">
        <v>52</v>
      </c>
      <c r="B17" s="122">
        <f>SUMIF(Sufficient_data,"Yes",Number_of_subjects)</f>
        <v>8526</v>
      </c>
      <c r="C17" s="122"/>
      <c r="D17" s="122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9"/>
      <c r="U17" s="116"/>
      <c r="W17" s="116"/>
      <c r="Y17" s="116"/>
      <c r="AA17" s="116"/>
    </row>
    <row r="18" spans="1:27" x14ac:dyDescent="0.3">
      <c r="A18" s="3" t="s">
        <v>53</v>
      </c>
      <c r="B18" s="122">
        <f>COUNT(Subgroup_weightf)</f>
        <v>4</v>
      </c>
      <c r="C18" s="122"/>
      <c r="D18" s="122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9"/>
      <c r="U18" s="116"/>
      <c r="W18" s="116"/>
      <c r="Y18" s="116"/>
      <c r="AA18" s="116"/>
    </row>
    <row r="19" spans="1:27" x14ac:dyDescent="0.3">
      <c r="A19" s="3" t="s">
        <v>80</v>
      </c>
      <c r="B19" s="122">
        <f>COUNT(Calculations!DZ:DZ)</f>
        <v>2</v>
      </c>
      <c r="C19" s="122"/>
      <c r="D19" s="122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9"/>
      <c r="U19" s="116"/>
      <c r="W19" s="116"/>
      <c r="Y19" s="116"/>
      <c r="AA19" s="116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9"/>
      <c r="U20" s="116"/>
      <c r="W20" s="116"/>
      <c r="Y20" s="116"/>
      <c r="AA20" s="116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9"/>
      <c r="U21" s="116"/>
      <c r="W21" s="116"/>
      <c r="Y21" s="116"/>
      <c r="AA21" s="116"/>
    </row>
    <row r="22" spans="1:27" x14ac:dyDescent="0.3">
      <c r="A22" s="3" t="s">
        <v>84</v>
      </c>
      <c r="B22" s="4">
        <f>B24-B23</f>
        <v>-0.50761247905694851</v>
      </c>
      <c r="C22" s="7">
        <f>Number_of_subgroups-1</f>
        <v>1</v>
      </c>
      <c r="D22" s="26" t="e">
        <f>CHIDIST(B22,C22)</f>
        <v>#NUM!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9"/>
      <c r="U22" s="116"/>
      <c r="W22" s="116"/>
      <c r="Y22" s="116"/>
      <c r="AA22" s="116"/>
    </row>
    <row r="23" spans="1:27" x14ac:dyDescent="0.3">
      <c r="A23" s="3" t="s">
        <v>85</v>
      </c>
      <c r="B23" s="4">
        <f>SUM(Calculations!EP:EP)</f>
        <v>1.015224958113897</v>
      </c>
      <c r="C23" s="7">
        <f>Subgroup_k-Number_of_subgroups</f>
        <v>2</v>
      </c>
      <c r="D23" s="26">
        <f>CHIDIST(B23,C23)</f>
        <v>0.60193098743511486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9"/>
      <c r="U23" s="116"/>
      <c r="W23" s="116"/>
      <c r="Y23" s="116"/>
      <c r="AA23" s="116"/>
    </row>
    <row r="24" spans="1:27" x14ac:dyDescent="0.3">
      <c r="A24" s="3" t="s">
        <v>15</v>
      </c>
      <c r="B24" s="4">
        <f>SUMPRODUCT(Calculations!DE:DE,Subgroup_effect_size,Subgroup_effect_size)-SUMPRODUCT(Calculations!DE:DE,Subgroup_effect_size)^2/SUM(Calculations!DE:DE)</f>
        <v>0.50761247905694851</v>
      </c>
      <c r="C24" s="7">
        <f>Subgroup_k-1</f>
        <v>3</v>
      </c>
      <c r="D24" s="26">
        <f t="shared" ref="D24" si="0">CHIDIST(B24,C24)</f>
        <v>0.91721582843947913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9"/>
      <c r="U24" s="116"/>
      <c r="W24" s="116"/>
      <c r="Y24" s="116"/>
      <c r="AA24" s="116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9"/>
      <c r="U25" s="116"/>
      <c r="W25" s="116"/>
      <c r="Y25" s="116"/>
      <c r="AA25" s="116"/>
    </row>
    <row r="26" spans="1:27" ht="13.5" x14ac:dyDescent="0.3">
      <c r="A26" s="3" t="s">
        <v>86</v>
      </c>
      <c r="B26" s="8">
        <f>B22/B24</f>
        <v>-1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9"/>
      <c r="U26" s="116"/>
      <c r="W26" s="116"/>
      <c r="Y26" s="116"/>
      <c r="AA26" s="116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9"/>
      <c r="U27" s="116"/>
      <c r="W27" s="116"/>
      <c r="Y27" s="116"/>
      <c r="AA27" s="116"/>
    </row>
    <row r="28" spans="1:27" x14ac:dyDescent="0.3">
      <c r="A28" s="118" t="s">
        <v>58</v>
      </c>
      <c r="B28" s="118"/>
      <c r="C28" s="118"/>
      <c r="D28" s="118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9"/>
      <c r="U28" s="116"/>
      <c r="W28" s="116"/>
      <c r="Y28" s="116"/>
      <c r="AA28" s="116"/>
    </row>
    <row r="29" spans="1:27" x14ac:dyDescent="0.3">
      <c r="A29" s="120" t="s">
        <v>69</v>
      </c>
      <c r="B29" s="120"/>
      <c r="C29" s="120"/>
      <c r="D29" s="120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9"/>
      <c r="U29" s="116"/>
      <c r="W29" s="116"/>
      <c r="Y29" s="116"/>
      <c r="AA29" s="116"/>
    </row>
    <row r="30" spans="1:27" x14ac:dyDescent="0.3">
      <c r="A30" s="121" t="s">
        <v>59</v>
      </c>
      <c r="B30" s="121"/>
      <c r="C30" s="121"/>
      <c r="D30" s="121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9"/>
      <c r="U30" s="116"/>
      <c r="W30" s="116"/>
      <c r="Y30" s="116"/>
      <c r="AA30" s="116"/>
    </row>
    <row r="31" spans="1:27" x14ac:dyDescent="0.3">
      <c r="A31" s="121" t="s">
        <v>60</v>
      </c>
      <c r="B31" s="121"/>
      <c r="C31" s="121"/>
      <c r="D31" s="121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9"/>
      <c r="U31" s="116"/>
      <c r="W31" s="116"/>
      <c r="Y31" s="116"/>
      <c r="AA31" s="116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9"/>
      <c r="U32" s="116"/>
      <c r="W32" s="116"/>
      <c r="Y32" s="116"/>
      <c r="AA32" s="116"/>
    </row>
    <row r="33" spans="1:27" x14ac:dyDescent="0.3">
      <c r="A33" s="118" t="s">
        <v>87</v>
      </c>
      <c r="B33" s="118"/>
      <c r="C33" s="118"/>
      <c r="D33" s="118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9"/>
      <c r="U33" s="116"/>
      <c r="W33" s="116"/>
      <c r="Y33" s="116"/>
      <c r="AA33" s="116"/>
    </row>
    <row r="34" spans="1:27" x14ac:dyDescent="0.3">
      <c r="A34" s="120" t="str">
        <f>IF(Subgroup_weighting_method="Peto","Peto Odds Ratio","Odds Ratio")</f>
        <v>Odds Ratio</v>
      </c>
      <c r="B34" s="120"/>
      <c r="C34" s="120"/>
      <c r="D34" s="120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9"/>
      <c r="U34" s="116"/>
      <c r="W34" s="116"/>
      <c r="Y34" s="116"/>
      <c r="AA34" s="116"/>
    </row>
    <row r="35" spans="1:27" x14ac:dyDescent="0.3">
      <c r="A35" s="121" t="str">
        <f>IF(Subgroup_weighting_method="Inverse variance","Risk Ratio","")</f>
        <v>Risk Ratio</v>
      </c>
      <c r="B35" s="121"/>
      <c r="C35" s="121"/>
      <c r="D35" s="121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9"/>
      <c r="U35" s="116"/>
      <c r="W35" s="116"/>
      <c r="Y35" s="116"/>
      <c r="AA35" s="116"/>
    </row>
    <row r="36" spans="1:27" x14ac:dyDescent="0.3">
      <c r="A36" s="121" t="str">
        <f>IF(Subgroup_weighting_method="Inverse Variance","Risk Difference","")</f>
        <v>Risk Difference</v>
      </c>
      <c r="B36" s="121"/>
      <c r="C36" s="121"/>
      <c r="D36" s="121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9"/>
      <c r="U36" s="116"/>
      <c r="W36" s="116"/>
      <c r="Y36" s="116"/>
      <c r="AA36" s="116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9"/>
      <c r="U37" s="116"/>
      <c r="W37" s="116"/>
      <c r="Y37" s="116"/>
      <c r="AA37" s="116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9"/>
      <c r="U38" s="116"/>
      <c r="W38" s="116"/>
      <c r="Y38" s="116"/>
      <c r="AA38" s="116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9"/>
      <c r="U39" s="116"/>
      <c r="W39" s="116"/>
      <c r="Y39" s="116"/>
      <c r="AA39" s="116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9"/>
      <c r="U40" s="116"/>
      <c r="W40" s="116"/>
      <c r="Y40" s="116"/>
      <c r="AA40" s="116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9"/>
      <c r="U41" s="116"/>
      <c r="W41" s="116"/>
      <c r="Y41" s="116"/>
      <c r="AA41" s="116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9"/>
      <c r="U42" s="116"/>
      <c r="W42" s="116"/>
      <c r="Y42" s="116"/>
      <c r="AA42" s="116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9"/>
      <c r="U43" s="116"/>
      <c r="W43" s="116"/>
      <c r="Y43" s="116"/>
      <c r="AA43" s="116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9"/>
      <c r="U44" s="116"/>
      <c r="W44" s="116"/>
      <c r="Y44" s="116"/>
      <c r="AA44" s="116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9"/>
      <c r="U45" s="116"/>
      <c r="W45" s="116"/>
      <c r="Y45" s="116"/>
      <c r="AA45" s="116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9"/>
      <c r="U46" s="116"/>
      <c r="W46" s="116"/>
      <c r="Y46" s="116"/>
      <c r="AA46" s="116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9"/>
      <c r="U47" s="116"/>
      <c r="W47" s="116"/>
      <c r="Y47" s="116"/>
      <c r="AA47" s="116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9"/>
      <c r="U48" s="116"/>
      <c r="W48" s="116"/>
      <c r="Y48" s="116"/>
      <c r="AA48" s="116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9"/>
      <c r="U49" s="116"/>
      <c r="W49" s="116"/>
      <c r="Y49" s="116"/>
      <c r="AA49" s="116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9"/>
      <c r="U50" s="116"/>
      <c r="W50" s="116"/>
      <c r="Y50" s="116"/>
      <c r="AA50" s="116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9"/>
      <c r="U51" s="116"/>
      <c r="W51" s="116"/>
      <c r="Y51" s="116"/>
      <c r="AA51" s="116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9"/>
      <c r="U52" s="116"/>
      <c r="W52" s="116"/>
      <c r="Y52" s="116"/>
      <c r="AA52" s="116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9"/>
      <c r="U53" s="116"/>
      <c r="W53" s="116"/>
      <c r="Y53" s="116"/>
      <c r="AA53" s="116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9"/>
      <c r="U54" s="116"/>
      <c r="W54" s="116"/>
      <c r="Y54" s="116"/>
      <c r="AA54" s="116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9"/>
      <c r="U55" s="116"/>
      <c r="W55" s="116"/>
      <c r="Y55" s="116"/>
      <c r="AA55" s="116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9"/>
      <c r="U56" s="116"/>
      <c r="W56" s="116"/>
      <c r="Y56" s="116"/>
      <c r="AA56" s="116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9"/>
      <c r="U57" s="116"/>
      <c r="W57" s="116"/>
      <c r="Y57" s="116"/>
      <c r="AA57" s="116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9"/>
      <c r="U58" s="116"/>
      <c r="W58" s="116"/>
      <c r="Y58" s="116"/>
      <c r="AA58" s="116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9"/>
      <c r="U59" s="116"/>
      <c r="W59" s="116"/>
      <c r="Y59" s="116"/>
      <c r="AA59" s="116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9"/>
      <c r="U60" s="116"/>
      <c r="W60" s="116"/>
      <c r="Y60" s="116"/>
      <c r="AA60" s="116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9"/>
      <c r="U61" s="116"/>
      <c r="W61" s="116"/>
      <c r="Y61" s="116"/>
      <c r="AA61" s="116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9"/>
      <c r="U62" s="116"/>
      <c r="W62" s="116"/>
      <c r="Y62" s="116"/>
      <c r="AA62" s="116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9"/>
      <c r="U63" s="116"/>
      <c r="W63" s="116"/>
      <c r="Y63" s="116"/>
      <c r="AA63" s="116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9"/>
      <c r="U64" s="116"/>
      <c r="W64" s="116"/>
      <c r="Y64" s="116"/>
      <c r="AA64" s="116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9"/>
      <c r="U65" s="116"/>
      <c r="W65" s="116"/>
      <c r="Y65" s="116"/>
      <c r="AA65" s="116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9"/>
      <c r="U66" s="116"/>
      <c r="W66" s="116"/>
      <c r="Y66" s="116"/>
      <c r="AA66" s="116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9"/>
      <c r="U67" s="116"/>
      <c r="W67" s="116"/>
      <c r="Y67" s="116"/>
      <c r="AA67" s="116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9"/>
      <c r="U68" s="116"/>
      <c r="W68" s="116"/>
      <c r="Y68" s="116"/>
      <c r="AA68" s="116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9"/>
      <c r="U69" s="116"/>
      <c r="W69" s="116"/>
      <c r="Y69" s="116"/>
      <c r="AA69" s="116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9"/>
      <c r="U70" s="116"/>
      <c r="W70" s="116"/>
      <c r="Y70" s="116"/>
      <c r="AA70" s="116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9"/>
      <c r="U71" s="116"/>
      <c r="W71" s="116"/>
      <c r="Y71" s="116"/>
      <c r="AA71" s="116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9"/>
      <c r="U72" s="116"/>
      <c r="W72" s="116"/>
      <c r="Y72" s="116"/>
      <c r="AA72" s="116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9"/>
      <c r="U73" s="116"/>
      <c r="W73" s="116"/>
      <c r="Y73" s="116"/>
      <c r="AA73" s="116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9"/>
      <c r="U74" s="116"/>
      <c r="W74" s="116"/>
      <c r="Y74" s="116"/>
      <c r="AA74" s="116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9"/>
      <c r="U75" s="116"/>
      <c r="W75" s="116"/>
      <c r="Y75" s="116"/>
      <c r="AA75" s="116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9"/>
      <c r="U76" s="116"/>
      <c r="W76" s="116"/>
      <c r="Y76" s="116"/>
      <c r="AA76" s="116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9"/>
      <c r="U77" s="116"/>
      <c r="W77" s="116"/>
      <c r="Y77" s="116"/>
      <c r="AA77" s="116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9"/>
      <c r="U78" s="116"/>
      <c r="W78" s="116"/>
      <c r="Y78" s="116"/>
      <c r="AA78" s="116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9"/>
      <c r="U79" s="116"/>
      <c r="W79" s="116"/>
      <c r="Y79" s="116"/>
      <c r="AA79" s="116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9"/>
      <c r="U80" s="116"/>
      <c r="W80" s="116"/>
      <c r="Y80" s="116"/>
      <c r="AA80" s="116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9"/>
      <c r="U81" s="116"/>
      <c r="W81" s="116"/>
      <c r="Y81" s="116"/>
      <c r="AA81" s="116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9"/>
      <c r="U82" s="116"/>
      <c r="W82" s="116"/>
      <c r="Y82" s="116"/>
      <c r="AA82" s="116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9"/>
      <c r="U83" s="116"/>
      <c r="W83" s="116"/>
      <c r="Y83" s="116"/>
      <c r="AA83" s="116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9"/>
      <c r="U84" s="116"/>
      <c r="W84" s="116"/>
      <c r="Y84" s="116"/>
      <c r="AA84" s="116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9"/>
      <c r="U85" s="116"/>
      <c r="W85" s="116"/>
      <c r="Y85" s="116"/>
      <c r="AA85" s="116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9"/>
      <c r="U86" s="116"/>
      <c r="W86" s="116"/>
      <c r="Y86" s="116"/>
      <c r="AA86" s="116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9"/>
      <c r="U87" s="116"/>
      <c r="W87" s="116"/>
      <c r="Y87" s="116"/>
      <c r="AA87" s="116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9"/>
      <c r="U88" s="116"/>
      <c r="W88" s="116"/>
      <c r="Y88" s="116"/>
      <c r="AA88" s="116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9"/>
      <c r="U89" s="116"/>
      <c r="W89" s="116"/>
      <c r="Y89" s="116"/>
      <c r="AA89" s="116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9"/>
      <c r="U90" s="116"/>
      <c r="W90" s="116"/>
      <c r="Y90" s="116"/>
      <c r="AA90" s="116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9"/>
      <c r="U91" s="116"/>
      <c r="W91" s="116"/>
      <c r="Y91" s="116"/>
      <c r="AA91" s="116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9"/>
      <c r="U92" s="116"/>
      <c r="W92" s="116"/>
      <c r="Y92" s="116"/>
      <c r="AA92" s="116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9"/>
      <c r="U93" s="116"/>
      <c r="W93" s="116"/>
      <c r="Y93" s="116"/>
      <c r="AA93" s="116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9"/>
      <c r="U94" s="116"/>
      <c r="W94" s="116"/>
      <c r="Y94" s="116"/>
      <c r="AA94" s="116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9"/>
      <c r="U95" s="116"/>
      <c r="W95" s="116"/>
      <c r="Y95" s="116"/>
      <c r="AA95" s="116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9"/>
      <c r="U96" s="116"/>
      <c r="W96" s="116"/>
      <c r="Y96" s="116"/>
      <c r="AA96" s="116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9"/>
      <c r="U97" s="116"/>
      <c r="W97" s="116"/>
      <c r="Y97" s="116"/>
      <c r="AA97" s="116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9"/>
      <c r="U98" s="116"/>
      <c r="W98" s="116"/>
      <c r="Y98" s="116"/>
      <c r="AA98" s="116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9"/>
      <c r="U99" s="116"/>
      <c r="W99" s="116"/>
      <c r="Y99" s="116"/>
      <c r="AA99" s="116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9"/>
      <c r="U100" s="116"/>
      <c r="W100" s="116"/>
      <c r="Y100" s="116"/>
      <c r="AA100" s="116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9"/>
      <c r="U101" s="116"/>
      <c r="W101" s="116"/>
      <c r="Y101" s="116"/>
      <c r="AA101" s="116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9"/>
      <c r="U102" s="116"/>
      <c r="W102" s="116"/>
      <c r="Y102" s="116"/>
      <c r="AA102" s="116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9"/>
      <c r="U103" s="116"/>
      <c r="W103" s="116"/>
      <c r="Y103" s="116"/>
      <c r="AA103" s="116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9"/>
      <c r="U104" s="116"/>
      <c r="W104" s="116"/>
      <c r="Y104" s="116"/>
      <c r="AA104" s="116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9"/>
      <c r="U105" s="116"/>
      <c r="W105" s="116"/>
      <c r="Y105" s="116"/>
      <c r="AA105" s="116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9"/>
      <c r="U106" s="116"/>
      <c r="W106" s="116"/>
      <c r="Y106" s="116"/>
      <c r="AA106" s="116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9"/>
      <c r="U107" s="116"/>
      <c r="W107" s="116"/>
      <c r="Y107" s="116"/>
      <c r="AA107" s="116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9"/>
      <c r="U108" s="116"/>
      <c r="W108" s="116"/>
      <c r="Y108" s="116"/>
      <c r="AA108" s="116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9"/>
      <c r="U109" s="116"/>
      <c r="W109" s="116"/>
      <c r="Y109" s="116"/>
      <c r="AA109" s="116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9"/>
      <c r="U110" s="116"/>
      <c r="W110" s="116"/>
      <c r="Y110" s="116"/>
      <c r="AA110" s="116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9"/>
      <c r="U111" s="116"/>
      <c r="W111" s="116"/>
      <c r="Y111" s="116"/>
      <c r="AA111" s="116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9"/>
      <c r="U112" s="116"/>
      <c r="W112" s="116"/>
      <c r="Y112" s="116"/>
      <c r="AA112" s="116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9"/>
      <c r="U113" s="116"/>
      <c r="W113" s="116"/>
      <c r="Y113" s="116"/>
      <c r="AA113" s="116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9"/>
      <c r="U114" s="116"/>
      <c r="W114" s="116"/>
      <c r="Y114" s="116"/>
      <c r="AA114" s="116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9"/>
      <c r="U115" s="116"/>
      <c r="W115" s="116"/>
      <c r="Y115" s="116"/>
      <c r="AA115" s="116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9"/>
      <c r="U116" s="116"/>
      <c r="W116" s="116"/>
      <c r="Y116" s="116"/>
      <c r="AA116" s="116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9"/>
      <c r="U117" s="116"/>
      <c r="W117" s="116"/>
      <c r="Y117" s="116"/>
      <c r="AA117" s="116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9"/>
      <c r="U118" s="116"/>
      <c r="W118" s="116"/>
      <c r="Y118" s="116"/>
      <c r="AA118" s="116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9"/>
      <c r="U119" s="116"/>
      <c r="W119" s="116"/>
      <c r="Y119" s="116"/>
      <c r="AA119" s="116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9"/>
      <c r="U120" s="116"/>
      <c r="W120" s="116"/>
      <c r="Y120" s="116"/>
      <c r="AA120" s="116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9"/>
      <c r="U121" s="116"/>
      <c r="W121" s="116"/>
      <c r="Y121" s="116"/>
      <c r="AA121" s="116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9"/>
      <c r="U122" s="116"/>
      <c r="W122" s="116"/>
      <c r="Y122" s="116"/>
      <c r="AA122" s="116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9"/>
      <c r="U123" s="116"/>
      <c r="W123" s="116"/>
      <c r="Y123" s="116"/>
      <c r="AA123" s="116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9"/>
      <c r="U124" s="116"/>
      <c r="W124" s="116"/>
      <c r="Y124" s="116"/>
      <c r="AA124" s="116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9"/>
      <c r="U125" s="116"/>
      <c r="W125" s="116"/>
      <c r="Y125" s="116"/>
      <c r="AA125" s="116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9"/>
      <c r="U126" s="116"/>
      <c r="W126" s="116"/>
      <c r="Y126" s="116"/>
      <c r="AA126" s="116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9"/>
      <c r="U127" s="116"/>
      <c r="W127" s="116"/>
      <c r="Y127" s="116"/>
      <c r="AA127" s="116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9"/>
      <c r="U128" s="116"/>
      <c r="W128" s="116"/>
      <c r="Y128" s="116"/>
      <c r="AA128" s="116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9"/>
      <c r="U129" s="116"/>
      <c r="W129" s="116"/>
      <c r="Y129" s="116"/>
      <c r="AA129" s="116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9"/>
      <c r="U130" s="116"/>
      <c r="W130" s="116"/>
      <c r="Y130" s="116"/>
      <c r="AA130" s="116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9"/>
      <c r="U131" s="116"/>
      <c r="W131" s="116"/>
      <c r="Y131" s="116"/>
      <c r="AA131" s="116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9"/>
      <c r="U132" s="116"/>
      <c r="W132" s="116"/>
      <c r="Y132" s="116"/>
      <c r="AA132" s="116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9"/>
      <c r="U133" s="116"/>
      <c r="W133" s="116"/>
      <c r="Y133" s="116"/>
      <c r="AA133" s="116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9"/>
      <c r="U134" s="116"/>
      <c r="W134" s="116"/>
      <c r="Y134" s="116"/>
      <c r="AA134" s="116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9"/>
      <c r="U135" s="116"/>
      <c r="W135" s="116"/>
      <c r="Y135" s="116"/>
      <c r="AA135" s="116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9"/>
      <c r="U136" s="116"/>
      <c r="W136" s="116"/>
      <c r="Y136" s="116"/>
      <c r="AA136" s="116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9"/>
      <c r="U137" s="116"/>
      <c r="W137" s="116"/>
      <c r="Y137" s="116"/>
      <c r="AA137" s="116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9"/>
      <c r="U138" s="116"/>
      <c r="W138" s="116"/>
      <c r="Y138" s="116"/>
      <c r="AA138" s="116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9"/>
      <c r="U139" s="116"/>
      <c r="W139" s="116"/>
      <c r="Y139" s="116"/>
      <c r="AA139" s="116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9"/>
      <c r="U140" s="116"/>
      <c r="W140" s="116"/>
      <c r="Y140" s="116"/>
      <c r="AA140" s="116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9"/>
      <c r="U141" s="116"/>
      <c r="W141" s="116"/>
      <c r="Y141" s="116"/>
      <c r="AA141" s="116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9"/>
      <c r="U142" s="116"/>
      <c r="W142" s="116"/>
      <c r="Y142" s="116"/>
      <c r="AA142" s="116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9"/>
      <c r="U143" s="116"/>
      <c r="W143" s="116"/>
      <c r="Y143" s="116"/>
      <c r="AA143" s="116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9"/>
      <c r="U144" s="116"/>
      <c r="W144" s="116"/>
      <c r="Y144" s="116"/>
      <c r="AA144" s="116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9"/>
      <c r="U145" s="116"/>
      <c r="W145" s="116"/>
      <c r="Y145" s="116"/>
      <c r="AA145" s="116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9"/>
      <c r="U146" s="116"/>
      <c r="W146" s="116"/>
      <c r="Y146" s="116"/>
      <c r="AA146" s="116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9"/>
      <c r="U147" s="116"/>
      <c r="W147" s="116"/>
      <c r="Y147" s="116"/>
      <c r="AA147" s="116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9"/>
      <c r="U148" s="116"/>
      <c r="W148" s="116"/>
      <c r="Y148" s="116"/>
      <c r="AA148" s="116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9"/>
      <c r="U149" s="116"/>
      <c r="W149" s="116"/>
      <c r="Y149" s="116"/>
      <c r="AA149" s="116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9"/>
      <c r="U150" s="116"/>
      <c r="W150" s="116"/>
      <c r="Y150" s="116"/>
      <c r="AA150" s="116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9"/>
      <c r="U151" s="116"/>
      <c r="W151" s="116"/>
      <c r="Y151" s="116"/>
      <c r="AA151" s="116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9"/>
      <c r="U152" s="116"/>
      <c r="W152" s="116"/>
      <c r="Y152" s="116"/>
      <c r="AA152" s="116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9"/>
      <c r="U153" s="116"/>
      <c r="W153" s="116"/>
      <c r="Y153" s="116"/>
      <c r="AA153" s="116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9"/>
      <c r="U154" s="116"/>
      <c r="W154" s="116"/>
      <c r="Y154" s="116"/>
      <c r="AA154" s="116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9"/>
      <c r="U155" s="116"/>
      <c r="W155" s="116"/>
      <c r="Y155" s="116"/>
      <c r="AA155" s="116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9"/>
      <c r="U156" s="116"/>
      <c r="W156" s="116"/>
      <c r="Y156" s="116"/>
      <c r="AA156" s="116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9"/>
      <c r="U157" s="116"/>
      <c r="W157" s="116"/>
      <c r="Y157" s="116"/>
      <c r="AA157" s="116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9"/>
      <c r="U158" s="116"/>
      <c r="W158" s="116"/>
      <c r="Y158" s="116"/>
      <c r="AA158" s="116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9"/>
      <c r="U159" s="116"/>
      <c r="W159" s="116"/>
      <c r="Y159" s="116"/>
      <c r="AA159" s="116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9"/>
      <c r="U160" s="116"/>
      <c r="W160" s="116"/>
      <c r="Y160" s="116"/>
      <c r="AA160" s="116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9"/>
      <c r="U161" s="116"/>
      <c r="W161" s="116"/>
      <c r="Y161" s="116"/>
      <c r="AA161" s="116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9"/>
      <c r="U162" s="116"/>
      <c r="W162" s="116"/>
      <c r="Y162" s="116"/>
      <c r="AA162" s="116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9"/>
      <c r="U163" s="116"/>
      <c r="W163" s="116"/>
      <c r="Y163" s="116"/>
      <c r="AA163" s="116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9"/>
      <c r="U164" s="116"/>
      <c r="W164" s="116"/>
      <c r="Y164" s="116"/>
      <c r="AA164" s="116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9"/>
      <c r="U165" s="116"/>
      <c r="W165" s="116"/>
      <c r="Y165" s="116"/>
      <c r="AA165" s="116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9"/>
      <c r="U166" s="116"/>
      <c r="W166" s="116"/>
      <c r="Y166" s="116"/>
      <c r="AA166" s="116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9"/>
      <c r="U167" s="116"/>
      <c r="W167" s="116"/>
      <c r="Y167" s="116"/>
      <c r="AA167" s="116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9"/>
      <c r="U168" s="116"/>
      <c r="W168" s="116"/>
      <c r="Y168" s="116"/>
      <c r="AA168" s="116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9"/>
      <c r="U169" s="116"/>
      <c r="W169" s="116"/>
      <c r="Y169" s="116"/>
      <c r="AA169" s="116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9"/>
      <c r="U170" s="116"/>
      <c r="W170" s="116"/>
      <c r="Y170" s="116"/>
      <c r="AA170" s="116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9"/>
      <c r="U171" s="116"/>
      <c r="W171" s="116"/>
      <c r="Y171" s="116"/>
      <c r="AA171" s="116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9"/>
      <c r="U172" s="116"/>
      <c r="W172" s="116"/>
      <c r="Y172" s="116"/>
      <c r="AA172" s="116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9"/>
      <c r="U173" s="116"/>
      <c r="W173" s="116"/>
      <c r="Y173" s="116"/>
      <c r="AA173" s="116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9"/>
      <c r="U174" s="116"/>
      <c r="W174" s="116"/>
      <c r="Y174" s="116"/>
      <c r="AA174" s="116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9"/>
      <c r="U175" s="116"/>
      <c r="W175" s="116"/>
      <c r="Y175" s="116"/>
      <c r="AA175" s="116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9"/>
      <c r="U176" s="116"/>
      <c r="W176" s="116"/>
      <c r="Y176" s="116"/>
      <c r="AA176" s="116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9"/>
      <c r="U177" s="116"/>
      <c r="W177" s="116"/>
      <c r="Y177" s="116"/>
      <c r="AA177" s="116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9"/>
      <c r="U178" s="116"/>
      <c r="W178" s="116"/>
      <c r="Y178" s="116"/>
      <c r="AA178" s="116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9"/>
      <c r="U179" s="116"/>
      <c r="W179" s="116"/>
      <c r="Y179" s="116"/>
      <c r="AA179" s="116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9"/>
      <c r="U180" s="116"/>
      <c r="W180" s="116"/>
      <c r="Y180" s="116"/>
      <c r="AA180" s="116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9"/>
      <c r="U181" s="116"/>
      <c r="W181" s="116"/>
      <c r="Y181" s="116"/>
      <c r="AA181" s="116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9"/>
      <c r="U182" s="116"/>
      <c r="W182" s="116"/>
      <c r="Y182" s="116"/>
      <c r="AA182" s="116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9"/>
      <c r="U183" s="116"/>
      <c r="W183" s="116"/>
      <c r="Y183" s="116"/>
      <c r="AA183" s="116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9"/>
      <c r="U184" s="116"/>
      <c r="W184" s="116"/>
      <c r="Y184" s="116"/>
      <c r="AA184" s="116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9"/>
      <c r="U185" s="116"/>
      <c r="W185" s="116"/>
      <c r="Y185" s="116"/>
      <c r="AA185" s="116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9"/>
      <c r="U186" s="116"/>
      <c r="W186" s="116"/>
      <c r="Y186" s="116"/>
      <c r="AA186" s="116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9"/>
      <c r="U187" s="116"/>
      <c r="W187" s="116"/>
      <c r="Y187" s="116"/>
      <c r="AA187" s="116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9"/>
      <c r="U188" s="116"/>
      <c r="W188" s="116"/>
      <c r="Y188" s="116"/>
      <c r="AA188" s="116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9"/>
      <c r="U189" s="116"/>
      <c r="W189" s="116"/>
      <c r="Y189" s="116"/>
      <c r="AA189" s="116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9"/>
      <c r="U190" s="116"/>
      <c r="W190" s="116"/>
      <c r="Y190" s="116"/>
      <c r="AA190" s="116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9"/>
      <c r="U191" s="116"/>
      <c r="W191" s="116"/>
      <c r="Y191" s="116"/>
      <c r="AA191" s="116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9"/>
      <c r="U192" s="116"/>
      <c r="W192" s="116"/>
      <c r="Y192" s="116"/>
      <c r="AA192" s="116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9"/>
      <c r="U193" s="116"/>
      <c r="W193" s="116"/>
      <c r="Y193" s="116"/>
      <c r="AA193" s="116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9"/>
      <c r="U194" s="116"/>
      <c r="W194" s="116"/>
      <c r="Y194" s="116"/>
      <c r="AA194" s="116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9"/>
      <c r="U195" s="116"/>
      <c r="W195" s="116"/>
      <c r="Y195" s="116"/>
      <c r="AA195" s="116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9"/>
      <c r="U196" s="116"/>
      <c r="W196" s="116"/>
      <c r="Y196" s="116"/>
      <c r="AA196" s="116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9"/>
      <c r="U197" s="116"/>
      <c r="W197" s="116"/>
      <c r="Y197" s="116"/>
      <c r="AA197" s="116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9"/>
      <c r="U198" s="116"/>
      <c r="W198" s="116"/>
      <c r="Y198" s="116"/>
      <c r="AA198" s="116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9"/>
      <c r="U199" s="116"/>
      <c r="W199" s="116"/>
      <c r="Y199" s="116"/>
      <c r="AA199" s="116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9"/>
      <c r="U200" s="116"/>
      <c r="W200" s="116"/>
      <c r="Y200" s="116"/>
      <c r="AA200" s="116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0"/>
      <c r="U201" s="117"/>
      <c r="W201" s="117"/>
      <c r="Y201" s="117"/>
      <c r="AA201" s="117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8" t="s">
        <v>21</v>
      </c>
      <c r="B1" s="118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8" t="s">
        <v>58</v>
      </c>
      <c r="B9" s="118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0" t="s">
        <v>69</v>
      </c>
      <c r="B10" s="120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1" t="s">
        <v>59</v>
      </c>
      <c r="B11" s="121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1" t="s">
        <v>60</v>
      </c>
      <c r="B12" s="121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8" t="s">
        <v>87</v>
      </c>
      <c r="B14" s="118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0" t="str">
        <f>IF(Moderator_weighting_method="Peto","Log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1" t="str">
        <f>IF(Moderator_weighting_method="Inverse variance","Log Risk Ratio","")</f>
        <v>Log Risk Ratio</v>
      </c>
      <c r="B16" s="121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1" t="str">
        <f>IF(Moderator_weighting_method="Inverse Variance","Risk Difference","")</f>
        <v>Risk Difference</v>
      </c>
      <c r="B17" s="121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98" zoomScaleNormal="100" workbookViewId="0">
      <pane ySplit="1" topLeftCell="A2" activePane="bottomLeft" state="frozen"/>
      <selection pane="bottomLeft" activeCell="D3" sqref="D3:F6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18" t="s">
        <v>104</v>
      </c>
      <c r="P1" s="118"/>
      <c r="Q1" s="118"/>
      <c r="R1" s="118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16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16" t="s">
        <v>115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16" t="s">
        <v>116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16" t="s">
        <v>117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16" t="s">
        <v>118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16" t="s">
        <v>119</v>
      </c>
      <c r="BR2" s="133" t="s">
        <v>120</v>
      </c>
      <c r="BS2" s="133"/>
      <c r="BT2" s="116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Neumann et al.</v>
      </c>
      <c r="E3" s="3">
        <f t="shared" si="1"/>
        <v>9.720036087933101E-2</v>
      </c>
      <c r="F3" s="3">
        <f t="shared" si="2"/>
        <v>0.18012199877362975</v>
      </c>
      <c r="M3" s="116"/>
      <c r="O3" s="3" t="s">
        <v>96</v>
      </c>
      <c r="P3" s="4">
        <f>IF(Additional_valid_options="Yes",INTERCEPT(Z_score,Inverse_standard_error),NA())</f>
        <v>1.6418512191613344</v>
      </c>
      <c r="Q3" s="4">
        <f>IF(Additional_valid_options="Yes",Q4*SQRT(1/k_*SUMPRODUCT(Inverse_standard_error,Inverse_standard_error)),NA())</f>
        <v>2.6331541724950065</v>
      </c>
      <c r="R3" s="4">
        <f>P3-ABS(TINV((1-Additional_confidence_level),k_-1))*Q3</f>
        <v>-6.7380205483377784</v>
      </c>
      <c r="S3" s="4">
        <f>P3+ABS(TINV((1-Additional_confidence_level),k_-1))*Q3</f>
        <v>10.021722986660446</v>
      </c>
      <c r="T3" s="116"/>
      <c r="V3" s="76" t="str">
        <f t="shared" si="3"/>
        <v>Neumann et al.</v>
      </c>
      <c r="W3" s="35">
        <f>IF(AND(Include_study?="Yes",Sufficient_data="Yes"),((E:E-I$29)*SQRT(Calculations!FU:FU))/SQRT(1-Calculations!FU:FU/SUM(Calculations!FU:FU)),"")</f>
        <v>0.46589464981355189</v>
      </c>
      <c r="AE3" s="116"/>
      <c r="AG3" s="76" t="str">
        <f t="shared" si="4"/>
        <v>Neumann et al.</v>
      </c>
      <c r="AH3" s="3">
        <f t="shared" si="5"/>
        <v>4.7400611620795105E-2</v>
      </c>
      <c r="AI3" s="35">
        <f t="shared" si="6"/>
        <v>5.1987767584097858E-2</v>
      </c>
      <c r="AR3" s="116"/>
      <c r="AT3" s="76" t="str">
        <f t="shared" si="7"/>
        <v>Neumann et al.</v>
      </c>
      <c r="AU3" s="3">
        <f t="shared" si="8"/>
        <v>5.5517927116540644</v>
      </c>
      <c r="AV3" s="35">
        <f t="shared" si="9"/>
        <v>0.53963625510001478</v>
      </c>
      <c r="BC3" s="116"/>
      <c r="BE3" s="76" t="str">
        <f t="shared" si="10"/>
        <v>Neumann et al.</v>
      </c>
      <c r="BF3" s="3">
        <f>IF(AND(Include_study?="Yes",Sufficient_data="Yes"),NORMSINV(Calculations!IW3),"")</f>
        <v>1.020076232786199</v>
      </c>
      <c r="BG3" s="35">
        <f t="shared" si="11"/>
        <v>0.53963625510001478</v>
      </c>
      <c r="BP3" s="116"/>
      <c r="BR3" s="3" t="s">
        <v>122</v>
      </c>
      <c r="BS3" s="4">
        <f>SUM(Calculations!JH:JH)/SQRT(k_)</f>
        <v>0.29641851198430075</v>
      </c>
      <c r="BT3" s="116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Quan et al.</v>
      </c>
      <c r="E4" s="3">
        <f t="shared" si="1"/>
        <v>4.561503819756367E-2</v>
      </c>
      <c r="F4" s="3">
        <f t="shared" si="2"/>
        <v>0.21360886178986249</v>
      </c>
      <c r="M4" s="116"/>
      <c r="O4" s="3" t="s">
        <v>123</v>
      </c>
      <c r="P4" s="4">
        <f>IF(Additional_valid_options="Yes",SLOPE(Z_score,Inverse_standard_error),NA())</f>
        <v>-0.27247768462108002</v>
      </c>
      <c r="Q4" s="4">
        <f>IF(Additional_valid_options="Yes",SQRT(((1/(k_-2))*SUMPRODUCT(Calculations!HM:HM,Calculations!HM:HM))/SUMPRODUCT(Calculations!HL:HL,Calculations!HL:HL)),NA())</f>
        <v>0.47850946702222458</v>
      </c>
      <c r="R4" s="4">
        <f>P4-ABS(TINV((1-Additional_confidence_level),k_-1))*Q4</f>
        <v>-1.7953083699892347</v>
      </c>
      <c r="S4" s="4">
        <f>P4+ABS(TINV((1-Additional_confidence_level),k_-1))*Q4</f>
        <v>1.2503530007470749</v>
      </c>
      <c r="T4" s="116"/>
      <c r="V4" s="76" t="str">
        <f t="shared" si="3"/>
        <v>Quan et al.</v>
      </c>
      <c r="W4" s="35">
        <f>IF(AND(Include_study?="Yes",Sufficient_data="Yes"),((E:E-I$29)*SQRT(Calculations!FU:FU))/SQRT(1-Calculations!FU:FU/SUM(Calculations!FU:FU)),"")</f>
        <v>0.10797020010294259</v>
      </c>
      <c r="AE4" s="116"/>
      <c r="AG4" s="76" t="str">
        <f t="shared" si="4"/>
        <v>Quan et al.</v>
      </c>
      <c r="AH4" s="3">
        <f t="shared" si="5"/>
        <v>4.5685279187817257E-2</v>
      </c>
      <c r="AI4" s="35">
        <f t="shared" si="6"/>
        <v>4.7715736040609136E-2</v>
      </c>
      <c r="AR4" s="116"/>
      <c r="AT4" s="76" t="str">
        <f t="shared" si="7"/>
        <v>Quan et al.</v>
      </c>
      <c r="AU4" s="3">
        <f t="shared" si="8"/>
        <v>4.6814537169518227</v>
      </c>
      <c r="AV4" s="35">
        <f t="shared" si="9"/>
        <v>0.21354469011888383</v>
      </c>
      <c r="BC4" s="116"/>
      <c r="BE4" s="76" t="str">
        <f t="shared" si="10"/>
        <v>Quan et al.</v>
      </c>
      <c r="BF4" s="3">
        <f>IF(AND(Include_study?="Yes",Sufficient_data="Yes"),NORMSINV(Calculations!IW4),"")</f>
        <v>-0.29338123212119332</v>
      </c>
      <c r="BG4" s="35">
        <f t="shared" si="11"/>
        <v>0.21354469011888383</v>
      </c>
      <c r="BP4" s="116"/>
      <c r="BR4" s="3" t="s">
        <v>124</v>
      </c>
      <c r="BS4" s="7">
        <f>MAX(0,ROUNDUP(k_*(BS3/NORMSINV((1-Additional_confidence_level)))^2-k_,0))</f>
        <v>0</v>
      </c>
      <c r="BT4" s="116"/>
    </row>
    <row r="5" spans="1:72" x14ac:dyDescent="0.3">
      <c r="D5" s="44" t="str">
        <f t="shared" si="0"/>
        <v>Quan et al.</v>
      </c>
      <c r="E5" s="3">
        <f t="shared" si="1"/>
        <v>4.5248274300222172E-2</v>
      </c>
      <c r="F5" s="3">
        <f t="shared" si="2"/>
        <v>0.17370587734913909</v>
      </c>
      <c r="M5" s="116"/>
      <c r="T5" s="116"/>
      <c r="V5" s="76" t="str">
        <f t="shared" si="3"/>
        <v>Quan et al.</v>
      </c>
      <c r="W5" s="35">
        <f>IF(AND(Include_study?="Yes",Sufficient_data="Yes"),((E:E-I$29)*SQRT(Calculations!FU:FU))/SQRT(1-Calculations!FU:FU/SUM(Calculations!FU:FU)),"")</f>
        <v>0.13851108590525082</v>
      </c>
      <c r="AE5" s="116"/>
      <c r="AG5" s="76" t="str">
        <f t="shared" si="4"/>
        <v>Quan et al.</v>
      </c>
      <c r="AH5" s="3">
        <f t="shared" si="5"/>
        <v>7.1065989847715741E-2</v>
      </c>
      <c r="AI5" s="35">
        <f t="shared" si="6"/>
        <v>7.4111675126903559E-2</v>
      </c>
      <c r="AR5" s="116"/>
      <c r="AT5" s="76" t="str">
        <f t="shared" si="7"/>
        <v>Quan et al.</v>
      </c>
      <c r="AU5" s="3">
        <f t="shared" si="8"/>
        <v>5.7568575989519113</v>
      </c>
      <c r="AV5" s="35">
        <f t="shared" si="9"/>
        <v>0.26048787174469445</v>
      </c>
      <c r="BC5" s="116"/>
      <c r="BE5" s="76" t="str">
        <f t="shared" si="10"/>
        <v>Quan et al.</v>
      </c>
      <c r="BF5" s="3">
        <f>IF(AND(Include_study?="Yes",Sufficient_data="Yes"),NORMSINV(Calculations!IW5),"")</f>
        <v>0.29338123212119344</v>
      </c>
      <c r="BG5" s="35">
        <f t="shared" si="11"/>
        <v>0.26048787174469445</v>
      </c>
      <c r="BP5" s="116"/>
      <c r="BR5" s="3" t="s">
        <v>125</v>
      </c>
      <c r="BS5" s="4" t="b">
        <f>BS4&lt;5*k_+10</f>
        <v>1</v>
      </c>
      <c r="BT5" s="116"/>
    </row>
    <row r="6" spans="1:72" x14ac:dyDescent="0.3">
      <c r="A6" s="3" t="s">
        <v>26</v>
      </c>
      <c r="B6" s="5" t="s">
        <v>89</v>
      </c>
      <c r="D6" s="44" t="str">
        <f t="shared" si="0"/>
        <v>Quan et al.</v>
      </c>
      <c r="E6" s="3">
        <f t="shared" si="1"/>
        <v>-7.0886350479830787E-2</v>
      </c>
      <c r="F6" s="3">
        <f t="shared" si="2"/>
        <v>0.16844342955969202</v>
      </c>
      <c r="M6" s="116"/>
      <c r="O6" s="3" t="s">
        <v>126</v>
      </c>
      <c r="P6" s="4">
        <f>P3/Q3</f>
        <v>0.62353022709856076</v>
      </c>
      <c r="T6" s="116"/>
      <c r="V6" s="76" t="str">
        <f t="shared" si="3"/>
        <v>Quan et al.</v>
      </c>
      <c r="W6" s="35">
        <f>IF(AND(Include_study?="Yes",Sufficient_data="Yes"),((E:E-I$29)*SQRT(Calculations!FU:FU))/SQRT(1-Calculations!FU:FU/SUM(Calculations!FU:FU)),"")</f>
        <v>-0.6742231730004401</v>
      </c>
      <c r="AE6" s="116"/>
      <c r="AG6" s="76" t="str">
        <f t="shared" si="4"/>
        <v>Quan et al.</v>
      </c>
      <c r="AH6" s="3">
        <f t="shared" si="5"/>
        <v>8.0203045685279181E-2</v>
      </c>
      <c r="AI6" s="35">
        <f t="shared" si="6"/>
        <v>7.5126903553299498E-2</v>
      </c>
      <c r="AR6" s="116"/>
      <c r="AT6" s="76" t="str">
        <f t="shared" si="7"/>
        <v>Quan et al.</v>
      </c>
      <c r="AU6" s="3">
        <f t="shared" si="8"/>
        <v>5.9367112306724064</v>
      </c>
      <c r="AV6" s="35">
        <f t="shared" si="9"/>
        <v>-0.42083179299499174</v>
      </c>
      <c r="BC6" s="116"/>
      <c r="BE6" s="76" t="str">
        <f t="shared" si="10"/>
        <v>Quan et al.</v>
      </c>
      <c r="BF6" s="3">
        <f>IF(AND(Include_study?="Yes",Sufficient_data="Yes"),NORMSINV(Calculations!IW6),"")</f>
        <v>-1.020076232786199</v>
      </c>
      <c r="BG6" s="35">
        <f t="shared" si="11"/>
        <v>-0.42083179299499174</v>
      </c>
      <c r="BP6" s="116"/>
      <c r="BT6" s="116"/>
    </row>
    <row r="7" spans="1:72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6"/>
      <c r="O7" s="3" t="s">
        <v>95</v>
      </c>
      <c r="P7" s="26">
        <f>TDIST(ABS(P6),k_-2,2)</f>
        <v>0.59656968373924191</v>
      </c>
      <c r="T7" s="116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6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6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6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6"/>
      <c r="BR7" s="118" t="s">
        <v>127</v>
      </c>
      <c r="BS7" s="118"/>
      <c r="BT7" s="116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6"/>
      <c r="T8" s="116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6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6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6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6"/>
      <c r="BR8" s="3" t="s">
        <v>128</v>
      </c>
      <c r="BS8" s="7">
        <f>MAX(0,ROUNDUP((k_*(1-MAX(Calculations!JI:JI))-1)/MAX(Calculations!JI:JI),0))</f>
        <v>4</v>
      </c>
      <c r="BT8" s="116"/>
    </row>
    <row r="9" spans="1:72" x14ac:dyDescent="0.3">
      <c r="A9" s="118" t="s">
        <v>58</v>
      </c>
      <c r="B9" s="118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6"/>
      <c r="O9" s="118" t="s">
        <v>129</v>
      </c>
      <c r="P9" s="118"/>
      <c r="T9" s="116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6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6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6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6"/>
      <c r="BT9" s="116"/>
    </row>
    <row r="10" spans="1:72" ht="13" x14ac:dyDescent="0.35">
      <c r="A10" s="120" t="s">
        <v>69</v>
      </c>
      <c r="B10" s="120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16"/>
      <c r="O10" s="3" t="s">
        <v>130</v>
      </c>
      <c r="P10" s="4">
        <f>IF(Additional_valid_options="Yes",SUM(Calculations!HT:HT)/2-SUM(Calculations!HU:HU)/2,NA())</f>
        <v>2</v>
      </c>
      <c r="T10" s="116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16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16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16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16"/>
      <c r="BR10" s="118" t="s">
        <v>131</v>
      </c>
      <c r="BS10" s="118"/>
      <c r="BT10" s="116"/>
    </row>
    <row r="11" spans="1:72" x14ac:dyDescent="0.3">
      <c r="A11" s="121" t="s">
        <v>59</v>
      </c>
      <c r="B11" s="121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16"/>
      <c r="O11" s="3" t="s">
        <v>132</v>
      </c>
      <c r="P11" s="4">
        <f>IF(Additional_valid_options="Yes",(SUM(Calculations!HT:HT)/2-SUM(Calculations!HU:HU)/2)/(1/2*k_*(k_-1)),NA())</f>
        <v>0.33333333333333331</v>
      </c>
      <c r="T11" s="116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6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6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6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6"/>
      <c r="BR11" s="3" t="s">
        <v>100</v>
      </c>
      <c r="BS11" s="4">
        <f>I29</f>
        <v>2.4742198365482648E-2</v>
      </c>
      <c r="BT11" s="116"/>
    </row>
    <row r="12" spans="1:72" ht="13" x14ac:dyDescent="0.35">
      <c r="A12" s="121" t="s">
        <v>60</v>
      </c>
      <c r="B12" s="121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6"/>
      <c r="O12" s="3" t="s">
        <v>133</v>
      </c>
      <c r="P12" s="4">
        <f>P10/SQRT((k_*(k_-1)*(2*k_+5)/18))</f>
        <v>0.67936622048675743</v>
      </c>
      <c r="T12" s="116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6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6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6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6"/>
      <c r="BR12" s="3" t="s">
        <v>134</v>
      </c>
      <c r="BS12" s="5">
        <v>0</v>
      </c>
      <c r="BT12" s="116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6"/>
      <c r="O13" s="3" t="s">
        <v>83</v>
      </c>
      <c r="P13" s="26">
        <f>2*(1-NORMSDIST(ABS(P12)))</f>
        <v>0.49690584756476786</v>
      </c>
      <c r="T13" s="116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6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6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6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6"/>
      <c r="BR13" s="3" t="s">
        <v>135</v>
      </c>
      <c r="BS13" s="5">
        <v>-0.69</v>
      </c>
      <c r="BT13" s="116"/>
    </row>
    <row r="14" spans="1:72" x14ac:dyDescent="0.3">
      <c r="A14" s="118" t="s">
        <v>87</v>
      </c>
      <c r="B14" s="118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6"/>
      <c r="T14" s="116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6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6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6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6"/>
      <c r="BR14" s="3" t="s">
        <v>124</v>
      </c>
      <c r="BS14" s="7">
        <f>MAX(0,ROUNDUP(k_*(BS11-BS12)/(BS12-BS13),0))</f>
        <v>1</v>
      </c>
      <c r="BT14" s="116"/>
    </row>
    <row r="15" spans="1:72" x14ac:dyDescent="0.3">
      <c r="A15" s="120" t="str">
        <f>IF(Additional_weighting_method="Peto","Log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6"/>
      <c r="T15" s="116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6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6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6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6"/>
      <c r="BT15" s="116"/>
    </row>
    <row r="16" spans="1:72" x14ac:dyDescent="0.3">
      <c r="A16" s="121" t="str">
        <f>IF(Additional_weighting_method="Inverse variance","Log Risk Ratio","")</f>
        <v>Log Risk Ratio</v>
      </c>
      <c r="B16" s="121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6"/>
      <c r="T16" s="116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6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6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6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6"/>
      <c r="BR16" s="118" t="s">
        <v>136</v>
      </c>
      <c r="BS16" s="118"/>
      <c r="BT16" s="116"/>
    </row>
    <row r="17" spans="1:72" x14ac:dyDescent="0.3">
      <c r="A17" s="121" t="str">
        <f>IF(Additional_weighting_method="Inverse Variance","Risk Difference","")</f>
        <v>Risk Difference</v>
      </c>
      <c r="B17" s="121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6"/>
      <c r="T17" s="116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6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6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6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6"/>
      <c r="BR17" s="3" t="s">
        <v>124</v>
      </c>
      <c r="BS17" s="7">
        <f>MAX(0,ROUNDUP(-2*SUM(Calculations!JJ:JJ),0))</f>
        <v>9</v>
      </c>
      <c r="BT17" s="116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6"/>
      <c r="T18" s="116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6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6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6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6"/>
      <c r="BR18" s="3" t="s">
        <v>137</v>
      </c>
      <c r="BS18" s="26">
        <f>CHIDIST(BS17,k_*2)</f>
        <v>0.34229595583459105</v>
      </c>
      <c r="BT18" s="116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6"/>
      <c r="T19" s="116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6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6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6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6"/>
      <c r="BT19" s="116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6"/>
      <c r="T20" s="116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6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6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6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6"/>
      <c r="BT20" s="116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6"/>
      <c r="T21" s="116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6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6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6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6"/>
      <c r="BT21" s="116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6"/>
      <c r="T22" s="116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6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6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6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6"/>
      <c r="BT22" s="116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6"/>
      <c r="T23" s="116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6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6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6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6"/>
      <c r="BT23" s="116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6"/>
      <c r="T24" s="116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6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6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6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6"/>
      <c r="BT24" s="116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6"/>
      <c r="T25" s="116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6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6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6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6"/>
      <c r="BT25" s="116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6"/>
      <c r="T26" s="116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6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6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6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6"/>
      <c r="BT26" s="116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6"/>
      <c r="T27" s="116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6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6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6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6"/>
      <c r="BT27" s="116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18" t="s">
        <v>54</v>
      </c>
      <c r="L28" s="118"/>
      <c r="M28" s="116"/>
      <c r="T28" s="116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6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6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1" t="s">
        <v>139</v>
      </c>
      <c r="AY28" s="131"/>
      <c r="AZ28" s="131"/>
      <c r="BA28" s="131"/>
      <c r="BB28" s="134"/>
      <c r="BC28" s="116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1" t="s">
        <v>139</v>
      </c>
      <c r="BJ28" s="131"/>
      <c r="BK28" s="131"/>
      <c r="BL28" s="131"/>
      <c r="BM28" s="131"/>
      <c r="BP28" s="116"/>
      <c r="BT28" s="116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2.4742198365482648E-2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0.50761247905694851</v>
      </c>
      <c r="M29" s="116"/>
      <c r="T29" s="116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16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6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16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16"/>
      <c r="BT29" s="116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9.0862409808845329E-2</v>
      </c>
      <c r="K30" s="3" t="s">
        <v>56</v>
      </c>
      <c r="L30" s="26">
        <f>IF(Additional_valid_options="Yes",CHIDIST(L29,k_-1+IF(Trim_and_fill="On",L39,0)),"")</f>
        <v>0.91721582843947913</v>
      </c>
      <c r="M30" s="116"/>
      <c r="T30" s="116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6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6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16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0.14820925599215035</v>
      </c>
      <c r="BK30" s="4">
        <f>BK31*SQRT(1/k_*SUMPRODUCT(BF:BF,BF:BF))</f>
        <v>8.3536171166915169E-2</v>
      </c>
      <c r="BL30" s="4">
        <f>BJ30-ABS(TINV((1-Additional_confidence_level),k_-1))*BK30</f>
        <v>-0.11764012329554624</v>
      </c>
      <c r="BM30" s="4">
        <f>BJ30+ABS(TINV((1-Additional_confidence_level),k_-1))*BK30</f>
        <v>0.41405863527984693</v>
      </c>
      <c r="BP30" s="116"/>
      <c r="BT30" s="116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-0.26442254201985133</v>
      </c>
      <c r="K31" s="3" t="s">
        <v>57</v>
      </c>
      <c r="L31" s="8">
        <f>IF(Additional_valid_options="Yes",IF(L29-(k_-1+IF(Trim_and_fill="On",L39,0))&lt;=0,0,(L29-(k_-1+IF(Trim_and_fill="On",L39,0)))/L29),"")</f>
        <v>0</v>
      </c>
      <c r="M31" s="116"/>
      <c r="T31" s="116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0</v>
      </c>
      <c r="AA31" s="4">
        <f>NORMSDIST(Calculations!HZ2)</f>
        <v>0.24196365222307298</v>
      </c>
      <c r="AE31" s="116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6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2.4742198365482648E-2</v>
      </c>
      <c r="AZ31" s="4">
        <f>I30</f>
        <v>9.0862409808845329E-2</v>
      </c>
      <c r="BA31" s="4">
        <f>AY31-ABS(TINV((1-Additional_confidence_level),k_-1))*AZ31</f>
        <v>-0.26442254201985133</v>
      </c>
      <c r="BB31" s="4">
        <f>AY31+ABS(TINV((1-Additional_confidence_level),k_-1))*AZ31</f>
        <v>0.3139069387508166</v>
      </c>
      <c r="BC31" s="116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0.44092762502866556</v>
      </c>
      <c r="BK31" s="4">
        <f>SQRT(((1/(k_-2))*SUMPRODUCT(Calculations!JA:JA,Calculations!JA:JA))/SUMPRODUCT(Calculations!IZ:IZ,Calculations!IZ:IZ))</f>
        <v>0.111301054809033</v>
      </c>
      <c r="BL31" s="4">
        <f>BJ31-ABS(TINV((1-Additional_confidence_level),k_-1))*BK31</f>
        <v>8.6717994377479013E-2</v>
      </c>
      <c r="BM31" s="4">
        <f>BJ31+ABS(TINV((1-Additional_confidence_level),k_-1))*BK31</f>
        <v>0.79513725567985216</v>
      </c>
      <c r="BP31" s="116"/>
      <c r="BT31" s="116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0.3139069387508166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6"/>
      <c r="T32" s="116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0.25</v>
      </c>
      <c r="AA32" s="4">
        <f>NORMSDIST(Calculations!HZ3)-(SUM(AA$31:AA31))</f>
        <v>6.6573886502913904E-2</v>
      </c>
      <c r="AE32" s="116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1" t="s">
        <v>100</v>
      </c>
      <c r="AL32" s="131"/>
      <c r="AM32" s="131"/>
      <c r="AR32" s="116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6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6"/>
      <c r="BT32" s="116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-0.26442254201985133</v>
      </c>
      <c r="K33" s="3" t="s">
        <v>67</v>
      </c>
      <c r="L33" s="4">
        <f>IF(Additional_valid_options="Yes",SQRT(L32),"")</f>
        <v>0</v>
      </c>
      <c r="M33" s="116"/>
      <c r="T33" s="116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0</v>
      </c>
      <c r="AA33" s="4">
        <f>NORMSDIST(Calculations!HZ4)-(SUM(AA$31:AA32))</f>
        <v>7.3551039085060443E-2</v>
      </c>
      <c r="AE33" s="116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2" t="s">
        <v>144</v>
      </c>
      <c r="AL33" s="132"/>
      <c r="AM33" s="132"/>
      <c r="AR33" s="116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6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16"/>
      <c r="BT33" s="116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0.3139069387508166</v>
      </c>
      <c r="M34" s="116"/>
      <c r="T34" s="116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0</v>
      </c>
      <c r="AA34" s="4">
        <f>NORMSDIST(Calculations!HZ5)-(SUM(AA$31:AA33))</f>
        <v>7.8083584911923687E-2</v>
      </c>
      <c r="AE34" s="116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1.022754521608173</v>
      </c>
      <c r="AR34" s="116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6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6"/>
      <c r="BT34" s="116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6"/>
      <c r="T35" s="116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</v>
      </c>
      <c r="AA35" s="4">
        <f>NORMSDIST(Calculations!HZ6)-(SUM(AA$31:AA34))</f>
        <v>7.9655674554057976E-2</v>
      </c>
      <c r="AE35" s="116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6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6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6"/>
      <c r="BT35" s="116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16"/>
      <c r="T36" s="116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0.5</v>
      </c>
      <c r="AA36" s="4">
        <f>NORMSDIST(Calculations!HZ7)-(SUM(AA$31:AA35))</f>
        <v>7.8083584911923687E-2</v>
      </c>
      <c r="AE36" s="116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6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6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6"/>
      <c r="BT36" s="116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2.4742198365482648E-2</v>
      </c>
      <c r="K37" s="3" t="s">
        <v>151</v>
      </c>
      <c r="L37" s="5" t="s">
        <v>152</v>
      </c>
      <c r="M37" s="116"/>
      <c r="T37" s="116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0.25</v>
      </c>
      <c r="AA37" s="4">
        <f>NORMSDIST(Calculations!HZ8)-(SUM(AA$31:AA36))</f>
        <v>7.3551039085060443E-2</v>
      </c>
      <c r="AE37" s="116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6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6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6"/>
      <c r="BT37" s="116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9.0862409808845329E-2</v>
      </c>
      <c r="K38" s="3" t="s">
        <v>153</v>
      </c>
      <c r="L38" s="91" t="str">
        <f>IF(Trim_and_fill="Off","",IF(I29&gt;0,"Left",IF(I29&lt;0,"Right","NA")))</f>
        <v>Left</v>
      </c>
      <c r="M38" s="116"/>
      <c r="T38" s="116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</v>
      </c>
      <c r="AA38" s="4">
        <f>NORMSDIST(Calculations!HZ9)-(SUM(AA$31:AA37))</f>
        <v>6.6573886502913848E-2</v>
      </c>
      <c r="AE38" s="116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6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6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6"/>
      <c r="BT38" s="116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-0.26442254201985133</v>
      </c>
      <c r="K39" s="3" t="s">
        <v>154</v>
      </c>
      <c r="L39" s="7">
        <f>IF(L38&lt;&gt;"",Calculations!GW21,"")</f>
        <v>0</v>
      </c>
      <c r="M39" s="116"/>
      <c r="T39" s="116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</v>
      </c>
      <c r="AA39" s="4">
        <f>1-(SUM(AA31:AA38))</f>
        <v>0.24196365222307303</v>
      </c>
      <c r="AE39" s="116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6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6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6"/>
      <c r="BT39" s="116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0.3139069387508166</v>
      </c>
      <c r="M40" s="116"/>
      <c r="T40" s="116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6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6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6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6"/>
      <c r="BT40" s="116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-0.26442254201985133</v>
      </c>
      <c r="M41" s="116"/>
      <c r="T41" s="116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16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6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6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6"/>
      <c r="BT41" s="116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0.3139069387508166</v>
      </c>
      <c r="M42" s="116"/>
      <c r="T42" s="116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6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6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6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6"/>
      <c r="BT42" s="116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6"/>
      <c r="T43" s="116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6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6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6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6"/>
      <c r="BT43" s="116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6"/>
      <c r="T44" s="116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6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6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6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6"/>
      <c r="BT44" s="116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6"/>
      <c r="T45" s="116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6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6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6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6"/>
      <c r="BT45" s="116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6"/>
      <c r="T46" s="116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6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6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6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6"/>
      <c r="BT46" s="116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6"/>
      <c r="T47" s="116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6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6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6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6"/>
      <c r="BT47" s="116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6"/>
      <c r="T48" s="116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6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6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6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6"/>
      <c r="BT48" s="116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6"/>
      <c r="T49" s="116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6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6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6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6"/>
      <c r="BT49" s="116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6"/>
      <c r="T50" s="116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6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6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6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6"/>
      <c r="BT50" s="116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6"/>
      <c r="T51" s="116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6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6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6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6"/>
      <c r="BT51" s="116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6"/>
      <c r="T52" s="116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6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6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6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6"/>
      <c r="BT52" s="116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6"/>
      <c r="T53" s="116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6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6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6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6"/>
      <c r="BT53" s="116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6"/>
      <c r="T54" s="116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6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6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6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6"/>
      <c r="BT54" s="116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6"/>
      <c r="T55" s="116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6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6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6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6"/>
      <c r="BT55" s="116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6"/>
      <c r="T56" s="116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6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6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6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6"/>
      <c r="BT56" s="116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6"/>
      <c r="T57" s="116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6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6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6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6"/>
      <c r="BT57" s="116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6"/>
      <c r="T58" s="116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6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6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6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6"/>
      <c r="BT58" s="116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6"/>
      <c r="T59" s="116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6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6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6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6"/>
      <c r="BT59" s="116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6"/>
      <c r="T60" s="116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6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6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6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6"/>
      <c r="BT60" s="116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6"/>
      <c r="T61" s="116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6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6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6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6"/>
      <c r="BT61" s="116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6"/>
      <c r="T62" s="116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6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6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6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6"/>
      <c r="BT62" s="116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6"/>
      <c r="T63" s="116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6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6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6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6"/>
      <c r="BT63" s="116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6"/>
      <c r="T64" s="116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6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6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6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6"/>
      <c r="BT64" s="116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6"/>
      <c r="T65" s="116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6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6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6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6"/>
      <c r="BT65" s="116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6"/>
      <c r="T66" s="116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6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6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6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6"/>
      <c r="BT66" s="116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6"/>
      <c r="T67" s="116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6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6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6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6"/>
      <c r="BT67" s="116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6"/>
      <c r="T68" s="116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6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6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6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6"/>
      <c r="BT68" s="116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6"/>
      <c r="T69" s="116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6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6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6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6"/>
      <c r="BT69" s="116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6"/>
      <c r="T70" s="116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6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6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6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6"/>
      <c r="BT70" s="116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6"/>
      <c r="T71" s="116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6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6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6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6"/>
      <c r="BT71" s="116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6"/>
      <c r="T72" s="116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6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6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6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6"/>
      <c r="BT72" s="116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6"/>
      <c r="T73" s="116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6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6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6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6"/>
      <c r="BT73" s="116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6"/>
      <c r="T74" s="116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6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6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6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6"/>
      <c r="BT74" s="116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6"/>
      <c r="T75" s="116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6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6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6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6"/>
      <c r="BT75" s="116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6"/>
      <c r="T76" s="116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6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6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6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6"/>
      <c r="BT76" s="116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6"/>
      <c r="T77" s="116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6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6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6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6"/>
      <c r="BT77" s="116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6"/>
      <c r="T78" s="116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6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6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6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6"/>
      <c r="BT78" s="116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6"/>
      <c r="T79" s="116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6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6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6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6"/>
      <c r="BT79" s="116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6"/>
      <c r="T80" s="116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6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6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6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6"/>
      <c r="BT80" s="116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6"/>
      <c r="T81" s="116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6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6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6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6"/>
      <c r="BT81" s="116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6"/>
      <c r="T82" s="116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6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6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6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6"/>
      <c r="BT82" s="116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6"/>
      <c r="T83" s="116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6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6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6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6"/>
      <c r="BT83" s="116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6"/>
      <c r="T84" s="116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6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6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6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6"/>
      <c r="BT84" s="116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6"/>
      <c r="T85" s="116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6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6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6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6"/>
      <c r="BT85" s="116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6"/>
      <c r="T86" s="116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6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6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6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6"/>
      <c r="BT86" s="116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6"/>
      <c r="T87" s="116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6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6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6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6"/>
      <c r="BT87" s="116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6"/>
      <c r="T88" s="116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6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6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6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6"/>
      <c r="BT88" s="116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6"/>
      <c r="T89" s="116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6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6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6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6"/>
      <c r="BT89" s="116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6"/>
      <c r="T90" s="116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6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6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6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6"/>
      <c r="BT90" s="116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6"/>
      <c r="T91" s="116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6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6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6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6"/>
      <c r="BT91" s="116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6"/>
      <c r="T92" s="116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6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6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6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6"/>
      <c r="BT92" s="116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6"/>
      <c r="T93" s="116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6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6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6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6"/>
      <c r="BT93" s="116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6"/>
      <c r="T94" s="116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6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6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6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6"/>
      <c r="BT94" s="116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6"/>
      <c r="T95" s="116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6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6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6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6"/>
      <c r="BT95" s="116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6"/>
      <c r="T96" s="116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6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6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6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6"/>
      <c r="BT96" s="116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6"/>
      <c r="T97" s="116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6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6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6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6"/>
      <c r="BT97" s="116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6"/>
      <c r="T98" s="116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6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6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6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6"/>
      <c r="BT98" s="116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6"/>
      <c r="T99" s="116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6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6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6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6"/>
      <c r="BT99" s="116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6"/>
      <c r="T100" s="116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6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6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6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6"/>
      <c r="BT100" s="116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6"/>
      <c r="T101" s="116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6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6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6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6"/>
      <c r="BT101" s="116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6"/>
      <c r="T102" s="116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6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6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6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6"/>
      <c r="BT102" s="116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6"/>
      <c r="T103" s="116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6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6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6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6"/>
      <c r="BT103" s="116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6"/>
      <c r="T104" s="116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6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6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6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6"/>
      <c r="BT104" s="116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6"/>
      <c r="T105" s="116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6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6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6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6"/>
      <c r="BT105" s="116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6"/>
      <c r="T106" s="116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6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6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6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6"/>
      <c r="BT106" s="116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6"/>
      <c r="T107" s="116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6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6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6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6"/>
      <c r="BT107" s="116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6"/>
      <c r="T108" s="116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6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6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6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6"/>
      <c r="BT108" s="116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6"/>
      <c r="T109" s="116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6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6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6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6"/>
      <c r="BT109" s="116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6"/>
      <c r="T110" s="116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6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6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6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6"/>
      <c r="BT110" s="116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6"/>
      <c r="T111" s="116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6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6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6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6"/>
      <c r="BT111" s="116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6"/>
      <c r="T112" s="116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6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6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6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6"/>
      <c r="BT112" s="116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6"/>
      <c r="T113" s="116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6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6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6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6"/>
      <c r="BT113" s="116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6"/>
      <c r="T114" s="116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6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6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6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6"/>
      <c r="BT114" s="116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6"/>
      <c r="T115" s="116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6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6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6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6"/>
      <c r="BT115" s="116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6"/>
      <c r="T116" s="116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6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6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6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6"/>
      <c r="BT116" s="116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6"/>
      <c r="T117" s="116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6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6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6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6"/>
      <c r="BT117" s="116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6"/>
      <c r="T118" s="116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6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6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6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6"/>
      <c r="BT118" s="116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6"/>
      <c r="T119" s="116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6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6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6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6"/>
      <c r="BT119" s="116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6"/>
      <c r="T120" s="116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6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6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6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6"/>
      <c r="BT120" s="116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6"/>
      <c r="T121" s="116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6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6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6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6"/>
      <c r="BT121" s="116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6"/>
      <c r="T122" s="116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6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6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6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6"/>
      <c r="BT122" s="116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6"/>
      <c r="T123" s="116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6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6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6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6"/>
      <c r="BT123" s="116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6"/>
      <c r="T124" s="116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6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6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6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6"/>
      <c r="BT124" s="116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6"/>
      <c r="T125" s="116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6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6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6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6"/>
      <c r="BT125" s="116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6"/>
      <c r="T126" s="116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6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6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6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6"/>
      <c r="BT126" s="116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6"/>
      <c r="T127" s="116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6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6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6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6"/>
      <c r="BT127" s="116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6"/>
      <c r="T128" s="116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6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6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6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6"/>
      <c r="BT128" s="116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6"/>
      <c r="T129" s="116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6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6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6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6"/>
      <c r="BT129" s="116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6"/>
      <c r="T130" s="116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6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6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6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6"/>
      <c r="BT130" s="116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6"/>
      <c r="T131" s="116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6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6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6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6"/>
      <c r="BT131" s="116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6"/>
      <c r="T132" s="116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6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6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6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6"/>
      <c r="BT132" s="116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6"/>
      <c r="T133" s="116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6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6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6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6"/>
      <c r="BT133" s="116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6"/>
      <c r="T134" s="116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6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6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6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6"/>
      <c r="BT134" s="116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6"/>
      <c r="T135" s="116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6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6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6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6"/>
      <c r="BT135" s="116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6"/>
      <c r="T136" s="116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6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6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6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6"/>
      <c r="BT136" s="116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6"/>
      <c r="T137" s="116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6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6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6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6"/>
      <c r="BT137" s="116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6"/>
      <c r="T138" s="116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6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6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6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6"/>
      <c r="BT138" s="116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6"/>
      <c r="T139" s="116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6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6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6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6"/>
      <c r="BT139" s="116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6"/>
      <c r="T140" s="116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6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6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6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6"/>
      <c r="BT140" s="116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6"/>
      <c r="T141" s="116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6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6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6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6"/>
      <c r="BT141" s="116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6"/>
      <c r="T142" s="116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6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6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6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6"/>
      <c r="BT142" s="116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6"/>
      <c r="T143" s="116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6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6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6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6"/>
      <c r="BT143" s="116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6"/>
      <c r="T144" s="116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6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6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6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6"/>
      <c r="BT144" s="116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6"/>
      <c r="T145" s="116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6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6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6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6"/>
      <c r="BT145" s="116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6"/>
      <c r="T146" s="116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6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6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6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6"/>
      <c r="BT146" s="116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6"/>
      <c r="T147" s="116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6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6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6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6"/>
      <c r="BT147" s="116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6"/>
      <c r="T148" s="116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6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6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6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6"/>
      <c r="BT148" s="116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6"/>
      <c r="T149" s="116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6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6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6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6"/>
      <c r="BT149" s="116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6"/>
      <c r="T150" s="116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6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6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6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6"/>
      <c r="BT150" s="116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6"/>
      <c r="T151" s="116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6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6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6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6"/>
      <c r="BT151" s="116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6"/>
      <c r="T152" s="116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6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6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6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6"/>
      <c r="BT152" s="116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6"/>
      <c r="T153" s="116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6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6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6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6"/>
      <c r="BT153" s="116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6"/>
      <c r="T154" s="116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6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6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6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6"/>
      <c r="BT154" s="116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6"/>
      <c r="T155" s="116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6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6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6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6"/>
      <c r="BT155" s="116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6"/>
      <c r="T156" s="116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6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6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6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6"/>
      <c r="BT156" s="116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6"/>
      <c r="T157" s="116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6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6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6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6"/>
      <c r="BT157" s="116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6"/>
      <c r="T158" s="116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6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6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6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6"/>
      <c r="BT158" s="116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6"/>
      <c r="T159" s="116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6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6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6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6"/>
      <c r="BT159" s="116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6"/>
      <c r="T160" s="116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6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6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6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6"/>
      <c r="BT160" s="116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6"/>
      <c r="T161" s="116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6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6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6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6"/>
      <c r="BT161" s="116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6"/>
      <c r="T162" s="116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6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6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6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6"/>
      <c r="BT162" s="116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6"/>
      <c r="T163" s="116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6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6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6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6"/>
      <c r="BT163" s="116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6"/>
      <c r="T164" s="116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6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6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6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6"/>
      <c r="BT164" s="116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6"/>
      <c r="T165" s="116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6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6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6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6"/>
      <c r="BT165" s="116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6"/>
      <c r="T166" s="116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6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6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6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6"/>
      <c r="BT166" s="116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6"/>
      <c r="T167" s="116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6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6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6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6"/>
      <c r="BT167" s="116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6"/>
      <c r="T168" s="116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6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6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6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6"/>
      <c r="BT168" s="116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6"/>
      <c r="T169" s="116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6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6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6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6"/>
      <c r="BT169" s="116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6"/>
      <c r="T170" s="116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6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6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6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6"/>
      <c r="BT170" s="116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6"/>
      <c r="T171" s="116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6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6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6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6"/>
      <c r="BT171" s="116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6"/>
      <c r="T172" s="116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6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6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6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6"/>
      <c r="BT172" s="116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6"/>
      <c r="T173" s="116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6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6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6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6"/>
      <c r="BT173" s="116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6"/>
      <c r="T174" s="116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6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6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6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6"/>
      <c r="BT174" s="116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6"/>
      <c r="T175" s="116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6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6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6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6"/>
      <c r="BT175" s="116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6"/>
      <c r="T176" s="116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6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6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6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6"/>
      <c r="BT176" s="116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6"/>
      <c r="T177" s="116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6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6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6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6"/>
      <c r="BT177" s="116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6"/>
      <c r="T178" s="116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6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6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6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6"/>
      <c r="BT178" s="116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6"/>
      <c r="T179" s="116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6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6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6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6"/>
      <c r="BT179" s="116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6"/>
      <c r="T180" s="116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6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6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6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6"/>
      <c r="BT180" s="116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6"/>
      <c r="T181" s="116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6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6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6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6"/>
      <c r="BT181" s="116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6"/>
      <c r="T182" s="116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6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6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6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6"/>
      <c r="BT182" s="116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6"/>
      <c r="T183" s="116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6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6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6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6"/>
      <c r="BT183" s="116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6"/>
      <c r="T184" s="116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6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6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6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6"/>
      <c r="BT184" s="116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6"/>
      <c r="T185" s="116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6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6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6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6"/>
      <c r="BT185" s="116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6"/>
      <c r="T186" s="116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6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6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6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6"/>
      <c r="BT186" s="116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6"/>
      <c r="T187" s="116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6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6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6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6"/>
      <c r="BT187" s="116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6"/>
      <c r="T188" s="116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6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6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6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6"/>
      <c r="BT188" s="116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6"/>
      <c r="T189" s="116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6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6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6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6"/>
      <c r="BT189" s="116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6"/>
      <c r="T190" s="116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6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6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6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6"/>
      <c r="BT190" s="116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6"/>
      <c r="T191" s="116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6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6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6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6"/>
      <c r="BT191" s="116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6"/>
      <c r="T192" s="116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6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6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6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6"/>
      <c r="BT192" s="116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6"/>
      <c r="T193" s="116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6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6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6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6"/>
      <c r="BT193" s="116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6"/>
      <c r="T194" s="116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6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6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6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6"/>
      <c r="BT194" s="116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6"/>
      <c r="T195" s="116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6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6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6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6"/>
      <c r="BT195" s="116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6"/>
      <c r="T196" s="116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6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6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6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6"/>
      <c r="BT196" s="116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6"/>
      <c r="T197" s="116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6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6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6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6"/>
      <c r="BT197" s="116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6"/>
      <c r="T198" s="116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6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6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6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6"/>
      <c r="BT198" s="116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6"/>
      <c r="T199" s="116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6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6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6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6"/>
      <c r="BT199" s="116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6"/>
      <c r="T200" s="116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6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6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6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6"/>
      <c r="BT200" s="116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7"/>
      <c r="T201" s="117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7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7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7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7"/>
      <c r="BT201" s="117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18" t="s">
        <v>174</v>
      </c>
      <c r="AK1" s="118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18" t="s">
        <v>177</v>
      </c>
      <c r="BB1" s="118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18" t="s">
        <v>46</v>
      </c>
      <c r="BM1" s="118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18" t="s">
        <v>46</v>
      </c>
      <c r="CB1" s="118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18" t="s">
        <v>46</v>
      </c>
      <c r="CN1" s="118"/>
      <c r="CP1" s="85"/>
      <c r="CQ1" s="1" t="s">
        <v>189</v>
      </c>
      <c r="CS1" s="118" t="s">
        <v>38</v>
      </c>
      <c r="CT1" s="118"/>
      <c r="CU1" s="118"/>
      <c r="CV1" s="118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8" t="s">
        <v>219</v>
      </c>
      <c r="GH1" s="118"/>
      <c r="GI1" s="118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18" t="s">
        <v>229</v>
      </c>
      <c r="GW1" s="118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18" t="s">
        <v>246</v>
      </c>
      <c r="II1" s="118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18" t="s">
        <v>249</v>
      </c>
      <c r="IR1" s="118"/>
      <c r="IS1" s="118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18" t="s">
        <v>249</v>
      </c>
      <c r="JD1" s="118"/>
      <c r="JE1" s="118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35" t="s">
        <v>256</v>
      </c>
      <c r="I2" s="129" t="s">
        <v>38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16" t="s">
        <v>257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16" t="s">
        <v>166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16" t="s">
        <v>147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35" t="s">
        <v>258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259</v>
      </c>
      <c r="BB2" s="3">
        <f>'Forest Plot'!$B$16</f>
        <v>1.0250508266796186</v>
      </c>
      <c r="BD2" s="135" t="s">
        <v>260</v>
      </c>
      <c r="BE2" s="129" t="s">
        <v>261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2.4742198365482648E-2</v>
      </c>
      <c r="BO2" s="116" t="s">
        <v>262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263</v>
      </c>
      <c r="CB2" s="3">
        <f>LN(CES_OddsRatio_MH)</f>
        <v>2.474219836548254E-2</v>
      </c>
      <c r="CD2" s="116" t="s">
        <v>264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2.4731499752679877E-2</v>
      </c>
      <c r="CP2" s="116" t="s">
        <v>266</v>
      </c>
      <c r="CQ2" s="51" t="str">
        <f t="shared" ref="CQ2:CQ33" si="52">IF(AND(Sufficient_data="Yes",Include_study?="Yes"),c_/(c_+d_),"")</f>
        <v/>
      </c>
      <c r="CS2" s="2"/>
      <c r="CT2" s="2" t="s">
        <v>35</v>
      </c>
      <c r="CU2" s="2" t="s">
        <v>59</v>
      </c>
      <c r="CV2" s="2" t="s">
        <v>60</v>
      </c>
      <c r="CX2" s="135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>
        <f>IF(DQ2&lt;&gt;"",SUMIFS(DS:DS,DS:DS,"&gt;="&amp;0,DQ:DQ,"&lt;"&amp;DQ2)+DS2+DR2,"")</f>
        <v>5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4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0.50761247905694851</v>
      </c>
      <c r="DU2" s="10">
        <f>IF(DT2&lt;&gt;"",CHIDIST(DT2,DS2-1),"")</f>
        <v>0.91721582843947913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89.992204313766848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2.4742198365482648E-2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3.7375737290710052E-2</v>
      </c>
      <c r="EB2" s="6">
        <f t="shared" ref="EB2:EB33" si="72">IF(DT2&lt;&gt;"",SUMIFS(Number_of_subjects,Subgroup,DQ2,Include_study?,"Yes",Sufficient_data,"Yes"),"")</f>
        <v>8526</v>
      </c>
      <c r="EC2" s="3">
        <f>IF(DT2&lt;&gt;"",DZ2-ABS(TINV((1-Subgroup_confidence_level),DS2-1))*EA2,"")</f>
        <v>-9.4204078682592049E-2</v>
      </c>
      <c r="ED2" s="3">
        <f>IF(DT2&lt;&gt;"",DZ2+ABS(TINV((1-Subgroup_confidence_level),DS2-1))*EA2,"")</f>
        <v>0.14368847541355734</v>
      </c>
      <c r="EE2" s="3">
        <f>IF(AND(EE$1&lt;&gt;"",DT2&lt;&gt;""),EXP(DZ2),"")</f>
        <v>1.0250508266796186</v>
      </c>
      <c r="EF2" s="3">
        <f>IF(AND(EF$1&lt;&gt;"",DT2&lt;&gt;""),EXP(EC2),"")</f>
        <v>0.9100970118883509</v>
      </c>
      <c r="EG2" s="3">
        <f>IF(AND(EG$1&lt;&gt;"",DT2&lt;&gt;""),EXP(ED2),"")</f>
        <v>1.1545243897641444</v>
      </c>
      <c r="EH2" s="3">
        <f>IF(AND(EE$1&lt;&gt;"",DT2&lt;&gt;""),EE2-EF2,IF(DT2&lt;&gt;"",DZ2-EC2,""))</f>
        <v>0.11495381479126765</v>
      </c>
      <c r="EI2" s="3">
        <f>IF(AND(EE$1&lt;&gt;"",DT2&lt;&gt;""),EG2-EE2,IF(DT2&lt;&gt;"",ED2-DZ2,""))</f>
        <v>0.12947356308452584</v>
      </c>
      <c r="EJ2" s="3">
        <f>IF(DT2&lt;&gt;"",DZ2-ABS(TINV((1-Subgroup_confidence_level),DS2-1))*SQRT(DX2+EA2^2),"")</f>
        <v>-9.4204078682592049E-2</v>
      </c>
      <c r="EK2" s="3">
        <f t="shared" ref="EK2:EK33" si="73">IF(DT2&lt;&gt;"",DZ2+ABS(TINV((1-Subgroup_confidence_level),DS2-1))*SQRT(DX2+EA2^2),"")</f>
        <v>0.14368847541355734</v>
      </c>
      <c r="EL2" s="3">
        <f>IF(AND(EL$1&lt;&gt;"",DT2&lt;&gt;""),EXP(EJ2),"")</f>
        <v>0.9100970118883509</v>
      </c>
      <c r="EM2" s="3">
        <f>IF(AND(EM$1&lt;&gt;"",DT2&lt;&gt;""),EXP(EK2),"")</f>
        <v>1.1545243897641444</v>
      </c>
      <c r="EN2" s="3">
        <f>IF(AND(EE$1&lt;&gt;"",DT2&lt;&gt;""),EE2-EL2,IF(DT2&lt;&gt;"",DZ2-EJ2,""))</f>
        <v>0.11495381479126765</v>
      </c>
      <c r="EO2" s="3">
        <f>IF(AND(EE$1&lt;&gt;"",DT2&lt;&gt;""),EM2-EE2,IF(DT2&lt;&gt;"",EK2-DZ2,""))</f>
        <v>0.12947356308452584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0.50761247905694851</v>
      </c>
      <c r="EQ2" s="3">
        <f>IF(DT2&lt;&gt;"",IF(EE2&lt;&gt;"",EE2,DZ2),NA())</f>
        <v>1.0250508266796186</v>
      </c>
      <c r="ER2" s="9">
        <f>IF(DT2&lt;&gt;"",(ET2/SUM(ET:ET)),"")</f>
        <v>0.5</v>
      </c>
      <c r="ES2" s="3">
        <f>IF(DT2&lt;&gt;"",1/(EA2^2),"")</f>
        <v>715.8474182500388</v>
      </c>
      <c r="ET2" s="3">
        <f>IF(EA2&lt;&gt;"",1/(EA2^2+IF(Between_subgroup_weighting=EX$38,0,EY$35)),"")</f>
        <v>715.8474182500388</v>
      </c>
      <c r="EU2" s="74">
        <f t="shared" ref="EU2:EU33" si="75">IF(ES2&lt;&gt;"",IF(Subgroup_effect_size_measure="Risk Difference",(EY$9-DZ2)^2*ET2,(EY$2-DZ2)^2*ET2),"")</f>
        <v>8.6166998651252724E-33</v>
      </c>
      <c r="EV2" s="34">
        <f t="shared" ref="EV2:EV33" si="76">IF(DT2&lt;&gt;"",IF(Subgroup_effect_size_measure="Risk Difference",EE:EE-EY$9,DZ:DZ-EY$2),"")</f>
        <v>-3.4694469519536142E-18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2.4742198365482651E-2</v>
      </c>
      <c r="FA2" s="135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35" t="s">
        <v>269</v>
      </c>
      <c r="FS2" s="129" t="s">
        <v>113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270</v>
      </c>
      <c r="GH2" s="2" t="s">
        <v>240</v>
      </c>
      <c r="GI2" s="2" t="s">
        <v>241</v>
      </c>
      <c r="GK2" s="116" t="s">
        <v>271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33" t="s">
        <v>100</v>
      </c>
      <c r="GW2" s="133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6" t="s">
        <v>104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16" t="s">
        <v>272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16" t="s">
        <v>116</v>
      </c>
      <c r="HX2" s="20">
        <v>1</v>
      </c>
      <c r="HY2" s="3"/>
      <c r="HZ2" s="34">
        <f>HZ3-HY14</f>
        <v>-0.7</v>
      </c>
      <c r="IB2" s="116" t="s">
        <v>273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240</v>
      </c>
      <c r="II2" s="2" t="s">
        <v>241</v>
      </c>
      <c r="IK2" s="116" t="s">
        <v>118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274</v>
      </c>
      <c r="IR2" s="2" t="s">
        <v>240</v>
      </c>
      <c r="IS2" s="2" t="s">
        <v>241</v>
      </c>
      <c r="IU2" s="116" t="s">
        <v>119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275</v>
      </c>
      <c r="JD2" s="2" t="s">
        <v>240</v>
      </c>
      <c r="JE2" s="2" t="s">
        <v>241</v>
      </c>
      <c r="JG2" s="116" t="s">
        <v>121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3" x14ac:dyDescent="0.35">
      <c r="A3" s="2">
        <f t="shared" si="0"/>
        <v>1</v>
      </c>
      <c r="B3" s="6">
        <f>IF(AND(Include_study?="Yes",Sufficient_data="Yes"),IF(Input!a_&lt;&gt;"",Input!a_,Input!n1_-Input!b_),"")</f>
        <v>68</v>
      </c>
      <c r="C3" s="6">
        <f>IF(AND(Include_study?="Yes",Sufficient_data="Yes"),IF(Input!b_&lt;&gt;"",Input!b_,Input!n1_-Input!a_),"")</f>
        <v>1240</v>
      </c>
      <c r="D3" s="6">
        <f>IF(AND(Include_study?="Yes",Sufficient_data="Yes"),IF(Input!c_&lt;&gt;"",Input!c_,Input!n2_-Input!d_),"")</f>
        <v>62</v>
      </c>
      <c r="E3" s="6">
        <f>IF(AND(Include_study?="Yes",Sufficient_data="Yes"),IF(Input!d_&lt;&gt;"",Input!d_,Input!n2_-Input!c_),"")</f>
        <v>1246</v>
      </c>
      <c r="F3" s="35" t="str">
        <f t="shared" si="1"/>
        <v>No</v>
      </c>
      <c r="H3" s="135"/>
      <c r="I3" s="129"/>
      <c r="J3" s="76">
        <f t="shared" si="2"/>
        <v>1.1020811654526534</v>
      </c>
      <c r="K3" s="3">
        <f t="shared" si="3"/>
        <v>9.720036087933101E-2</v>
      </c>
      <c r="L3" s="3">
        <f t="shared" si="4"/>
        <v>0.18012199877362975</v>
      </c>
      <c r="M3" s="3">
        <f t="shared" si="5"/>
        <v>0.77414521303718098</v>
      </c>
      <c r="N3" s="35">
        <f t="shared" si="6"/>
        <v>1.5689341932120742</v>
      </c>
      <c r="P3" s="116"/>
      <c r="Q3" s="76">
        <f t="shared" si="7"/>
        <v>1.1019679123673516</v>
      </c>
      <c r="R3" s="3">
        <f t="shared" si="8"/>
        <v>0.17990515341221136</v>
      </c>
      <c r="S3" s="3">
        <f t="shared" si="9"/>
        <v>0.77439486694345083</v>
      </c>
      <c r="T3" s="35">
        <f t="shared" si="10"/>
        <v>1.5681060550933816</v>
      </c>
      <c r="V3" s="116"/>
      <c r="W3" s="76">
        <f t="shared" si="11"/>
        <v>4.5871559633027525E-3</v>
      </c>
      <c r="X3" s="3">
        <f t="shared" si="12"/>
        <v>8.4971137951347277E-3</v>
      </c>
      <c r="Y3" s="3">
        <f t="shared" si="13"/>
        <v>-1.2074595904868611E-2</v>
      </c>
      <c r="Z3" s="35">
        <f t="shared" si="14"/>
        <v>2.1248907831474116E-2</v>
      </c>
      <c r="AB3" s="116"/>
      <c r="AC3" s="76">
        <f t="shared" si="15"/>
        <v>1.096774193548387</v>
      </c>
      <c r="AD3" s="3">
        <f t="shared" si="16"/>
        <v>9.2373320131015069E-2</v>
      </c>
      <c r="AE3" s="3">
        <f t="shared" si="17"/>
        <v>0.17118955173502298</v>
      </c>
      <c r="AF3" s="3">
        <f t="shared" si="18"/>
        <v>0.78403041448959021</v>
      </c>
      <c r="AG3" s="35">
        <f t="shared" si="19"/>
        <v>1.5342690913551111</v>
      </c>
      <c r="AI3" s="135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3" s="6">
        <f>IF(AJ3&lt;&gt;"",IF(AJ3=0,COUNTIF(AJ$2:AJ2,0)+1,COUNTIF(AJ$2:AJ2,AJ3)+AJ3+COUNTIF(AJ:AJ,0)),"")</f>
        <v>1</v>
      </c>
      <c r="AL3" s="6">
        <f t="shared" si="20"/>
        <v>1</v>
      </c>
      <c r="AM3" s="3" t="str">
        <f>IF(AND(Include_study?="Yes",Sufficient_data="Yes",Input!Study_name&lt;&gt;""),Input!Study_name,"")</f>
        <v>Neumann et al.</v>
      </c>
      <c r="AN3" s="6">
        <f t="shared" si="21"/>
        <v>2616</v>
      </c>
      <c r="AO3" s="3">
        <f t="shared" si="22"/>
        <v>1.1020811654526534</v>
      </c>
      <c r="AP3" s="3">
        <f t="shared" si="23"/>
        <v>30.822402313175189</v>
      </c>
      <c r="AQ3" s="3">
        <f t="shared" si="24"/>
        <v>30.822402313175189</v>
      </c>
      <c r="AR3" s="3">
        <f t="shared" si="25"/>
        <v>0.18012199877362975</v>
      </c>
      <c r="AS3" s="3">
        <f t="shared" si="26"/>
        <v>0.77414521303718098</v>
      </c>
      <c r="AT3" s="3">
        <f t="shared" si="27"/>
        <v>1.5689341932120742</v>
      </c>
      <c r="AU3" s="80">
        <f t="shared" si="28"/>
        <v>0.25446906049501977</v>
      </c>
      <c r="AW3" s="44">
        <f t="shared" si="29"/>
        <v>1.1020811654526534</v>
      </c>
      <c r="AX3" s="3">
        <f t="shared" si="30"/>
        <v>0.32793595241547246</v>
      </c>
      <c r="AY3" s="35">
        <f t="shared" si="31"/>
        <v>0.46685302775942072</v>
      </c>
      <c r="BA3" s="2" t="s">
        <v>276</v>
      </c>
      <c r="BB3" s="6">
        <f>IF(BB2&lt;&gt;"",MAX(Entry_number)+1,"")</f>
        <v>5</v>
      </c>
      <c r="BD3" s="135"/>
      <c r="BE3" s="129"/>
      <c r="BF3" s="3">
        <f t="shared" si="32"/>
        <v>9.720036087933101E-2</v>
      </c>
      <c r="BG3" s="3">
        <f t="shared" si="33"/>
        <v>0.18012199877362975</v>
      </c>
      <c r="BH3" s="3">
        <f t="shared" si="34"/>
        <v>30.822402313175189</v>
      </c>
      <c r="BI3" s="3">
        <f t="shared" ref="BI3:BI33" si="99">IF(Weightf&lt;&gt;"",1/(IF(Model_effect_size_measure="Odds Ratio",SELogOddsRatio,IF(Model_effect_size_measure="Risk Ratio",SELogRiskRatio,SERiskDifference))^2+T2_),"")</f>
        <v>30.822402313175189</v>
      </c>
      <c r="BJ3" s="35">
        <f t="shared" si="35"/>
        <v>7.2458162513848359E-2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3.7375737290710052E-2</v>
      </c>
      <c r="BO3" s="116"/>
      <c r="BP3" s="3">
        <f t="shared" si="36"/>
        <v>32.388379204892964</v>
      </c>
      <c r="BQ3" s="3">
        <f t="shared" si="37"/>
        <v>29.388379204892967</v>
      </c>
      <c r="BR3" s="3">
        <f t="shared" si="38"/>
        <v>16.268474875852203</v>
      </c>
      <c r="BS3" s="3">
        <f>IF(AND(Sufficient_data="Yes",Include_study?="Yes"),IF(Add_0_5="Yes",(a_+d_+1)*(ab_+0.5)*(c_+0.5)/(Number_of_subjects+2)^2,(a_+d_)*b_*c_/Number_of_subjects^2),"")</f>
        <v>14.761594141907247</v>
      </c>
      <c r="BT3" s="3">
        <f t="shared" si="39"/>
        <v>16.119904329040764</v>
      </c>
      <c r="BU3" s="3">
        <f t="shared" si="40"/>
        <v>14.62678506298572</v>
      </c>
      <c r="BV3" s="3">
        <f t="shared" si="41"/>
        <v>29.388379204892967</v>
      </c>
      <c r="BW3" s="3">
        <f t="shared" si="42"/>
        <v>0.1618204316102419</v>
      </c>
      <c r="BX3" s="3">
        <f t="shared" si="43"/>
        <v>30.822402313175189</v>
      </c>
      <c r="BY3" s="35">
        <f t="shared" si="44"/>
        <v>7.245816251384847E-2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1.396945738024174E-3</v>
      </c>
      <c r="CD3" s="116"/>
      <c r="CE3" s="76">
        <f t="shared" si="45"/>
        <v>65</v>
      </c>
      <c r="CF3" s="3">
        <f t="shared" si="46"/>
        <v>30.896749521988529</v>
      </c>
      <c r="CG3" s="3">
        <f t="shared" si="47"/>
        <v>9.7097592672813912E-2</v>
      </c>
      <c r="CH3" s="3">
        <f t="shared" si="48"/>
        <v>3.2365864224271304E-2</v>
      </c>
      <c r="CI3" s="3">
        <f t="shared" si="49"/>
        <v>30.896749521988529</v>
      </c>
      <c r="CJ3" s="3">
        <f t="shared" si="50"/>
        <v>30.896749521988529</v>
      </c>
      <c r="CK3" s="35">
        <f t="shared" si="51"/>
        <v>7.2366092920134031E-2</v>
      </c>
      <c r="CM3" s="3" t="s">
        <v>277</v>
      </c>
      <c r="CN3" s="3">
        <f>IF(Meta_analysis_model="Fixed effect model",1/SUM(Weightf_Peto),SUMPRODUCT(Weight_Peto,CK:CK,CK:CK)/((k_-1)*SUM(Weight_Peto)))</f>
        <v>1.3948009267382535E-3</v>
      </c>
      <c r="CP3" s="116"/>
      <c r="CQ3" s="52">
        <f t="shared" si="52"/>
        <v>4.7400611620795105E-2</v>
      </c>
      <c r="CS3" s="2" t="s">
        <v>278</v>
      </c>
      <c r="CT3" s="3">
        <f>IF(Weighting_method="Inverse variance",IF(Model_effect_size_measure="Odds Ratio",CES_IV,NA()),NA())</f>
        <v>1.0250508266796186</v>
      </c>
      <c r="CU3" s="3">
        <f>IF(Model_effect_size_measure="Odds Ratio",CES_OddsRatio_MH,NA())</f>
        <v>1.0250508266796186</v>
      </c>
      <c r="CV3" s="3" t="e">
        <f>IF(Model_effect_size_measure="Peto Odds Ratio",CES_PetoOddsRatio,NA())</f>
        <v>#N/A</v>
      </c>
      <c r="CX3" s="135"/>
      <c r="CY3" s="48">
        <f t="shared" si="53"/>
        <v>1</v>
      </c>
      <c r="CZ3" s="6" t="str">
        <f t="shared" si="54"/>
        <v>Neumann et al.</v>
      </c>
      <c r="DA3" s="17" t="str">
        <f t="shared" si="55"/>
        <v>English</v>
      </c>
      <c r="DB3" s="3">
        <f t="shared" si="56"/>
        <v>9.720036087933101E-2</v>
      </c>
      <c r="DC3" s="3">
        <f t="shared" si="57"/>
        <v>0.18012199877362975</v>
      </c>
      <c r="DD3" s="3">
        <f t="shared" si="58"/>
        <v>30.822402313175189</v>
      </c>
      <c r="DE3" s="3">
        <f t="shared" si="59"/>
        <v>30.822402313175189</v>
      </c>
      <c r="DF3" s="80">
        <f t="shared" si="60"/>
        <v>0.25446906049501977</v>
      </c>
      <c r="DG3" s="3">
        <f t="shared" si="61"/>
        <v>1.1020811654526534</v>
      </c>
      <c r="DH3" s="3">
        <f t="shared" si="62"/>
        <v>0.77414526147355556</v>
      </c>
      <c r="DI3" s="3">
        <f t="shared" si="63"/>
        <v>1.5689340950477013</v>
      </c>
      <c r="DJ3" s="35">
        <f t="shared" si="64"/>
        <v>7.2458162513848359E-2</v>
      </c>
      <c r="DL3" s="44">
        <f t="shared" si="65"/>
        <v>1.1020811654526534</v>
      </c>
      <c r="DM3" s="3">
        <f t="shared" ref="DM3:DM33" si="100">IF(AND(Include_study?="Yes",Sufficient_data="Yes",Subgroup&lt;&gt;""),IF(Subgroup_effect_size_measure="Risk Difference",DB3-DH3,DG3-DH3),NA())</f>
        <v>0.32793590397909789</v>
      </c>
      <c r="DN3" s="35">
        <f t="shared" ref="DN3:DN33" si="101">IF(AND(Include_study?="Yes",Sufficient_data="Yes",Subgroup&lt;&gt;""),IF(Subgroup_effect_size_measure="Risk Difference",DI3-DB3,DI3-DG3),NA())</f>
        <v>0.46685292959504787</v>
      </c>
      <c r="DP3" s="48">
        <f t="shared" ref="DP3:DP66" si="102">IF(DQ3&lt;&gt;"",SUMIFS(DS:DS,DS:DS,"&gt;="&amp;0,DQ:DQ,"&lt;"&amp;DQ3)+DS3+DR3,"")</f>
        <v>5</v>
      </c>
      <c r="DQ3" s="17" t="str">
        <f>IF(AND(Sufficient_data="Yes",Subgroup&lt;&gt;""),IF(COUNTIFS(Input!J$2:J2,"="&amp;"Yes",Input!C$2:C2,"="&amp;"Yes",Input!K$2:K2,"="&amp;Subgroup)&gt;0,"",Subgroup),"")</f>
        <v>English</v>
      </c>
      <c r="DR3" s="6">
        <f t="shared" ref="DR3:DR66" si="103">IF(DQ3&lt;&gt;"",(COUNTIFS(DS:DS,"&gt;"&amp;0,DQ:DQ,"&lt;"&amp;DQ3)+1),"")</f>
        <v>1</v>
      </c>
      <c r="DS3" s="6">
        <f t="shared" si="66"/>
        <v>4</v>
      </c>
      <c r="DT3" s="3">
        <f t="shared" si="67"/>
        <v>0.50761247905694851</v>
      </c>
      <c r="DU3" s="10">
        <f t="shared" ref="DU3:DU51" si="104">IF(DT3&lt;&gt;"",CHIDIST(DT3,DS3-1),"")</f>
        <v>0.91721582843947913</v>
      </c>
      <c r="DV3" s="9">
        <f t="shared" ref="DV3:DV51" si="105">IF(DT3&lt;&gt;"",IF((DT3-(DS3-1))&lt;=0,0,(DT3-(DS3-1))/DT3),"")</f>
        <v>0</v>
      </c>
      <c r="DW3" s="10">
        <f t="shared" si="68"/>
        <v>89.992204313766848</v>
      </c>
      <c r="DX3" s="3">
        <f t="shared" si="69"/>
        <v>0</v>
      </c>
      <c r="DY3" s="3">
        <f t="shared" ref="DY3:DY51" si="106">IF(DX3&lt;&gt;"",SQRT(DX3),"")</f>
        <v>0</v>
      </c>
      <c r="DZ3" s="3">
        <f t="shared" si="70"/>
        <v>2.4742198365482648E-2</v>
      </c>
      <c r="EA3" s="3">
        <f t="shared" si="71"/>
        <v>3.7375737290710052E-2</v>
      </c>
      <c r="EB3" s="6">
        <f t="shared" si="72"/>
        <v>8526</v>
      </c>
      <c r="EC3" s="3">
        <f t="shared" ref="EC3:EC33" si="107">IF(DT3&lt;&gt;"",DZ3-ABS(TINV((1-Subgroup_confidence_level),DS3-1))*EA3,"")</f>
        <v>-9.4204078682592049E-2</v>
      </c>
      <c r="ED3" s="3">
        <f t="shared" ref="ED3:ED33" si="108">IF(DT3&lt;&gt;"",DZ3+ABS(TINV((1-Subgroup_confidence_level),DS3-1))*EA3,"")</f>
        <v>0.14368847541355734</v>
      </c>
      <c r="EE3" s="3">
        <f t="shared" ref="EE3:EE51" si="109">IF(AND(EE$1&lt;&gt;"",DT3&lt;&gt;""),EXP(DZ3),"")</f>
        <v>1.0250508266796186</v>
      </c>
      <c r="EF3" s="3">
        <f t="shared" ref="EF3:EF51" si="110">IF(AND(EF$1&lt;&gt;"",DT3&lt;&gt;""),EXP(EC3),"")</f>
        <v>0.9100970118883509</v>
      </c>
      <c r="EG3" s="3">
        <f t="shared" ref="EG3:EG51" si="111">IF(AND(EG$1&lt;&gt;"",DT3&lt;&gt;""),EXP(ED3),"")</f>
        <v>1.1545243897641444</v>
      </c>
      <c r="EH3" s="3">
        <f t="shared" ref="EH3:EH51" si="112">IF(AND(EE$1&lt;&gt;"",DT3&lt;&gt;""),EE3-EF3,IF(DT3&lt;&gt;"",DZ3-EC3,""))</f>
        <v>0.11495381479126765</v>
      </c>
      <c r="EI3" s="3">
        <f t="shared" ref="EI3:EI51" si="113">IF(AND(EE$1&lt;&gt;"",DT3&lt;&gt;""),EG3-EE3,IF(DT3&lt;&gt;"",ED3-DZ3,""))</f>
        <v>0.12947356308452584</v>
      </c>
      <c r="EJ3" s="3">
        <f t="shared" ref="EJ3:EJ33" si="114">IF(DT3&lt;&gt;"",DZ3-ABS(TINV((1-Subgroup_confidence_level),DS3-1))*SQRT(DX3+EA3^2),"")</f>
        <v>-9.4204078682592049E-2</v>
      </c>
      <c r="EK3" s="3">
        <f t="shared" si="73"/>
        <v>0.14368847541355734</v>
      </c>
      <c r="EL3" s="3">
        <f t="shared" ref="EL3:EL51" si="115">IF(AND(EL$1&lt;&gt;"",DT3&lt;&gt;""),EXP(EJ3),"")</f>
        <v>0.9100970118883509</v>
      </c>
      <c r="EM3" s="3">
        <f t="shared" ref="EM3:EM51" si="116">IF(AND(EM$1&lt;&gt;"",DT3&lt;&gt;""),EXP(EK3),"")</f>
        <v>1.1545243897641444</v>
      </c>
      <c r="EN3" s="3">
        <f t="shared" ref="EN3:EN51" si="117">IF(AND(EE$1&lt;&gt;"",DT3&lt;&gt;""),EE3-EL3,IF(DT3&lt;&gt;"",DZ3-EJ3,""))</f>
        <v>0.11495381479126765</v>
      </c>
      <c r="EO3" s="3">
        <f t="shared" ref="EO3:EO51" si="118">IF(AND(EE$1&lt;&gt;"",DT3&lt;&gt;""),EM3-EE3,IF(DT3&lt;&gt;"",EK3-DZ3,""))</f>
        <v>0.12947356308452584</v>
      </c>
      <c r="EP3" s="3">
        <f t="shared" si="74"/>
        <v>0.50761247905694851</v>
      </c>
      <c r="EQ3" s="3">
        <f t="shared" ref="EQ3:EQ51" si="119">IF(DT3&lt;&gt;"",IF(EE3&lt;&gt;"",EE3,DZ3),NA())</f>
        <v>1.0250508266796186</v>
      </c>
      <c r="ER3" s="9">
        <f t="shared" ref="ER3:ER66" si="120">IF(DT3&lt;&gt;"",(ET3/SUM(ET:ET)),"")</f>
        <v>0.5</v>
      </c>
      <c r="ES3" s="3">
        <f t="shared" ref="ES3:ES66" si="121">IF(DT3&lt;&gt;"",1/(EA3^2),"")</f>
        <v>715.8474182500388</v>
      </c>
      <c r="ET3" s="3">
        <f t="shared" ref="ET3:ET33" si="122">IF(EA3&lt;&gt;"",1/(EA3^2+IF(Between_subgroup_weighting=EX$38,0,EY$35)),"")</f>
        <v>715.8474182500388</v>
      </c>
      <c r="EU3" s="3">
        <f t="shared" si="75"/>
        <v>8.6166998651252724E-33</v>
      </c>
      <c r="EV3" s="35">
        <f t="shared" si="76"/>
        <v>-3.4694469519536142E-18</v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3.4694469519536142E-18</v>
      </c>
      <c r="FA3" s="135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35"/>
      <c r="FS3" s="129"/>
      <c r="FT3" s="76">
        <f>IF(AND(Include_study?="Yes",Sufficient_data="Yes"),IF(Additional_weighting_method="Inverse Variance",1/'Publication Bias Analysis'!F:F^2,IF(Additional_weighting_method="Mantel-Haenszel",Weightf_MH,Weightf_Peto)),"")</f>
        <v>30.822402313175189</v>
      </c>
      <c r="FU3" s="3">
        <f>IF(AND(Include_study?="Yes",Sufficient_data="Yes"),1/('Publication Bias Analysis'!F:F^2+IF(Additional_model="Fixed effect",0,Calculations!GH$12)),"")</f>
        <v>30.822402313175189</v>
      </c>
      <c r="FV3" s="3">
        <f>IF(AND(Include_study?="Yes",Sufficient_data="Yes"),1/('Publication Bias Analysis'!F:F^2+IF(Additional_model="Fixed effect",0,'Publication Bias Analysis'!L$32)),"")</f>
        <v>30.822402313175189</v>
      </c>
      <c r="FW3" s="3">
        <f>IF(AND(Include_study?="Yes",Sufficient_data="Yes"),'Publication Bias Analysis'!E:E-'Publication Bias Analysis'!I$37,"")</f>
        <v>7.2458162513848359E-2</v>
      </c>
      <c r="FX3" s="3">
        <f>IF(AND(Include_study?="Yes",Sufficient_data="Yes"),IF(Additional_model="Fixed effect",1/'Publication Bias Analysis'!F:F,1/SQRT('Publication Bias Analysis'!F:F^2+GH$12)),"")</f>
        <v>5.5517927116540644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0.53963625510001478</v>
      </c>
      <c r="FZ3" s="6">
        <f t="shared" si="80"/>
        <v>3</v>
      </c>
      <c r="GA3" s="83">
        <f>IF(AND(Include_study?="Yes",Sufficient_data="Yes"),FZ:FZ+IF(GL:GL&lt;0,-1,1)*COUNTIF(FZ$2:FZ2,FZ:FZ),"")</f>
        <v>3</v>
      </c>
      <c r="GB3" s="83">
        <f>IF(AND(Include_study?="Yes",Sufficient_data="Yes"),RANK(GP:GP,GP:GP,1)*IF(GO:GO&lt;0,-1,1)+IF(GO:GO&lt;0,-1,1)*COUNTIF(FZ$2:FZ2,FZ:FZ),"")</f>
        <v>3</v>
      </c>
      <c r="GC3" s="83">
        <f>IF(AND(Include_study?="Yes",Sufficient_data="Yes"),RANK(GS:GS,GS:GS,1)*IF(GR:GR&lt;0,-1,1)+IF(GR:GR&lt;0,-1,1)*COUNTIF(FZ$2:FZ2,FZ:FZ),"")</f>
        <v>3</v>
      </c>
      <c r="GD3" s="3">
        <f>IF(AND(Include_study?="Yes",Sufficient_data="Yes"),'Publication Bias Analysis'!E3,NA())</f>
        <v>9.720036087933101E-2</v>
      </c>
      <c r="GE3" s="35">
        <f>IF(AND(Include_study?="Yes",Sufficient_data="Yes"),'Publication Bias Analysis'!F3,NA())</f>
        <v>0.18012199877362975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-0.79101628120932455</v>
      </c>
      <c r="GI3" s="3">
        <f>IF(Trim_and_fill="Off",GH17,GH22)</f>
        <v>0.25633063414783497</v>
      </c>
      <c r="GK3" s="116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7.2458162513848359E-2</v>
      </c>
      <c r="GM3" s="3">
        <f t="shared" si="81"/>
        <v>7.2458162513848359E-2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30.822402313175189</v>
      </c>
      <c r="GO3" s="3">
        <f>IF(AND(Include_study?="Yes",Sufficient_data="Yes"),IF('Publication Bias Analysis'!L$38="Left",'Publication Bias Analysis'!E:E-GW$3,GW$3-'Publication Bias Analysis'!E:E),"")</f>
        <v>7.2458162513848359E-2</v>
      </c>
      <c r="GP3" s="3">
        <f t="shared" si="82"/>
        <v>7.2458162513848359E-2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30.822402313175189</v>
      </c>
      <c r="GR3" s="3">
        <f>IF(AND(Include_study?="Yes",Sufficient_data="Yes"),IF('Publication Bias Analysis'!L$38="Left",'Publication Bias Analysis'!E:E-GW$10,GW$10-'Publication Bias Analysis'!E:E),"")</f>
        <v>7.2458162513848359E-2</v>
      </c>
      <c r="GS3" s="3">
        <f t="shared" si="83"/>
        <v>7.2458162513848359E-2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30.822402313175189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2.4742198365482648E-2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6"/>
      <c r="HL3" s="3">
        <f t="shared" si="89"/>
        <v>7.0088897096512781E-2</v>
      </c>
      <c r="HM3" s="35">
        <f>IF(AND(Include_study?="Yes",Sufficient_data="Yes"),Z_score-('Publication Bias Analysis'!P$3+'Publication Bias Analysis'!P$4*Inverse_standard_error),"")</f>
        <v>0.4105246595063673</v>
      </c>
      <c r="HO3" s="116"/>
      <c r="HP3" s="3">
        <f>IF(AND(Include_study?="Yes",Sufficient_data="Yes"),(GD:GD-SUMPRODUCT(Calculations!FT:FT,'Publication Bias Analysis'!E:E)/SUM(Calculations!FT:FT))/SQRT(Calculations!HQ:HQ),"")</f>
        <v>0.46589464981355194</v>
      </c>
      <c r="HQ3" s="3">
        <f>IF(AND(Include_study?="Yes",Sufficient_data="Yes"),GE:GE^2-1/SUM(Calculations!FT:FT),"")</f>
        <v>2.4187956925936928E-2</v>
      </c>
      <c r="HR3" s="6">
        <f t="shared" si="90"/>
        <v>1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2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</v>
      </c>
      <c r="HW3" s="116"/>
      <c r="HX3" s="20">
        <v>2</v>
      </c>
      <c r="HY3" s="3">
        <f t="shared" ref="HY3:HY10" si="123">HZ2</f>
        <v>-0.7</v>
      </c>
      <c r="HZ3" s="35">
        <f>HZ4-HY14</f>
        <v>-0.5</v>
      </c>
      <c r="IB3" s="116"/>
      <c r="IC3" s="76">
        <f t="shared" si="92"/>
        <v>5.1987767584097858E-2</v>
      </c>
      <c r="ID3" s="3">
        <f t="shared" si="93"/>
        <v>4.7400611620795105E-2</v>
      </c>
      <c r="IE3" s="3">
        <f t="shared" si="94"/>
        <v>34.122865204692836</v>
      </c>
      <c r="IF3" s="35">
        <f t="shared" si="95"/>
        <v>30.822402313175189</v>
      </c>
      <c r="IH3" s="3">
        <v>0</v>
      </c>
      <c r="II3" s="3">
        <v>0</v>
      </c>
      <c r="IK3" s="116"/>
      <c r="IL3" s="3">
        <f>IF(AND(Include_study?="Yes",Sufficient_data="Yes"),'Publication Bias Analysis'!AV:AV,NA())</f>
        <v>0.53963625510001478</v>
      </c>
      <c r="IM3" s="3">
        <f>IF(AND(Sufficient_data="Yes",Include_study?="Yes"),'Publication Bias Analysis'!AU:AU,NA())</f>
        <v>5.5517927116540644</v>
      </c>
      <c r="IN3" s="3">
        <f t="shared" si="96"/>
        <v>7.0088897096512781E-2</v>
      </c>
      <c r="IO3" s="35">
        <f>IF(AND(Include_study?="Yes",Sufficient_data="Yes"),Z_score-('Publication Bias Analysis'!AY$30+'Publication Bias Analysis'!AY$31*Inverse_standard_error),"")</f>
        <v>0.40227269854422909</v>
      </c>
      <c r="IQ3" s="2" t="s">
        <v>96</v>
      </c>
      <c r="IR3" s="3">
        <v>0</v>
      </c>
      <c r="IS3" s="3">
        <v>0</v>
      </c>
      <c r="IU3" s="116"/>
      <c r="IV3" s="6">
        <f>IF('Publication Bias Analysis'!BG:BG&lt;&gt;"",RANK('Publication Bias Analysis'!BG:BG,'Publication Bias Analysis'!BG:BG,1)+COUNTIF('Publication Bias Analysis'!BG$2:BG2,'Publication Bias Analysis'!BG3),"")</f>
        <v>4</v>
      </c>
      <c r="IW3" s="3">
        <f t="shared" si="97"/>
        <v>0.84615384615384615</v>
      </c>
      <c r="IX3" s="3">
        <f>IF('Publication Bias Analysis'!BF3&lt;&gt;"",'Publication Bias Analysis'!BF3,NA())</f>
        <v>1.020076232786199</v>
      </c>
      <c r="IY3" s="3">
        <f>IF('Publication Bias Analysis'!BG3&lt;&gt;"",'Publication Bias Analysis'!BG3,NA())</f>
        <v>0.53963625510001478</v>
      </c>
      <c r="IZ3" s="3">
        <f>IF(AND(Include_study?="Yes",Sufficient_data="Yes"),'Publication Bias Analysis'!BF:BF-AVERAGE('Publication Bias Analysis'!BF:BF),"")</f>
        <v>1.020076232786199</v>
      </c>
      <c r="JA3" s="35">
        <f>IF(AND(Include_study?="Yes",Sufficient_data="Yes"),'Publication Bias Analysis'!BG:BG-('Publication Bias Analysis'!BJ$30+'Publication Bias Analysis'!BJ$31*'Publication Bias Analysis'!BF:BF),"")</f>
        <v>-5.8352791562742534E-2</v>
      </c>
      <c r="JC3" s="2" t="s">
        <v>243</v>
      </c>
      <c r="JD3" s="3">
        <f>MIN('Publication Bias Analysis'!BF:BF)</f>
        <v>-1.020076232786199</v>
      </c>
      <c r="JE3" s="3">
        <f>'Publication Bias Analysis'!BJ$30+JD3*'Publication Bias Analysis'!BJ$31</f>
        <v>-0.30157053467845657</v>
      </c>
      <c r="JG3" s="116"/>
      <c r="JH3" s="3">
        <f t="shared" si="98"/>
        <v>0.53963625510001478</v>
      </c>
      <c r="JI3" s="10">
        <f t="shared" ref="JI3:JI66" si="124">IF(JH3&lt;&gt;"",1-NORMSDIST(ABS(JH3)),"")</f>
        <v>0.29472395432139264</v>
      </c>
      <c r="JJ3" s="35">
        <f t="shared" ref="JJ3:JJ66" si="125">IF(JI3&lt;&gt;"",LN(MAX(10^-306,JI3)),"")</f>
        <v>-1.221716108790925</v>
      </c>
    </row>
    <row r="4" spans="1:270" ht="13" x14ac:dyDescent="0.35">
      <c r="A4" s="2">
        <f t="shared" si="0"/>
        <v>2</v>
      </c>
      <c r="B4" s="6">
        <f>IF(AND(Include_study?="Yes",Sufficient_data="Yes"),IF(Input!a_&lt;&gt;"",Input!a_,Input!n1_-Input!b_),"")</f>
        <v>47</v>
      </c>
      <c r="C4" s="6">
        <f>IF(AND(Include_study?="Yes",Sufficient_data="Yes"),IF(Input!b_&lt;&gt;"",Input!b_,Input!n1_-Input!a_),"")</f>
        <v>938</v>
      </c>
      <c r="D4" s="6">
        <f>IF(AND(Include_study?="Yes",Sufficient_data="Yes"),IF(Input!c_&lt;&gt;"",Input!c_,Input!n2_-Input!d_),"")</f>
        <v>45</v>
      </c>
      <c r="E4" s="6">
        <f>IF(AND(Include_study?="Yes",Sufficient_data="Yes"),IF(Input!d_&lt;&gt;"",Input!d_,Input!n2_-Input!c_),"")</f>
        <v>940</v>
      </c>
      <c r="F4" s="35" t="str">
        <f t="shared" si="1"/>
        <v>No</v>
      </c>
      <c r="H4" s="135"/>
      <c r="I4" s="129"/>
      <c r="J4" s="76">
        <f t="shared" si="2"/>
        <v>1.04667140488036</v>
      </c>
      <c r="K4" s="3">
        <f t="shared" si="3"/>
        <v>4.561503819756367E-2</v>
      </c>
      <c r="L4" s="3">
        <f t="shared" si="4"/>
        <v>0.21360886178986249</v>
      </c>
      <c r="M4" s="3">
        <f t="shared" si="5"/>
        <v>0.6884529622419121</v>
      </c>
      <c r="N4" s="35">
        <f t="shared" si="6"/>
        <v>1.5912794190422508</v>
      </c>
      <c r="P4" s="116"/>
      <c r="Q4" s="76">
        <f t="shared" si="7"/>
        <v>1.0466400018191393</v>
      </c>
      <c r="R4" s="3">
        <f t="shared" si="8"/>
        <v>0.21350652205157356</v>
      </c>
      <c r="S4" s="3">
        <f t="shared" si="9"/>
        <v>0.68857049284557104</v>
      </c>
      <c r="T4" s="35">
        <f t="shared" si="10"/>
        <v>1.5909123390996815</v>
      </c>
      <c r="V4" s="116"/>
      <c r="W4" s="76">
        <f t="shared" si="11"/>
        <v>2.0304568527918787E-3</v>
      </c>
      <c r="X4" s="3">
        <f t="shared" si="12"/>
        <v>9.5075219501481421E-3</v>
      </c>
      <c r="Y4" s="3">
        <f t="shared" si="13"/>
        <v>-1.6615411263269163E-2</v>
      </c>
      <c r="Z4" s="35">
        <f t="shared" si="14"/>
        <v>2.0676324968852921E-2</v>
      </c>
      <c r="AB4" s="116"/>
      <c r="AC4" s="76">
        <f t="shared" si="15"/>
        <v>1.0444444444444445</v>
      </c>
      <c r="AD4" s="3">
        <f t="shared" si="16"/>
        <v>4.3485111939738891E-2</v>
      </c>
      <c r="AE4" s="3">
        <f t="shared" si="17"/>
        <v>0.20363781847709722</v>
      </c>
      <c r="AF4" s="3">
        <f t="shared" si="18"/>
        <v>0.700554372808742</v>
      </c>
      <c r="AG4" s="35">
        <f t="shared" si="19"/>
        <v>1.5571442273027971</v>
      </c>
      <c r="AI4" s="135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4" s="6">
        <f>IF(AJ4&lt;&gt;"",IF(AJ4=0,COUNTIF(AJ$2:AJ3,0)+1,COUNTIF(AJ$2:AJ3,AJ4)+AJ4+COUNTIF(AJ:AJ,0)),"")</f>
        <v>2</v>
      </c>
      <c r="AL4" s="6">
        <f t="shared" si="20"/>
        <v>2</v>
      </c>
      <c r="AM4" s="3" t="str">
        <f>IF(AND(Include_study?="Yes",Sufficient_data="Yes",Input!Study_name&lt;&gt;""),Input!Study_name,"")</f>
        <v>Quan et al.</v>
      </c>
      <c r="AN4" s="6">
        <f t="shared" si="21"/>
        <v>1970</v>
      </c>
      <c r="AO4" s="3">
        <f t="shared" si="22"/>
        <v>1.04667140488036</v>
      </c>
      <c r="AP4" s="3">
        <f t="shared" si="23"/>
        <v>21.916008903962037</v>
      </c>
      <c r="AQ4" s="3">
        <f t="shared" si="24"/>
        <v>21.916008903962037</v>
      </c>
      <c r="AR4" s="3">
        <f t="shared" si="25"/>
        <v>0.21360886178986249</v>
      </c>
      <c r="AS4" s="3">
        <f t="shared" si="26"/>
        <v>0.6884529622419121</v>
      </c>
      <c r="AT4" s="3">
        <f t="shared" si="27"/>
        <v>1.5912794190422508</v>
      </c>
      <c r="AU4" s="80">
        <f t="shared" si="28"/>
        <v>0.18093807675749579</v>
      </c>
      <c r="AW4" s="44">
        <f t="shared" si="29"/>
        <v>1.04667140488036</v>
      </c>
      <c r="AX4" s="3">
        <f t="shared" si="30"/>
        <v>0.35821844263844793</v>
      </c>
      <c r="AY4" s="35">
        <f t="shared" si="31"/>
        <v>0.54460801416189075</v>
      </c>
      <c r="BA4" s="2" t="s">
        <v>281</v>
      </c>
      <c r="BB4" s="3">
        <f>'Forest Plot'!$B$16-CES_CI_Lower_limit</f>
        <v>0.11495381479126765</v>
      </c>
      <c r="BD4" s="135"/>
      <c r="BE4" s="129"/>
      <c r="BF4" s="3">
        <f t="shared" si="32"/>
        <v>4.561503819756367E-2</v>
      </c>
      <c r="BG4" s="3">
        <f t="shared" si="33"/>
        <v>0.21360886178986249</v>
      </c>
      <c r="BH4" s="3">
        <f t="shared" si="34"/>
        <v>21.916008903962037</v>
      </c>
      <c r="BI4" s="3">
        <f t="shared" si="99"/>
        <v>21.916008903962037</v>
      </c>
      <c r="BJ4" s="35">
        <f t="shared" si="35"/>
        <v>2.0872839832081023E-2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-9.4204078682592049E-2</v>
      </c>
      <c r="BO4" s="116"/>
      <c r="BP4" s="3">
        <f t="shared" si="36"/>
        <v>22.426395939086294</v>
      </c>
      <c r="BQ4" s="3">
        <f t="shared" si="37"/>
        <v>21.426395939086294</v>
      </c>
      <c r="BR4" s="3">
        <f t="shared" si="38"/>
        <v>11.235965884202118</v>
      </c>
      <c r="BS4" s="3">
        <f>IF(AND(Sufficient_data="Yes",Include_study?="Yes"),IF(Add_0_5="Yes",(a_+d_+1)*(ab_+0.5)*(c_+0.5)/(Number_of_subjects+2)^2,(a_+d_)*b_*c_/Number_of_subjects^2),"")</f>
        <v>10.734950655775721</v>
      </c>
      <c r="BT4" s="3">
        <f t="shared" si="39"/>
        <v>11.190430054884176</v>
      </c>
      <c r="BU4" s="3">
        <f t="shared" si="40"/>
        <v>10.691445283310573</v>
      </c>
      <c r="BV4" s="3">
        <f t="shared" si="41"/>
        <v>21.426395939086294</v>
      </c>
      <c r="BW4" s="3">
        <f t="shared" si="42"/>
        <v>9.5476744459902889E-3</v>
      </c>
      <c r="BX4" s="3">
        <f t="shared" si="43"/>
        <v>21.916008903962037</v>
      </c>
      <c r="BY4" s="35">
        <f t="shared" si="44"/>
        <v>2.087283983208113E-2</v>
      </c>
      <c r="CA4" s="3" t="s">
        <v>282</v>
      </c>
      <c r="CB4" s="3">
        <f>SQRT(VarlnCES_MH)</f>
        <v>3.7375737290710052E-2</v>
      </c>
      <c r="CD4" s="116"/>
      <c r="CE4" s="76">
        <f t="shared" si="45"/>
        <v>46</v>
      </c>
      <c r="CF4" s="3">
        <f t="shared" si="46"/>
        <v>21.937023869984763</v>
      </c>
      <c r="CG4" s="3">
        <f t="shared" si="47"/>
        <v>4.5585034958559062E-2</v>
      </c>
      <c r="CH4" s="3">
        <f t="shared" si="48"/>
        <v>4.5585034958559062E-2</v>
      </c>
      <c r="CI4" s="3">
        <f t="shared" si="49"/>
        <v>21.937023869984763</v>
      </c>
      <c r="CJ4" s="3">
        <f t="shared" si="50"/>
        <v>21.937023869984763</v>
      </c>
      <c r="CK4" s="35">
        <f t="shared" si="51"/>
        <v>2.0853535205879185E-2</v>
      </c>
      <c r="CM4" s="3" t="s">
        <v>282</v>
      </c>
      <c r="CN4" s="3">
        <f>SQRT(VarlnCES_Peto)</f>
        <v>3.7347033707354239E-2</v>
      </c>
      <c r="CP4" s="116"/>
      <c r="CQ4" s="52">
        <f t="shared" si="52"/>
        <v>4.5685279187817257E-2</v>
      </c>
      <c r="CS4" s="2" t="s">
        <v>92</v>
      </c>
      <c r="CT4" s="3">
        <f>IF(Weighting_method="Inverse variance",IF(Model_effect_size_measure="Odds Ratio",CICES_LL,""),"")</f>
        <v>0.9100970118883509</v>
      </c>
      <c r="CU4" s="3">
        <f>IF(Model_effect_size_measure="Odds Ratio",CICES_LL_MH,"")</f>
        <v>0.91009701188835079</v>
      </c>
      <c r="CV4" s="3" t="str">
        <f>IF(Model_effect_size_measure="Peto Odds Ratio",CICES_LL_Peto,"")</f>
        <v/>
      </c>
      <c r="CX4" s="135"/>
      <c r="CY4" s="48">
        <f t="shared" si="53"/>
        <v>2</v>
      </c>
      <c r="CZ4" s="6" t="str">
        <f t="shared" si="54"/>
        <v>Quan et al.</v>
      </c>
      <c r="DA4" s="17" t="str">
        <f t="shared" si="55"/>
        <v>English</v>
      </c>
      <c r="DB4" s="3">
        <f t="shared" si="56"/>
        <v>4.561503819756367E-2</v>
      </c>
      <c r="DC4" s="3">
        <f t="shared" si="57"/>
        <v>0.21360886178986249</v>
      </c>
      <c r="DD4" s="3">
        <f t="shared" si="58"/>
        <v>21.916008903962037</v>
      </c>
      <c r="DE4" s="3">
        <f t="shared" si="59"/>
        <v>21.916008903962037</v>
      </c>
      <c r="DF4" s="80">
        <f t="shared" si="60"/>
        <v>0.18093807675749579</v>
      </c>
      <c r="DG4" s="3">
        <f t="shared" si="61"/>
        <v>1.04667140488036</v>
      </c>
      <c r="DH4" s="3">
        <f t="shared" si="62"/>
        <v>0.68845305238077903</v>
      </c>
      <c r="DI4" s="3">
        <f t="shared" si="63"/>
        <v>1.5912792106967095</v>
      </c>
      <c r="DJ4" s="35">
        <f t="shared" si="64"/>
        <v>2.0872839832081023E-2</v>
      </c>
      <c r="DL4" s="44">
        <f t="shared" si="65"/>
        <v>1.04667140488036</v>
      </c>
      <c r="DM4" s="3">
        <f t="shared" si="100"/>
        <v>0.35821835249958101</v>
      </c>
      <c r="DN4" s="35">
        <f t="shared" si="101"/>
        <v>0.54460780581634949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2.4742198365482641E-2</v>
      </c>
      <c r="FA4" s="135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35"/>
      <c r="FS4" s="129"/>
      <c r="FT4" s="76">
        <f>IF(AND(Include_study?="Yes",Sufficient_data="Yes"),IF(Additional_weighting_method="Inverse Variance",1/'Publication Bias Analysis'!F:F^2,IF(Additional_weighting_method="Mantel-Haenszel",Weightf_MH,Weightf_Peto)),"")</f>
        <v>21.916008903962037</v>
      </c>
      <c r="FU4" s="3">
        <f>IF(AND(Include_study?="Yes",Sufficient_data="Yes"),1/('Publication Bias Analysis'!F:F^2+IF(Additional_model="Fixed effect",0,Calculations!GH$12)),"")</f>
        <v>21.916008903962037</v>
      </c>
      <c r="FV4" s="3">
        <f>IF(AND(Include_study?="Yes",Sufficient_data="Yes"),1/('Publication Bias Analysis'!F:F^2+IF(Additional_model="Fixed effect",0,'Publication Bias Analysis'!L$32)),"")</f>
        <v>21.916008903962037</v>
      </c>
      <c r="FW4" s="3">
        <f>IF(AND(Include_study?="Yes",Sufficient_data="Yes"),'Publication Bias Analysis'!E:E-'Publication Bias Analysis'!I$37,"")</f>
        <v>2.0872839832081023E-2</v>
      </c>
      <c r="FX4" s="3">
        <f>IF(AND(Include_study?="Yes",Sufficient_data="Yes"),IF(Additional_model="Fixed effect",1/'Publication Bias Analysis'!F:F,1/SQRT('Publication Bias Analysis'!F:F^2+GH$12)),"")</f>
        <v>4.6814537169518227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0.21354469011888383</v>
      </c>
      <c r="FZ4" s="6">
        <f t="shared" si="80"/>
        <v>2</v>
      </c>
      <c r="GA4" s="83">
        <f>IF(AND(Include_study?="Yes",Sufficient_data="Yes"),FZ:FZ+IF(GL:GL&lt;0,-1,1)*COUNTIF(FZ$2:FZ3,FZ:FZ),"")</f>
        <v>2</v>
      </c>
      <c r="GB4" s="83">
        <f>IF(AND(Include_study?="Yes",Sufficient_data="Yes"),RANK(GP:GP,GP:GP,1)*IF(GO:GO&lt;0,-1,1)+IF(GO:GO&lt;0,-1,1)*COUNTIF(FZ$2:FZ3,FZ:FZ),"")</f>
        <v>2</v>
      </c>
      <c r="GC4" s="83">
        <f>IF(AND(Include_study?="Yes",Sufficient_data="Yes"),RANK(GS:GS,GS:GS,1)*IF(GR:GR&lt;0,-1,1)+IF(GR:GR&lt;0,-1,1)*COUNTIF(FZ$2:FZ3,FZ:FZ),"")</f>
        <v>2</v>
      </c>
      <c r="GD4" s="3">
        <f>IF(AND(Include_study?="Yes",Sufficient_data="Yes"),'Publication Bias Analysis'!E4,NA())</f>
        <v>4.561503819756367E-2</v>
      </c>
      <c r="GE4" s="35">
        <f>IF(AND(Include_study?="Yes",Sufficient_data="Yes"),'Publication Bias Analysis'!F4,NA())</f>
        <v>0.21360886178986249</v>
      </c>
      <c r="GG4" s="2" t="s">
        <v>274</v>
      </c>
      <c r="GH4" s="3">
        <f>IF(Trim_and_fill="Off",'Publication Bias Analysis'!I29,'Publication Bias Analysis'!I37)</f>
        <v>2.4742198365482648E-2</v>
      </c>
      <c r="GI4" s="3">
        <v>0</v>
      </c>
      <c r="GK4" s="116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2.0872839832081023E-2</v>
      </c>
      <c r="GM4" s="3">
        <f t="shared" si="81"/>
        <v>2.0872839832081023E-2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21.916008903962037</v>
      </c>
      <c r="GO4" s="3">
        <f>IF(AND(Include_study?="Yes",Sufficient_data="Yes"),IF('Publication Bias Analysis'!L$38="Left",'Publication Bias Analysis'!E:E-GW$3,GW$3-'Publication Bias Analysis'!E:E),"")</f>
        <v>2.0872839832081023E-2</v>
      </c>
      <c r="GP4" s="3">
        <f t="shared" si="82"/>
        <v>2.0872839832081023E-2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21.916008903962037</v>
      </c>
      <c r="GR4" s="3">
        <f>IF(AND(Include_study?="Yes",Sufficient_data="Yes"),IF('Publication Bias Analysis'!L$38="Left",'Publication Bias Analysis'!E:E-GW$10,GW$10-'Publication Bias Analysis'!E:E),"")</f>
        <v>2.0872839832081023E-2</v>
      </c>
      <c r="GS4" s="3">
        <f t="shared" si="83"/>
        <v>2.0872839832081023E-2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21.916008903962037</v>
      </c>
      <c r="GV4" s="118" t="s">
        <v>54</v>
      </c>
      <c r="GW4" s="118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6"/>
      <c r="HL4" s="3">
        <f t="shared" si="89"/>
        <v>-0.80025009760572896</v>
      </c>
      <c r="HM4" s="35">
        <f>IF(AND(Include_study?="Yes",Sufficient_data="Yes"),Z_score-('Publication Bias Analysis'!P$3+'Publication Bias Analysis'!P$4*Inverse_standard_error),"")</f>
        <v>-0.15271485958666892</v>
      </c>
      <c r="HO4" s="116"/>
      <c r="HP4" s="3">
        <f>IF(AND(Include_study?="Yes",Sufficient_data="Yes"),(GD:GD-SUMPRODUCT(Calculations!FT:FT,'Publication Bias Analysis'!E:E)/SUM(Calculations!FT:FT))/SQRT(Calculations!HQ:HQ),"")</f>
        <v>0.1079702001029426</v>
      </c>
      <c r="HQ4" s="3">
        <f>IF(AND(Include_study?="Yes",Sufficient_data="Yes"),GE:GE^2-1/SUM(Calculations!FT:FT),"")</f>
        <v>3.7372768318890026E-2</v>
      </c>
      <c r="HR4" s="6">
        <f t="shared" si="90"/>
        <v>3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1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2</v>
      </c>
      <c r="HW4" s="116"/>
      <c r="HX4" s="20">
        <v>3</v>
      </c>
      <c r="HY4" s="3">
        <f t="shared" si="123"/>
        <v>-0.5</v>
      </c>
      <c r="HZ4" s="35">
        <f>HZ5-HY14</f>
        <v>-0.30000000000000004</v>
      </c>
      <c r="IB4" s="116"/>
      <c r="IC4" s="76">
        <f t="shared" si="92"/>
        <v>4.7715736040609136E-2</v>
      </c>
      <c r="ID4" s="3">
        <f t="shared" si="93"/>
        <v>4.5685279187817257E-2</v>
      </c>
      <c r="IE4" s="3">
        <f t="shared" si="94"/>
        <v>24.114770228035653</v>
      </c>
      <c r="IF4" s="35">
        <f t="shared" si="95"/>
        <v>21.916008903962037</v>
      </c>
      <c r="IH4" s="3">
        <f>MAX('Publication Bias Analysis'!AH:AH)</f>
        <v>8.0203045685279181E-2</v>
      </c>
      <c r="II4" s="3">
        <f>MAX('Publication Bias Analysis'!AH:AH)</f>
        <v>8.0203045685279181E-2</v>
      </c>
      <c r="IK4" s="116"/>
      <c r="IL4" s="3">
        <f>IF(AND(Include_study?="Yes",Sufficient_data="Yes"),'Publication Bias Analysis'!AV:AV,NA())</f>
        <v>0.21354469011888383</v>
      </c>
      <c r="IM4" s="3">
        <f>IF(AND(Sufficient_data="Yes",Include_study?="Yes"),'Publication Bias Analysis'!AU:AU,NA())</f>
        <v>4.6814537169518227</v>
      </c>
      <c r="IN4" s="3">
        <f t="shared" si="96"/>
        <v>-0.80025009760572896</v>
      </c>
      <c r="IO4" s="35">
        <f>IF(AND(Include_study?="Yes",Sufficient_data="Yes"),Z_score-('Publication Bias Analysis'!AY$30+'Publication Bias Analysis'!AY$31*Inverse_standard_error),"")</f>
        <v>9.7715233615235778E-2</v>
      </c>
      <c r="IQ4" s="2" t="s">
        <v>283</v>
      </c>
      <c r="IR4" s="3">
        <f>MAX(Inverse_standard_error)</f>
        <v>5.9367112306724064</v>
      </c>
      <c r="IS4" s="3">
        <f>IR4*'Publication Bias Analysis'!AY31</f>
        <v>0.1468872869078853</v>
      </c>
      <c r="IU4" s="116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0.38461538461538464</v>
      </c>
      <c r="IX4" s="3">
        <f>IF('Publication Bias Analysis'!BF4&lt;&gt;"",'Publication Bias Analysis'!BF4,NA())</f>
        <v>-0.29338123212119332</v>
      </c>
      <c r="IY4" s="3">
        <f>IF('Publication Bias Analysis'!BG4&lt;&gt;"",'Publication Bias Analysis'!BG4,NA())</f>
        <v>0.21354469011888383</v>
      </c>
      <c r="IZ4" s="3">
        <f>IF(AND(Include_study?="Yes",Sufficient_data="Yes"),'Publication Bias Analysis'!BF:BF-AVERAGE('Publication Bias Analysis'!BF:BF),"")</f>
        <v>-0.29338123212119332</v>
      </c>
      <c r="JA4" s="35">
        <f>IF(AND(Include_study?="Yes",Sufficient_data="Yes"),'Publication Bias Analysis'!BG:BG-('Publication Bias Analysis'!BJ$30+'Publication Bias Analysis'!BJ$31*'Publication Bias Analysis'!BF:BF),"")</f>
        <v>0.1946953240339149</v>
      </c>
      <c r="JC4" s="2" t="s">
        <v>244</v>
      </c>
      <c r="JD4" s="3">
        <f>MAX('Publication Bias Analysis'!BF:BF)</f>
        <v>1.020076232786199</v>
      </c>
      <c r="JE4" s="3">
        <f>'Publication Bias Analysis'!BJ$30+JD4*'Publication Bias Analysis'!BJ$31</f>
        <v>0.59798904666275732</v>
      </c>
      <c r="JG4" s="116"/>
      <c r="JH4" s="3">
        <f t="shared" si="98"/>
        <v>0.21354469011888383</v>
      </c>
      <c r="JI4" s="10">
        <f t="shared" si="124"/>
        <v>0.41545106760642514</v>
      </c>
      <c r="JJ4" s="35">
        <f t="shared" si="125"/>
        <v>-0.87839043911533154</v>
      </c>
    </row>
    <row r="5" spans="1:270" ht="13.5" customHeight="1" x14ac:dyDescent="0.35">
      <c r="A5" s="2">
        <f t="shared" si="0"/>
        <v>3</v>
      </c>
      <c r="B5" s="6">
        <f>IF(AND(Include_study?="Yes",Sufficient_data="Yes"),IF(Input!a_&lt;&gt;"",Input!a_,Input!n1_-Input!b_),"")</f>
        <v>73</v>
      </c>
      <c r="C5" s="6">
        <f>IF(AND(Include_study?="Yes",Sufficient_data="Yes"),IF(Input!b_&lt;&gt;"",Input!b_,Input!n1_-Input!a_),"")</f>
        <v>912</v>
      </c>
      <c r="D5" s="6">
        <f>IF(AND(Include_study?="Yes",Sufficient_data="Yes"),IF(Input!c_&lt;&gt;"",Input!c_,Input!n2_-Input!d_),"")</f>
        <v>70</v>
      </c>
      <c r="E5" s="6">
        <f>IF(AND(Include_study?="Yes",Sufficient_data="Yes"),IF(Input!d_&lt;&gt;"",Input!d_,Input!n2_-Input!c_),"")</f>
        <v>915</v>
      </c>
      <c r="F5" s="35" t="str">
        <f t="shared" si="1"/>
        <v>No</v>
      </c>
      <c r="H5" s="135"/>
      <c r="I5" s="129"/>
      <c r="J5" s="76">
        <f t="shared" si="2"/>
        <v>1.0462875939849625</v>
      </c>
      <c r="K5" s="3">
        <f t="shared" si="3"/>
        <v>4.5248274300222172E-2</v>
      </c>
      <c r="L5" s="3">
        <f t="shared" si="4"/>
        <v>0.17370587734913909</v>
      </c>
      <c r="M5" s="3">
        <f t="shared" si="5"/>
        <v>0.74422006261036044</v>
      </c>
      <c r="N5" s="35">
        <f t="shared" si="6"/>
        <v>1.4709597124902904</v>
      </c>
      <c r="P5" s="116"/>
      <c r="Q5" s="76">
        <f t="shared" si="7"/>
        <v>1.0462571206404792</v>
      </c>
      <c r="R5" s="3">
        <f t="shared" si="8"/>
        <v>0.17362632033080799</v>
      </c>
      <c r="S5" s="3">
        <f t="shared" si="9"/>
        <v>0.74431450954508072</v>
      </c>
      <c r="T5" s="35">
        <f t="shared" si="10"/>
        <v>1.47068738880282</v>
      </c>
      <c r="V5" s="116"/>
      <c r="W5" s="76">
        <f t="shared" si="11"/>
        <v>3.0456852791878181E-3</v>
      </c>
      <c r="X5" s="3">
        <f t="shared" si="12"/>
        <v>1.1691237105078982E-2</v>
      </c>
      <c r="Y5" s="3">
        <f t="shared" si="13"/>
        <v>-1.9882819784269368E-2</v>
      </c>
      <c r="Z5" s="35">
        <f t="shared" si="14"/>
        <v>2.5974190342645004E-2</v>
      </c>
      <c r="AB5" s="116"/>
      <c r="AC5" s="76">
        <f t="shared" si="15"/>
        <v>1.0428571428571429</v>
      </c>
      <c r="AD5" s="3">
        <f t="shared" si="16"/>
        <v>4.1964199099032207E-2</v>
      </c>
      <c r="AE5" s="3">
        <f t="shared" si="17"/>
        <v>0.16110210293447041</v>
      </c>
      <c r="AF5" s="3">
        <f t="shared" si="18"/>
        <v>0.76034391066385654</v>
      </c>
      <c r="AG5" s="35">
        <f t="shared" si="19"/>
        <v>1.430340935404641</v>
      </c>
      <c r="AI5" s="135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5" s="6">
        <f>IF(AJ5&lt;&gt;"",IF(AJ5=0,COUNTIF(AJ$2:AJ4,0)+1,COUNTIF(AJ$2:AJ4,AJ5)+AJ5+COUNTIF(AJ:AJ,0)),"")</f>
        <v>3</v>
      </c>
      <c r="AL5" s="6">
        <f t="shared" si="20"/>
        <v>3</v>
      </c>
      <c r="AM5" s="3" t="str">
        <f>IF(AND(Include_study?="Yes",Sufficient_data="Yes",Input!Study_name&lt;&gt;""),Input!Study_name,"")</f>
        <v>Quan et al.</v>
      </c>
      <c r="AN5" s="6">
        <f t="shared" si="21"/>
        <v>1970</v>
      </c>
      <c r="AO5" s="3">
        <f t="shared" si="22"/>
        <v>1.0462875939849625</v>
      </c>
      <c r="AP5" s="3">
        <f t="shared" si="23"/>
        <v>33.141409414610365</v>
      </c>
      <c r="AQ5" s="3">
        <f t="shared" si="24"/>
        <v>33.141409414610365</v>
      </c>
      <c r="AR5" s="3">
        <f t="shared" si="25"/>
        <v>0.17370587734913909</v>
      </c>
      <c r="AS5" s="3">
        <f t="shared" si="26"/>
        <v>0.74422006261036044</v>
      </c>
      <c r="AT5" s="3">
        <f t="shared" si="27"/>
        <v>1.4709597124902904</v>
      </c>
      <c r="AU5" s="80">
        <f t="shared" si="28"/>
        <v>0.27361473098454037</v>
      </c>
      <c r="AW5" s="44">
        <f t="shared" si="29"/>
        <v>1.0462875939849625</v>
      </c>
      <c r="AX5" s="3">
        <f t="shared" si="30"/>
        <v>0.30206753137460207</v>
      </c>
      <c r="AY5" s="35">
        <f t="shared" si="31"/>
        <v>0.42467211850532793</v>
      </c>
      <c r="BA5" s="2" t="s">
        <v>284</v>
      </c>
      <c r="BB5" s="3">
        <f>CES_CI_Upper_limit-'Forest Plot'!$B$16</f>
        <v>0.12947356308452584</v>
      </c>
      <c r="BD5" s="135"/>
      <c r="BE5" s="129"/>
      <c r="BF5" s="3">
        <f t="shared" si="32"/>
        <v>4.5248274300222172E-2</v>
      </c>
      <c r="BG5" s="3">
        <f t="shared" si="33"/>
        <v>0.17370587734913909</v>
      </c>
      <c r="BH5" s="3">
        <f t="shared" si="34"/>
        <v>33.141409414610365</v>
      </c>
      <c r="BI5" s="3">
        <f t="shared" si="99"/>
        <v>33.141409414610365</v>
      </c>
      <c r="BJ5" s="35">
        <f t="shared" si="35"/>
        <v>2.0506075934739524E-2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0.14368847541355734</v>
      </c>
      <c r="BO5" s="116"/>
      <c r="BP5" s="3">
        <f t="shared" si="36"/>
        <v>33.906091370558379</v>
      </c>
      <c r="BQ5" s="3">
        <f t="shared" si="37"/>
        <v>32.406091370558379</v>
      </c>
      <c r="BR5" s="3">
        <f t="shared" si="38"/>
        <v>17.00467932696024</v>
      </c>
      <c r="BS5" s="3">
        <f>IF(AND(Sufficient_data="Yes",Include_study?="Yes"),IF(Add_0_5="Yes",(a_+d_+1)*(ab_+0.5)*(c_+0.5)/(Number_of_subjects+2)^2,(a_+d_)*b_*c_/Number_of_subjects^2),"")</f>
        <v>16.252395063000851</v>
      </c>
      <c r="BT5" s="3">
        <f t="shared" si="39"/>
        <v>16.901412043598135</v>
      </c>
      <c r="BU5" s="3">
        <f t="shared" si="40"/>
        <v>16.153696307557524</v>
      </c>
      <c r="BV5" s="3">
        <f t="shared" si="41"/>
        <v>32.406091370558379</v>
      </c>
      <c r="BW5" s="3">
        <f t="shared" si="42"/>
        <v>1.3935054358708246E-2</v>
      </c>
      <c r="BX5" s="3">
        <f t="shared" si="43"/>
        <v>33.141409414610365</v>
      </c>
      <c r="BY5" s="35">
        <f t="shared" si="44"/>
        <v>2.0506075934739632E-2</v>
      </c>
      <c r="CA5" s="3" t="s">
        <v>285</v>
      </c>
      <c r="CB5" s="3">
        <f>lnCES_OddsRatio_MH-ABS(TINV((1-Confidence_level),k_-1))*SElnCES_MH</f>
        <v>-9.420407868259216E-2</v>
      </c>
      <c r="CD5" s="116"/>
      <c r="CE5" s="76">
        <f t="shared" si="45"/>
        <v>71.5</v>
      </c>
      <c r="CF5" s="3">
        <f t="shared" si="46"/>
        <v>33.17178770949721</v>
      </c>
      <c r="CG5" s="3">
        <f t="shared" si="47"/>
        <v>4.5219148667424526E-2</v>
      </c>
      <c r="CH5" s="3">
        <f t="shared" si="48"/>
        <v>3.0146099111616351E-2</v>
      </c>
      <c r="CI5" s="3">
        <f t="shared" si="49"/>
        <v>33.17178770949721</v>
      </c>
      <c r="CJ5" s="3">
        <f t="shared" si="50"/>
        <v>33.17178770949721</v>
      </c>
      <c r="CK5" s="35">
        <f t="shared" si="51"/>
        <v>2.0487648914744649E-2</v>
      </c>
      <c r="CM5" s="3" t="s">
        <v>285</v>
      </c>
      <c r="CN5" s="3">
        <f>lnCES_PetoOddsRatio-ABS(TINV((1-Confidence_level),k_-1))*SElnCES_Peto</f>
        <v>-9.4123429682595711E-2</v>
      </c>
      <c r="CP5" s="116"/>
      <c r="CQ5" s="52">
        <f t="shared" si="52"/>
        <v>7.1065989847715741E-2</v>
      </c>
      <c r="CS5" s="2" t="s">
        <v>93</v>
      </c>
      <c r="CT5" s="3">
        <f>IF(Weighting_method="Inverse variance",IF(Model_effect_size_measure="Odds Ratio",CICES_UL,""),"")</f>
        <v>1.1545243897641444</v>
      </c>
      <c r="CU5" s="3">
        <f>IF(Model_effect_size_measure="Odds Ratio",CICES_UL_MH,"")</f>
        <v>1.1545243897641444</v>
      </c>
      <c r="CV5" s="3" t="str">
        <f>IF(Model_effect_size_measure="Peto Odds Ratio",CICES_UL_Peto,"")</f>
        <v/>
      </c>
      <c r="CX5" s="135"/>
      <c r="CY5" s="48">
        <f t="shared" si="53"/>
        <v>3</v>
      </c>
      <c r="CZ5" s="6" t="str">
        <f t="shared" si="54"/>
        <v>Quan et al.</v>
      </c>
      <c r="DA5" s="17" t="str">
        <f t="shared" si="55"/>
        <v>English</v>
      </c>
      <c r="DB5" s="3">
        <f t="shared" si="56"/>
        <v>4.5248274300222172E-2</v>
      </c>
      <c r="DC5" s="3">
        <f t="shared" si="57"/>
        <v>0.17370587734913909</v>
      </c>
      <c r="DD5" s="3">
        <f t="shared" si="58"/>
        <v>33.141409414610365</v>
      </c>
      <c r="DE5" s="3">
        <f t="shared" si="59"/>
        <v>33.141409414610365</v>
      </c>
      <c r="DF5" s="80">
        <f t="shared" si="60"/>
        <v>0.27361473098454037</v>
      </c>
      <c r="DG5" s="3">
        <f t="shared" si="61"/>
        <v>1.0462875939849625</v>
      </c>
      <c r="DH5" s="3">
        <f t="shared" si="62"/>
        <v>0.74422014184853047</v>
      </c>
      <c r="DI5" s="3">
        <f t="shared" si="63"/>
        <v>1.4709595558751316</v>
      </c>
      <c r="DJ5" s="35">
        <f t="shared" si="64"/>
        <v>2.0506075934739524E-2</v>
      </c>
      <c r="DL5" s="44">
        <f t="shared" si="65"/>
        <v>1.0462875939849625</v>
      </c>
      <c r="DM5" s="3">
        <f t="shared" si="100"/>
        <v>0.30206745213643205</v>
      </c>
      <c r="DN5" s="35">
        <f t="shared" si="101"/>
        <v>0.42467196189016909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2.4742198365482661E-2</v>
      </c>
      <c r="FA5" s="135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35"/>
      <c r="FS5" s="129"/>
      <c r="FT5" s="76">
        <f>IF(AND(Include_study?="Yes",Sufficient_data="Yes"),IF(Additional_weighting_method="Inverse Variance",1/'Publication Bias Analysis'!F:F^2,IF(Additional_weighting_method="Mantel-Haenszel",Weightf_MH,Weightf_Peto)),"")</f>
        <v>33.141409414610365</v>
      </c>
      <c r="FU5" s="3">
        <f>IF(AND(Include_study?="Yes",Sufficient_data="Yes"),1/('Publication Bias Analysis'!F:F^2+IF(Additional_model="Fixed effect",0,Calculations!GH$12)),"")</f>
        <v>33.141409414610365</v>
      </c>
      <c r="FV5" s="3">
        <f>IF(AND(Include_study?="Yes",Sufficient_data="Yes"),1/('Publication Bias Analysis'!F:F^2+IF(Additional_model="Fixed effect",0,'Publication Bias Analysis'!L$32)),"")</f>
        <v>33.141409414610365</v>
      </c>
      <c r="FW5" s="3">
        <f>IF(AND(Include_study?="Yes",Sufficient_data="Yes"),'Publication Bias Analysis'!E:E-'Publication Bias Analysis'!I$37,"")</f>
        <v>2.0506075934739524E-2</v>
      </c>
      <c r="FX5" s="3">
        <f>IF(AND(Include_study?="Yes",Sufficient_data="Yes"),IF(Additional_model="Fixed effect",1/'Publication Bias Analysis'!F:F,1/SQRT('Publication Bias Analysis'!F:F^2+GH$12)),"")</f>
        <v>5.7568575989519113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0.26048787174469445</v>
      </c>
      <c r="FZ5" s="6">
        <f t="shared" si="80"/>
        <v>1</v>
      </c>
      <c r="GA5" s="83">
        <f>IF(AND(Include_study?="Yes",Sufficient_data="Yes"),FZ:FZ+IF(GL:GL&lt;0,-1,1)*COUNTIF(FZ$2:FZ4,FZ:FZ),"")</f>
        <v>1</v>
      </c>
      <c r="GB5" s="83">
        <f>IF(AND(Include_study?="Yes",Sufficient_data="Yes"),RANK(GP:GP,GP:GP,1)*IF(GO:GO&lt;0,-1,1)+IF(GO:GO&lt;0,-1,1)*COUNTIF(FZ$2:FZ4,FZ:FZ),"")</f>
        <v>1</v>
      </c>
      <c r="GC5" s="83">
        <f>IF(AND(Include_study?="Yes",Sufficient_data="Yes"),RANK(GS:GS,GS:GS,1)*IF(GR:GR&lt;0,-1,1)+IF(GR:GR&lt;0,-1,1)*COUNTIF(FZ$2:FZ4,FZ:FZ),"")</f>
        <v>1</v>
      </c>
      <c r="GD5" s="3">
        <f>IF(AND(Include_study?="Yes",Sufficient_data="Yes"),'Publication Bias Analysis'!E5,NA())</f>
        <v>4.5248274300222172E-2</v>
      </c>
      <c r="GE5" s="35">
        <f>IF(AND(Include_study?="Yes",Sufficient_data="Yes"),'Publication Bias Analysis'!F5,NA())</f>
        <v>0.17370587734913909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0.84050067794028982</v>
      </c>
      <c r="GI5" s="3">
        <f>IF(Trim_and_fill="Off",GH17,GH22)</f>
        <v>0.25633063414783497</v>
      </c>
      <c r="GK5" s="116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2.0506075934739524E-2</v>
      </c>
      <c r="GM5" s="3">
        <f t="shared" si="81"/>
        <v>2.0506075934739524E-2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33.141409414610365</v>
      </c>
      <c r="GO5" s="3">
        <f>IF(AND(Include_study?="Yes",Sufficient_data="Yes"),IF('Publication Bias Analysis'!L$38="Left",'Publication Bias Analysis'!E:E-GW$3,GW$3-'Publication Bias Analysis'!E:E),"")</f>
        <v>2.0506075934739524E-2</v>
      </c>
      <c r="GP5" s="3">
        <f t="shared" si="82"/>
        <v>2.0506075934739524E-2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33.141409414610365</v>
      </c>
      <c r="GR5" s="3">
        <f>IF(AND(Include_study?="Yes",Sufficient_data="Yes"),IF('Publication Bias Analysis'!L$38="Left",'Publication Bias Analysis'!E:E-GW$10,GW$10-'Publication Bias Analysis'!E:E),"")</f>
        <v>2.0506075934739524E-2</v>
      </c>
      <c r="GS5" s="3">
        <f t="shared" si="83"/>
        <v>2.0506075934739524E-2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33.141409414610365</v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0.50761247905694851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6"/>
      <c r="HL5" s="3">
        <f t="shared" si="89"/>
        <v>0.27515378439435967</v>
      </c>
      <c r="HM5" s="35">
        <f>IF(AND(Include_study?="Yes",Sufficient_data="Yes"),Z_score-('Publication Bias Analysis'!P$3+'Publication Bias Analysis'!P$4*Inverse_standard_error),"")</f>
        <v>0.18725188183904684</v>
      </c>
      <c r="HO5" s="116"/>
      <c r="HP5" s="3">
        <f>IF(AND(Include_study?="Yes",Sufficient_data="Yes"),(GD:GD-SUMPRODUCT(Calculations!FT:FT,'Publication Bias Analysis'!E:E)/SUM(Calculations!FT:FT))/SQRT(Calculations!HQ:HQ),"")</f>
        <v>0.13851108590525082</v>
      </c>
      <c r="HQ5" s="3">
        <f>IF(AND(Include_study?="Yes",Sufficient_data="Yes"),GE:GE^2-1/SUM(Calculations!FT:FT),"")</f>
        <v>2.1917754309363598E-2</v>
      </c>
      <c r="HR5" s="6">
        <f t="shared" si="90"/>
        <v>2</v>
      </c>
      <c r="HS5" s="6">
        <f t="shared" si="91"/>
        <v>3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2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16"/>
      <c r="HX5" s="20">
        <v>4</v>
      </c>
      <c r="HY5" s="3">
        <f t="shared" si="123"/>
        <v>-0.30000000000000004</v>
      </c>
      <c r="HZ5" s="35">
        <f>HZ6-HY14</f>
        <v>-0.1</v>
      </c>
      <c r="IB5" s="116"/>
      <c r="IC5" s="76">
        <f t="shared" si="92"/>
        <v>7.4111675126903559E-2</v>
      </c>
      <c r="ID5" s="3">
        <f t="shared" si="93"/>
        <v>7.1065989847715741E-2</v>
      </c>
      <c r="IE5" s="3">
        <f t="shared" si="94"/>
        <v>38.529873311134089</v>
      </c>
      <c r="IF5" s="35">
        <f t="shared" si="95"/>
        <v>33.141409414610365</v>
      </c>
      <c r="IH5" s="118" t="s">
        <v>287</v>
      </c>
      <c r="II5" s="118"/>
      <c r="IK5" s="116"/>
      <c r="IL5" s="3">
        <f>IF(AND(Include_study?="Yes",Sufficient_data="Yes"),'Publication Bias Analysis'!AV:AV,NA())</f>
        <v>0.26048787174469445</v>
      </c>
      <c r="IM5" s="3">
        <f>IF(AND(Sufficient_data="Yes",Include_study?="Yes"),'Publication Bias Analysis'!AU:AU,NA())</f>
        <v>5.7568575989519113</v>
      </c>
      <c r="IN5" s="3">
        <f t="shared" si="96"/>
        <v>0.27515378439435967</v>
      </c>
      <c r="IO5" s="35">
        <f>IF(AND(Include_study?="Yes",Sufficient_data="Yes"),Z_score-('Publication Bias Analysis'!AY$30+'Publication Bias Analysis'!AY$31*Inverse_standard_error),"")</f>
        <v>0.11805055906959011</v>
      </c>
      <c r="IQ5" s="24" t="s">
        <v>243</v>
      </c>
      <c r="IR5" s="2" t="s">
        <v>240</v>
      </c>
      <c r="IS5" s="2" t="s">
        <v>241</v>
      </c>
      <c r="IU5" s="116"/>
      <c r="IV5" s="6">
        <f>IF('Publication Bias Analysis'!BG:BG&lt;&gt;"",RANK('Publication Bias Analysis'!BG:BG,'Publication Bias Analysis'!BG:BG,1)+COUNTIF('Publication Bias Analysis'!BG$2:BG4,'Publication Bias Analysis'!BG5),"")</f>
        <v>3</v>
      </c>
      <c r="IW5" s="3">
        <f t="shared" si="97"/>
        <v>0.61538461538461542</v>
      </c>
      <c r="IX5" s="3">
        <f>IF('Publication Bias Analysis'!BF5&lt;&gt;"",'Publication Bias Analysis'!BF5,NA())</f>
        <v>0.29338123212119344</v>
      </c>
      <c r="IY5" s="3">
        <f>IF('Publication Bias Analysis'!BG5&lt;&gt;"",'Publication Bias Analysis'!BG5,NA())</f>
        <v>0.26048787174469445</v>
      </c>
      <c r="IZ5" s="3">
        <f>IF(AND(Include_study?="Yes",Sufficient_data="Yes"),'Publication Bias Analysis'!BF:BF-AVERAGE('Publication Bias Analysis'!BF:BF),"")</f>
        <v>0.29338123212119344</v>
      </c>
      <c r="JA5" s="35">
        <f>IF(AND(Include_study?="Yes",Sufficient_data="Yes"),'Publication Bias Analysis'!BG:BG-('Publication Bias Analysis'!BJ$30+'Publication Bias Analysis'!BJ$31*'Publication Bias Analysis'!BF:BF),"")</f>
        <v>-1.7081274154637338E-2</v>
      </c>
      <c r="JC5" s="24" t="s">
        <v>288</v>
      </c>
      <c r="JD5" s="2" t="s">
        <v>240</v>
      </c>
      <c r="JE5" s="2" t="s">
        <v>241</v>
      </c>
      <c r="JG5" s="116"/>
      <c r="JH5" s="3">
        <f t="shared" si="98"/>
        <v>0.26048787174469445</v>
      </c>
      <c r="JI5" s="10">
        <f t="shared" si="124"/>
        <v>0.39724373472095942</v>
      </c>
      <c r="JJ5" s="35">
        <f t="shared" si="125"/>
        <v>-0.92320524531722592</v>
      </c>
    </row>
    <row r="6" spans="1:270" ht="14" x14ac:dyDescent="0.35">
      <c r="A6" s="2">
        <f t="shared" si="0"/>
        <v>4</v>
      </c>
      <c r="B6" s="6">
        <f>IF(AND(Include_study?="Yes",Sufficient_data="Yes"),IF(Input!a_&lt;&gt;"",Input!a_,Input!n1_-Input!b_),"")</f>
        <v>74</v>
      </c>
      <c r="C6" s="6">
        <f>IF(AND(Include_study?="Yes",Sufficient_data="Yes"),IF(Input!b_&lt;&gt;"",Input!b_,Input!n1_-Input!a_),"")</f>
        <v>911</v>
      </c>
      <c r="D6" s="6">
        <f>IF(AND(Include_study?="Yes",Sufficient_data="Yes"),IF(Input!c_&lt;&gt;"",Input!c_,Input!n2_-Input!d_),"")</f>
        <v>79</v>
      </c>
      <c r="E6" s="6">
        <f>IF(AND(Include_study?="Yes",Sufficient_data="Yes"),IF(Input!d_&lt;&gt;"",Input!d_,Input!n2_-Input!c_),"")</f>
        <v>906</v>
      </c>
      <c r="F6" s="35" t="str">
        <f t="shared" si="1"/>
        <v>No</v>
      </c>
      <c r="H6" s="135"/>
      <c r="I6" s="129"/>
      <c r="J6" s="76">
        <f t="shared" si="2"/>
        <v>0.93156775834039651</v>
      </c>
      <c r="K6" s="3">
        <f t="shared" si="3"/>
        <v>-7.0886350479830787E-2</v>
      </c>
      <c r="L6" s="3">
        <f t="shared" si="4"/>
        <v>0.16844342955969202</v>
      </c>
      <c r="M6" s="3">
        <f t="shared" si="5"/>
        <v>0.6694943358611587</v>
      </c>
      <c r="N6" s="35">
        <f t="shared" si="6"/>
        <v>1.2962297690884748</v>
      </c>
      <c r="P6" s="116"/>
      <c r="Q6" s="76">
        <f t="shared" si="7"/>
        <v>0.93162297131839999</v>
      </c>
      <c r="R6" s="3">
        <f t="shared" si="8"/>
        <v>0.1683176560623576</v>
      </c>
      <c r="S6" s="3">
        <f t="shared" si="9"/>
        <v>0.66969918583156074</v>
      </c>
      <c r="T6" s="35">
        <f t="shared" si="10"/>
        <v>1.2959868834399617</v>
      </c>
      <c r="V6" s="116"/>
      <c r="W6" s="76">
        <f t="shared" si="11"/>
        <v>-5.0761421319796829E-3</v>
      </c>
      <c r="X6" s="3">
        <f t="shared" si="12"/>
        <v>1.2059638985087259E-2</v>
      </c>
      <c r="Y6" s="3">
        <f t="shared" si="13"/>
        <v>-2.8727145960557917E-2</v>
      </c>
      <c r="Z6" s="35">
        <f t="shared" si="14"/>
        <v>1.8574861696598551E-2</v>
      </c>
      <c r="AB6" s="116"/>
      <c r="AC6" s="76">
        <f t="shared" si="15"/>
        <v>0.93670886075949378</v>
      </c>
      <c r="AD6" s="3">
        <f t="shared" si="16"/>
        <v>-6.5382759262851628E-2</v>
      </c>
      <c r="AE6" s="3">
        <f t="shared" si="17"/>
        <v>0.15537465851554719</v>
      </c>
      <c r="AF6" s="3">
        <f t="shared" si="18"/>
        <v>0.69066602077971206</v>
      </c>
      <c r="AG6" s="35">
        <f t="shared" si="19"/>
        <v>1.2704019937665398</v>
      </c>
      <c r="AI6" s="135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6" s="6">
        <f>IF(AJ6&lt;&gt;"",IF(AJ6=0,COUNTIF(AJ$2:AJ5,0)+1,COUNTIF(AJ$2:AJ5,AJ6)+AJ6+COUNTIF(AJ:AJ,0)),"")</f>
        <v>4</v>
      </c>
      <c r="AL6" s="6">
        <f t="shared" si="20"/>
        <v>4</v>
      </c>
      <c r="AM6" s="3" t="str">
        <f>IF(AND(Include_study?="Yes",Sufficient_data="Yes",Input!Study_name&lt;&gt;""),Input!Study_name,"")</f>
        <v>Quan et al.</v>
      </c>
      <c r="AN6" s="6">
        <f t="shared" si="21"/>
        <v>1970</v>
      </c>
      <c r="AO6" s="3">
        <f t="shared" si="22"/>
        <v>0.93156775834039651</v>
      </c>
      <c r="AP6" s="3">
        <f t="shared" si="23"/>
        <v>35.244540236391877</v>
      </c>
      <c r="AQ6" s="3">
        <f t="shared" si="24"/>
        <v>35.244540236391877</v>
      </c>
      <c r="AR6" s="3">
        <f t="shared" si="25"/>
        <v>0.16844342955969202</v>
      </c>
      <c r="AS6" s="3">
        <f t="shared" si="26"/>
        <v>0.6694943358611587</v>
      </c>
      <c r="AT6" s="3">
        <f t="shared" si="27"/>
        <v>1.2962297690884748</v>
      </c>
      <c r="AU6" s="80">
        <f t="shared" si="28"/>
        <v>0.29097813176294413</v>
      </c>
      <c r="AW6" s="44">
        <f t="shared" si="29"/>
        <v>0.93156775834039651</v>
      </c>
      <c r="AX6" s="3">
        <f t="shared" si="30"/>
        <v>0.26207342247923782</v>
      </c>
      <c r="AY6" s="35">
        <f t="shared" si="31"/>
        <v>0.36466201074807825</v>
      </c>
      <c r="BA6" s="2" t="s">
        <v>289</v>
      </c>
      <c r="BB6" s="3">
        <f>'Forest Plot'!$B$16-CES_PI_Lower_limit</f>
        <v>0.11495381479126765</v>
      </c>
      <c r="BD6" s="135"/>
      <c r="BE6" s="129"/>
      <c r="BF6" s="3">
        <f t="shared" si="32"/>
        <v>-7.0886350479830787E-2</v>
      </c>
      <c r="BG6" s="3">
        <f t="shared" si="33"/>
        <v>0.16844342955969202</v>
      </c>
      <c r="BH6" s="3">
        <f t="shared" si="34"/>
        <v>35.244540236391877</v>
      </c>
      <c r="BI6" s="3">
        <f t="shared" si="99"/>
        <v>35.244540236391877</v>
      </c>
      <c r="BJ6" s="35">
        <f t="shared" si="35"/>
        <v>-9.5628548845313438E-2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-9.4204078682592049E-2</v>
      </c>
      <c r="BO6" s="116"/>
      <c r="BP6" s="3">
        <f t="shared" si="36"/>
        <v>34.032487309644672</v>
      </c>
      <c r="BQ6" s="3">
        <f t="shared" si="37"/>
        <v>36.532487309644672</v>
      </c>
      <c r="BR6" s="3">
        <f t="shared" si="38"/>
        <v>16.929866783478058</v>
      </c>
      <c r="BS6" s="3">
        <f>IF(AND(Sufficient_data="Yes",Include_study?="Yes"),IF(Add_0_5="Yes",(a_+d_+1)*(ab_+0.5)*(c_+0.5)/(Number_of_subjects+2)^2,(a_+d_)*b_*c_/Number_of_subjects^2),"")</f>
        <v>18.173521605813086</v>
      </c>
      <c r="BT6" s="3">
        <f t="shared" si="39"/>
        <v>17.102620526166611</v>
      </c>
      <c r="BU6" s="3">
        <f t="shared" si="40"/>
        <v>18.358965703831586</v>
      </c>
      <c r="BV6" s="3">
        <f t="shared" si="41"/>
        <v>36.532487309644672</v>
      </c>
      <c r="BW6" s="3">
        <f t="shared" si="42"/>
        <v>0.32230931869279811</v>
      </c>
      <c r="BX6" s="3">
        <f t="shared" si="43"/>
        <v>35.244540236391877</v>
      </c>
      <c r="BY6" s="35">
        <f t="shared" si="44"/>
        <v>-9.5628548845313327E-2</v>
      </c>
      <c r="CA6" s="3" t="s">
        <v>290</v>
      </c>
      <c r="CB6" s="3">
        <f>lnCES_OddsRatio_MH+ABS(TINV((1-Confidence_level),k_-1))*SElnCES_MH</f>
        <v>0.14368847541355723</v>
      </c>
      <c r="CD6" s="116"/>
      <c r="CE6" s="76">
        <f t="shared" si="45"/>
        <v>76.5</v>
      </c>
      <c r="CF6" s="3">
        <f t="shared" si="46"/>
        <v>35.297232097511426</v>
      </c>
      <c r="CG6" s="3">
        <f t="shared" si="47"/>
        <v>-7.0827083355815265E-2</v>
      </c>
      <c r="CH6" s="3">
        <f t="shared" si="48"/>
        <v>2.8330833342326108E-2</v>
      </c>
      <c r="CI6" s="3">
        <f t="shared" si="49"/>
        <v>35.297232097511426</v>
      </c>
      <c r="CJ6" s="3">
        <f t="shared" si="50"/>
        <v>35.297232097511426</v>
      </c>
      <c r="CK6" s="35">
        <f t="shared" si="51"/>
        <v>-9.5558583108495146E-2</v>
      </c>
      <c r="CM6" s="3" t="s">
        <v>290</v>
      </c>
      <c r="CN6" s="3">
        <f>lnCES_PetoOddsRatio+ABS(TINV((1-Confidence_level),k_-1))*SElnCES_Peto</f>
        <v>0.14358642918795547</v>
      </c>
      <c r="CP6" s="116"/>
      <c r="CQ6" s="52">
        <f t="shared" si="52"/>
        <v>8.0203045685279181E-2</v>
      </c>
      <c r="CS6" s="2" t="s">
        <v>291</v>
      </c>
      <c r="CT6" s="3">
        <f>IF(Weighting_method="Inverse variance",IF(Model_effect_size_measure="Odds Ratio",PICES_LL,""),"")</f>
        <v>0.9100970118883509</v>
      </c>
      <c r="CU6" s="3">
        <f>IF(Model_effect_size_measure="Odds Ratio",PICES_LL_MH,"")</f>
        <v>0.91009701188835079</v>
      </c>
      <c r="CV6" s="3" t="str">
        <f>IF(Model_effect_size_measure="Peto Odds Ratio",PICES_LL_Peto,"")</f>
        <v/>
      </c>
      <c r="CX6" s="135"/>
      <c r="CY6" s="48">
        <f t="shared" si="53"/>
        <v>4</v>
      </c>
      <c r="CZ6" s="6" t="str">
        <f t="shared" si="54"/>
        <v>Quan et al.</v>
      </c>
      <c r="DA6" s="17" t="str">
        <f t="shared" si="55"/>
        <v>English</v>
      </c>
      <c r="DB6" s="3">
        <f t="shared" si="56"/>
        <v>-7.0886350479830787E-2</v>
      </c>
      <c r="DC6" s="3">
        <f t="shared" si="57"/>
        <v>0.16844342955969202</v>
      </c>
      <c r="DD6" s="3">
        <f t="shared" si="58"/>
        <v>35.244540236391877</v>
      </c>
      <c r="DE6" s="3">
        <f t="shared" si="59"/>
        <v>35.244540236391877</v>
      </c>
      <c r="DF6" s="80">
        <f t="shared" si="60"/>
        <v>0.29097813176294413</v>
      </c>
      <c r="DG6" s="3">
        <f t="shared" si="61"/>
        <v>0.93156775834039651</v>
      </c>
      <c r="DH6" s="3">
        <f t="shared" si="62"/>
        <v>0.66949440498367374</v>
      </c>
      <c r="DI6" s="3">
        <f t="shared" si="63"/>
        <v>1.2962296352581377</v>
      </c>
      <c r="DJ6" s="35">
        <f t="shared" si="64"/>
        <v>-9.5628548845313438E-2</v>
      </c>
      <c r="DL6" s="44">
        <f t="shared" si="65"/>
        <v>0.93156775834039651</v>
      </c>
      <c r="DM6" s="3">
        <f t="shared" si="100"/>
        <v>0.26207335335672277</v>
      </c>
      <c r="DN6" s="35">
        <f t="shared" si="101"/>
        <v>0.36466187691774121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2.4742198365482641E-2</v>
      </c>
      <c r="FA6" s="135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35"/>
      <c r="FS6" s="129"/>
      <c r="FT6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6" s="3">
        <f>IF(AND(Include_study?="Yes",Sufficient_data="Yes"),1/('Publication Bias Analysis'!F:F^2+IF(Additional_model="Fixed effect",0,Calculations!GH$12)),"")</f>
        <v>35.244540236391877</v>
      </c>
      <c r="FV6" s="3">
        <f>IF(AND(Include_study?="Yes",Sufficient_data="Yes"),1/('Publication Bias Analysis'!F:F^2+IF(Additional_model="Fixed effect",0,'Publication Bias Analysis'!L$32)),"")</f>
        <v>35.244540236391877</v>
      </c>
      <c r="FW6" s="3">
        <f>IF(AND(Include_study?="Yes",Sufficient_data="Yes"),'Publication Bias Analysis'!E:E-'Publication Bias Analysis'!I$37,"")</f>
        <v>-9.5628548845313438E-2</v>
      </c>
      <c r="FX6" s="3">
        <f>IF(AND(Include_study?="Yes",Sufficient_data="Yes"),IF(Additional_model="Fixed effect",1/'Publication Bias Analysis'!F:F,1/SQRT('Publication Bias Analysis'!F:F^2+GH$12)),"")</f>
        <v>5.9367112306724064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6" s="6">
        <f t="shared" si="80"/>
        <v>-4</v>
      </c>
      <c r="GA6" s="83">
        <f>IF(AND(Include_study?="Yes",Sufficient_data="Yes"),FZ:FZ+IF(GL:GL&lt;0,-1,1)*COUNTIF(FZ$2:FZ5,FZ:FZ),"")</f>
        <v>-4</v>
      </c>
      <c r="GB6" s="83">
        <f>IF(AND(Include_study?="Yes",Sufficient_data="Yes"),RANK(GP:GP,GP:GP,1)*IF(GO:GO&lt;0,-1,1)+IF(GO:GO&lt;0,-1,1)*COUNTIF(FZ$2:FZ5,FZ:FZ),"")</f>
        <v>-4</v>
      </c>
      <c r="GC6" s="83">
        <f>IF(AND(Include_study?="Yes",Sufficient_data="Yes"),RANK(GS:GS,GS:GS,1)*IF(GR:GR&lt;0,-1,1)+IF(GR:GR&lt;0,-1,1)*COUNTIF(FZ$2:FZ5,FZ:FZ),"")</f>
        <v>-4</v>
      </c>
      <c r="GD6" s="3">
        <f>IF(AND(Include_study?="Yes",Sufficient_data="Yes"),'Publication Bias Analysis'!E6,NA())</f>
        <v>-7.0886350479830787E-2</v>
      </c>
      <c r="GE6" s="35">
        <f>IF(AND(Include_study?="Yes",Sufficient_data="Yes"),'Publication Bias Analysis'!F6,NA())</f>
        <v>0.16844342955969202</v>
      </c>
      <c r="GG6" s="24" t="s">
        <v>293</v>
      </c>
      <c r="GH6" s="2" t="s">
        <v>240</v>
      </c>
      <c r="GI6" s="2" t="s">
        <v>241</v>
      </c>
      <c r="GK6" s="116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-9.5628548845313438E-2</v>
      </c>
      <c r="GM6" s="3">
        <f t="shared" si="81"/>
        <v>9.5628548845313438E-2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6" s="3">
        <f>IF(AND(Include_study?="Yes",Sufficient_data="Yes"),IF('Publication Bias Analysis'!L$38="Left",'Publication Bias Analysis'!E:E-GW$3,GW$3-'Publication Bias Analysis'!E:E),"")</f>
        <v>-9.5628548845313438E-2</v>
      </c>
      <c r="GP6" s="3">
        <f t="shared" si="82"/>
        <v>9.5628548845313438E-2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6" s="3">
        <f>IF(AND(Include_study?="Yes",Sufficient_data="Yes"),IF('Publication Bias Analysis'!L$38="Left",'Publication Bias Analysis'!E:E-GW$10,GW$10-'Publication Bias Analysis'!E:E),"")</f>
        <v>-9.5628548845313438E-2</v>
      </c>
      <c r="GS6" s="3">
        <f t="shared" si="83"/>
        <v>9.5628548845313438E-2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6"/>
      <c r="HL6" s="3">
        <f t="shared" si="89"/>
        <v>0.45500741611485473</v>
      </c>
      <c r="HM6" s="35">
        <f>IF(AND(Include_study?="Yes",Sufficient_data="Yes"),Z_score-('Publication Bias Analysis'!P$3+'Publication Bias Analysis'!P$4*Inverse_standard_error),"")</f>
        <v>-0.44506168175874639</v>
      </c>
      <c r="HO6" s="116"/>
      <c r="HP6" s="3">
        <f>IF(AND(Include_study?="Yes",Sufficient_data="Yes"),(GD:GD-SUMPRODUCT(Calculations!FT:FT,'Publication Bias Analysis'!E:E)/SUM(Calculations!FT:FT))/SQRT(Calculations!HQ:HQ),"")</f>
        <v>-0.6742231730004401</v>
      </c>
      <c r="HQ6" s="3">
        <f>IF(AND(Include_study?="Yes",Sufficient_data="Yes"),GE:GE^2-1/SUM(Calculations!FT:FT),"")</f>
        <v>2.0117211445560376E-2</v>
      </c>
      <c r="HR6" s="6">
        <f t="shared" si="90"/>
        <v>4</v>
      </c>
      <c r="HS6" s="6">
        <f t="shared" si="91"/>
        <v>4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3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0</v>
      </c>
      <c r="HW6" s="116"/>
      <c r="HX6" s="20">
        <v>5</v>
      </c>
      <c r="HY6" s="3">
        <f t="shared" si="123"/>
        <v>-0.1</v>
      </c>
      <c r="HZ6" s="35">
        <f>1/2*HY14</f>
        <v>0.1</v>
      </c>
      <c r="IB6" s="116"/>
      <c r="IC6" s="76">
        <f t="shared" si="92"/>
        <v>7.5126903553299498E-2</v>
      </c>
      <c r="ID6" s="3">
        <f t="shared" si="93"/>
        <v>8.0203045685279181E-2</v>
      </c>
      <c r="IE6" s="3">
        <f t="shared" si="94"/>
        <v>41.422816571112058</v>
      </c>
      <c r="IF6" s="35">
        <f t="shared" si="95"/>
        <v>35.244540236391877</v>
      </c>
      <c r="IH6" s="3">
        <v>0</v>
      </c>
      <c r="II6" s="3">
        <v>0</v>
      </c>
      <c r="IK6" s="116"/>
      <c r="IL6" s="3">
        <f>IF(AND(Include_study?="Yes",Sufficient_data="Yes"),'Publication Bias Analysis'!AV:AV,NA())</f>
        <v>-0.42083179299499174</v>
      </c>
      <c r="IM6" s="3">
        <f>IF(AND(Sufficient_data="Yes",Include_study?="Yes"),'Publication Bias Analysis'!AU:AU,NA())</f>
        <v>5.9367112306724064</v>
      </c>
      <c r="IN6" s="3">
        <f t="shared" si="96"/>
        <v>0.45500741611485473</v>
      </c>
      <c r="IO6" s="35">
        <f>IF(AND(Include_study?="Yes",Sufficient_data="Yes"),Z_score-('Publication Bias Analysis'!AY$30+'Publication Bias Analysis'!AY$31*Inverse_standard_error),"")</f>
        <v>-0.56771907990287707</v>
      </c>
      <c r="IQ6" s="2" t="s">
        <v>96</v>
      </c>
      <c r="IR6" s="3">
        <v>0</v>
      </c>
      <c r="IS6" s="3">
        <f>ABS(TINV((1-Additional_confidence_level),k_-1))*-1</f>
        <v>-3.1824463052837078</v>
      </c>
      <c r="IU6" s="116"/>
      <c r="IV6" s="6">
        <f>IF('Publication Bias Analysis'!BG:BG&lt;&gt;"",RANK('Publication Bias Analysis'!BG:BG,'Publication Bias Analysis'!BG:BG,1)+COUNTIF('Publication Bias Analysis'!BG$2:BG5,'Publication Bias Analysis'!BG6),"")</f>
        <v>1</v>
      </c>
      <c r="IW6" s="3">
        <f t="shared" si="97"/>
        <v>0.15384615384615388</v>
      </c>
      <c r="IX6" s="3">
        <f>IF('Publication Bias Analysis'!BF6&lt;&gt;"",'Publication Bias Analysis'!BF6,NA())</f>
        <v>-1.020076232786199</v>
      </c>
      <c r="IY6" s="3">
        <f>IF('Publication Bias Analysis'!BG6&lt;&gt;"",'Publication Bias Analysis'!BG6,NA())</f>
        <v>-0.42083179299499174</v>
      </c>
      <c r="IZ6" s="3">
        <f>IF(AND(Include_study?="Yes",Sufficient_data="Yes"),'Publication Bias Analysis'!BF:BF-AVERAGE('Publication Bias Analysis'!BF:BF),"")</f>
        <v>-1.020076232786199</v>
      </c>
      <c r="JA6" s="35">
        <f>IF(AND(Include_study?="Yes",Sufficient_data="Yes"),'Publication Bias Analysis'!BG:BG-('Publication Bias Analysis'!BJ$30+'Publication Bias Analysis'!BJ$31*'Publication Bias Analysis'!BF:BF),"")</f>
        <v>-0.11926125831653517</v>
      </c>
      <c r="JC6" s="2" t="s">
        <v>280</v>
      </c>
      <c r="JD6" s="3">
        <f>MIN('Publication Bias Analysis'!BF:BF)</f>
        <v>-1.020076232786199</v>
      </c>
      <c r="JE6" s="3">
        <f>'Publication Bias Analysis'!BJ30</f>
        <v>0.14820925599215035</v>
      </c>
      <c r="JG6" s="116"/>
      <c r="JH6" s="3">
        <f t="shared" si="98"/>
        <v>-0.42083179299499174</v>
      </c>
      <c r="JI6" s="10">
        <f t="shared" si="124"/>
        <v>0.33693895701541166</v>
      </c>
      <c r="JJ6" s="35">
        <f t="shared" si="125"/>
        <v>-1.0878535014897484</v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5"/>
      <c r="I7" s="129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6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6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6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5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294</v>
      </c>
      <c r="BB7" s="3">
        <f>CES_PI_Upper_limit-'Forest Plot'!$B$16</f>
        <v>0.12947356308452584</v>
      </c>
      <c r="BD7" s="135"/>
      <c r="BE7" s="129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0.14368847541355734</v>
      </c>
      <c r="BO7" s="116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295</v>
      </c>
      <c r="CB7" s="3">
        <f>lnCES_OddsRatio_MH-ABS(TINV((1-Confidence_level),k_-1))*SQRT(T2_MH+SElnCES_MH^2)</f>
        <v>-9.420407868259216E-2</v>
      </c>
      <c r="CD7" s="116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295</v>
      </c>
      <c r="CN7" s="3">
        <f>lnCES_PetoOddsRatio-ABS(TINV((1-Confidence_level),k_-1))*SQRT(T2_Peto+SElnCES_Peto^2)</f>
        <v>-9.4123429682595711E-2</v>
      </c>
      <c r="CP7" s="116"/>
      <c r="CQ7" s="52" t="str">
        <f t="shared" si="52"/>
        <v/>
      </c>
      <c r="CS7" s="2" t="s">
        <v>296</v>
      </c>
      <c r="CT7" s="3">
        <f>IF(Weighting_method="Inverse variance",IF(Model_effect_size_measure="Odds Ratio",PICES_UL,""),"")</f>
        <v>1.1545243897641444</v>
      </c>
      <c r="CU7" s="3">
        <f>IF(Model_effect_size_measure="Odds Ratio",PICES_UL_MH,"")</f>
        <v>1.1545243897641444</v>
      </c>
      <c r="CV7" s="3" t="str">
        <f>IF(Model_effect_size_measure="Peto Odds Ratio",PICES_UL_Peto,"")</f>
        <v/>
      </c>
      <c r="CX7" s="135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2.4742198365482661E-2</v>
      </c>
      <c r="FA7" s="135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5"/>
      <c r="FS7" s="129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243</v>
      </c>
      <c r="GH7" s="3">
        <f>IF(Trim_and_fill="Off",'Publication Bias Analysis'!I29,'Publication Bias Analysis'!I37)</f>
        <v>2.4742198365482648E-2</v>
      </c>
      <c r="GI7" s="3">
        <v>0</v>
      </c>
      <c r="GK7" s="116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6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6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6"/>
      <c r="HX7" s="20">
        <v>6</v>
      </c>
      <c r="HY7" s="3">
        <f t="shared" si="123"/>
        <v>0.1</v>
      </c>
      <c r="HZ7" s="35">
        <f>HZ6+HY14</f>
        <v>0.30000000000000004</v>
      </c>
      <c r="IB7" s="116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8.0203045685279181E-2</v>
      </c>
      <c r="II7" s="3">
        <f>EXP(SUMPRODUCT(LogRiskRatio,IE:IE)/SUM(IE:IE))*MAX('Publication Bias Analysis'!AH:AH)</f>
        <v>8.2028027621366156E-2</v>
      </c>
      <c r="IK7" s="116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283</v>
      </c>
      <c r="IR7" s="3">
        <f>MAX(Inverse_standard_error)</f>
        <v>5.9367112306724064</v>
      </c>
      <c r="IS7" s="3">
        <f>IR7*'Publication Bias Analysis'!AY31+IS6</f>
        <v>-3.0355590183758223</v>
      </c>
      <c r="IU7" s="116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286</v>
      </c>
      <c r="JD7" s="3">
        <f>MAX('Publication Bias Analysis'!BF:BF)</f>
        <v>1.020076232786199</v>
      </c>
      <c r="JE7" s="3">
        <f>'Publication Bias Analysis'!BJ30</f>
        <v>0.14820925599215035</v>
      </c>
      <c r="JG7" s="116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35"/>
      <c r="I8" s="129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6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6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6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35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298</v>
      </c>
      <c r="BB8" s="9">
        <f>IF(BB2&lt;&gt;"",MAX(Weight_lookup),"")</f>
        <v>0.29097813176294413</v>
      </c>
      <c r="BD8" s="135"/>
      <c r="BE8" s="129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6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299</v>
      </c>
      <c r="CB8" s="3">
        <f>lnCES_OddsRatio_MH+ABS(TINV((1-Confidence_level),k_-1))*SQRT(T2_MH+SElnCES_MH^2)</f>
        <v>0.14368847541355723</v>
      </c>
      <c r="CD8" s="116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299</v>
      </c>
      <c r="CN8" s="3">
        <f>lnCES_PetoOddsRatio+ABS(TINV((1-Confidence_level),k_-1))*SQRT(T2_Peto+SElnCES_Peto^2)</f>
        <v>0.14358642918795547</v>
      </c>
      <c r="CP8" s="116"/>
      <c r="CQ8" s="52" t="str">
        <f t="shared" si="52"/>
        <v/>
      </c>
      <c r="CX8" s="135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5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35"/>
      <c r="FS8" s="129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244</v>
      </c>
      <c r="GH8" s="3">
        <f>IF(Trim_and_fill="Off",'Publication Bias Analysis'!I29,'Publication Bias Analysis'!I37)</f>
        <v>2.4742198365482648E-2</v>
      </c>
      <c r="GI8" s="3">
        <f>IF(Trim_and_fill="Off",GH17,GH22)</f>
        <v>0.25633063414783497</v>
      </c>
      <c r="GK8" s="116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6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6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6"/>
      <c r="HX8" s="20">
        <v>7</v>
      </c>
      <c r="HY8" s="3">
        <f t="shared" si="123"/>
        <v>0.30000000000000004</v>
      </c>
      <c r="HZ8" s="35">
        <f>HZ7+HY14</f>
        <v>0.5</v>
      </c>
      <c r="IB8" s="116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6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244</v>
      </c>
      <c r="IR8" s="2" t="s">
        <v>240</v>
      </c>
      <c r="IS8" s="2" t="s">
        <v>241</v>
      </c>
      <c r="IU8" s="116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6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35"/>
      <c r="I9" s="129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6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6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6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35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35"/>
      <c r="BE9" s="129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1.0250508266796186</v>
      </c>
      <c r="BO9" s="116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6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6"/>
      <c r="CQ9" s="52" t="str">
        <f t="shared" si="52"/>
        <v/>
      </c>
      <c r="CS9" s="118" t="s">
        <v>147</v>
      </c>
      <c r="CT9" s="118"/>
      <c r="CU9" s="118"/>
      <c r="CV9" s="118"/>
      <c r="CX9" s="135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1.0250508266796188</v>
      </c>
      <c r="FA9" s="135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5"/>
      <c r="FS9" s="129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6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8" t="s">
        <v>100</v>
      </c>
      <c r="GW9" s="118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6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6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6"/>
      <c r="HX9" s="20">
        <v>8</v>
      </c>
      <c r="HY9" s="3">
        <f t="shared" si="123"/>
        <v>0.5</v>
      </c>
      <c r="HZ9" s="35">
        <f>HZ8+HY14</f>
        <v>0.7</v>
      </c>
      <c r="IB9" s="116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6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3.1824463052837078</v>
      </c>
      <c r="IU9" s="116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6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35"/>
      <c r="I10" s="129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16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16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16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35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35"/>
      <c r="BE10" s="129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6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1.0250508266796186</v>
      </c>
      <c r="CD10" s="116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1.0250398601163844</v>
      </c>
      <c r="CP10" s="116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35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5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35"/>
      <c r="FS10" s="129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8" t="s">
        <v>54</v>
      </c>
      <c r="GH10" s="118"/>
      <c r="GK10" s="116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2.4742198365482648E-2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6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16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16"/>
      <c r="HX10" s="54">
        <v>9</v>
      </c>
      <c r="HY10" s="32">
        <f t="shared" si="123"/>
        <v>0.7</v>
      </c>
      <c r="HZ10" s="39"/>
      <c r="IB10" s="116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16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5.9367112306724064</v>
      </c>
      <c r="IS10" s="3">
        <f>IR10*'Publication Bias Analysis'!AY31+IS9</f>
        <v>3.3293335921915932</v>
      </c>
      <c r="IU10" s="116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16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5"/>
      <c r="I11" s="129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6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6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6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5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5"/>
      <c r="BE11" s="129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0.9100970118883509</v>
      </c>
      <c r="BO11" s="116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0.91009701188835079</v>
      </c>
      <c r="CD11" s="116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0.91017041326209325</v>
      </c>
      <c r="CP11" s="116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1.023532065634857</v>
      </c>
      <c r="CU11" s="3">
        <f>IF(Model_effect_size_measure="Odds Ratio",CES_OddsRatio_MH/(1-MEDIAN(Control_group_risk)+(MEDIAN(Control_group_risk)*CES_OddsRatio_MH)),NA())</f>
        <v>1.023532065634857</v>
      </c>
      <c r="CV11" s="3" t="e">
        <f>IF(Model_effect_size_measure="Peto Odds Ratio",CES_PetoOddsRatio/(1-MEDIAN(Control_group_risk)+(MEDIAN(Control_group_risk)*CES_PetoOddsRatio)),NA())</f>
        <v>#N/A</v>
      </c>
      <c r="CX11" s="135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>
        <f>IF(Subgroup_valid_options="Yes",IF(Subgroup_effect_size_measure="Risk Difference",EY9-ABS(TINV((1-Subgroup_confidence_level),Subgroup_k-1))*EY10,EXP(EY4)),"")</f>
        <v>1.0250508266796186</v>
      </c>
      <c r="FA11" s="135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35"/>
      <c r="FS11" s="129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0.50761247905694851</v>
      </c>
      <c r="GK11" s="116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8" t="s">
        <v>54</v>
      </c>
      <c r="GW11" s="118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6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6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6"/>
      <c r="IB11" s="116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6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6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6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5"/>
      <c r="I12" s="129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6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6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6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5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5"/>
      <c r="BE12" s="129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1.1545243897641444</v>
      </c>
      <c r="BO12" s="116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1.1545243897641444</v>
      </c>
      <c r="CD12" s="116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1.1544065809188799</v>
      </c>
      <c r="CP12" s="116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0.91496945364085824</v>
      </c>
      <c r="CU12" s="3">
        <f>IF(Model_effect_size_measure="Odds Ratio",CICES_LL_MH/(1-MEDIAN(Control_group_risk)+(MEDIAN(Control_group_risk)*CICES_LL_MH)),"")</f>
        <v>0.91496945364085813</v>
      </c>
      <c r="CV12" s="3" t="str">
        <f>IF(Model_effect_size_measure="Peto Odds Ratio",CICES_LL_Peto/(1-MEDIAN(Control_group_risk)+(MEDIAN(Control_group_risk)*CICES_LL_Peto)),"")</f>
        <v/>
      </c>
      <c r="CX12" s="135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>
        <f>IF(Subgroup_valid_options="Yes",IF(Subgroup_effect_size_measure="Risk Difference",EY9+ABS(TINV((1-Subgroup_confidence_level),Subgroup_k-1))*EY10,EXP(EY5)),"")</f>
        <v>1.0250508266796188</v>
      </c>
      <c r="FA12" s="135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5"/>
      <c r="FS12" s="129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</v>
      </c>
      <c r="GK12" s="116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0.50761247905694851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6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6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6"/>
      <c r="HX12" s="137" t="s">
        <v>306</v>
      </c>
      <c r="HY12" s="118"/>
      <c r="IB12" s="116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6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6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6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5"/>
      <c r="I13" s="129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6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6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6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5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5"/>
      <c r="BE13" s="129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0.9100970118883509</v>
      </c>
      <c r="BO13" s="116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0.91009701188835079</v>
      </c>
      <c r="CD13" s="116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0.91017041326209325</v>
      </c>
      <c r="CP13" s="116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1.1440528855440764</v>
      </c>
      <c r="CU13" s="3">
        <f>IF(Model_effect_size_measure="Odds Ratio",CICES_UL_MH/(1-MEDIAN(Control_group_risk)+(MEDIAN(Control_group_risk)*CICES_UL_MH)),"")</f>
        <v>1.1440528855440764</v>
      </c>
      <c r="CV13" s="3" t="str">
        <f>IF(Model_effect_size_measure="Peto Odds Ratio",CICES_UL_Peto/(1-MEDIAN(Control_group_risk)+(MEDIAN(Control_group_risk)*CICES_UL_Peto)),"")</f>
        <v/>
      </c>
      <c r="CX13" s="135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>
        <f>IF(Subgroup_valid_options="Yes",IF(Subgroup_effect_size_measure="Risk Difference",EY9-ABS(TINV((1-Subgroup_confidence_level),Subgroup_k-1))*SQRT(EY10^2+EY35),EXP(EY6)),"")</f>
        <v>1.0250508266796186</v>
      </c>
      <c r="FA13" s="135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5"/>
      <c r="FS13" s="129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6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6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6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6"/>
      <c r="HX13" s="2" t="s">
        <v>309</v>
      </c>
      <c r="HY13" s="3">
        <f>MAX(MAX(Standardized_residual),ABS(MIN(Standardized_residual)))</f>
        <v>0.6742231730004401</v>
      </c>
      <c r="IB13" s="116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6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6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6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5"/>
      <c r="I14" s="129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6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6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6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5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5"/>
      <c r="BE14" s="129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1.1545243897641444</v>
      </c>
      <c r="BO14" s="116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1.1545243897641444</v>
      </c>
      <c r="CD14" s="116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1.1544065809188799</v>
      </c>
      <c r="CP14" s="116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0.91496945364085824</v>
      </c>
      <c r="CU14" s="3">
        <f>IF(Model_effect_size_measure="Odds Ratio",PICES_LL_MH/(1-MEDIAN(Control_group_risk)+(MEDIAN(Control_group_risk)*PICES_LL_MH)),"")</f>
        <v>0.91496945364085813</v>
      </c>
      <c r="CV14" s="3" t="str">
        <f>IF(Model_effect_size_measure="Peto Odds Ratio",PICES_LL_Peto/(1-MEDIAN(Control_group_risk)+(MEDIAN(Control_group_risk)*PICES_LL_Peto)),"")</f>
        <v/>
      </c>
      <c r="CX14" s="135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>
        <f>IF(Subgroup_valid_options="Yes",IF(Subgroup_effect_size_measure="Risk Difference",EY9+ABS(TINV((1-Subgroup_confidence_level),Subgroup_k-1))*SQRT(EY10^2+EY35),EXP(EY7)),"")</f>
        <v>1.0250508266796188</v>
      </c>
      <c r="FA14" s="135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5"/>
      <c r="FS14" s="129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8" t="s">
        <v>312</v>
      </c>
      <c r="GH14" s="118"/>
      <c r="GK14" s="116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6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6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6"/>
      <c r="HX14" s="2" t="s">
        <v>306</v>
      </c>
      <c r="HY14" s="21">
        <f>ROUND(HY13/4,1)</f>
        <v>0.2</v>
      </c>
      <c r="IB14" s="116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6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6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6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5"/>
      <c r="I15" s="129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6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6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6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5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5"/>
      <c r="BE15" s="129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6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6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6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1.1440528855440764</v>
      </c>
      <c r="CU15" s="3">
        <f>IF(Model_effect_size_measure="Odds Ratio",PICES_UL_MH/(1-MEDIAN(Control_group_risk)+(MEDIAN(Control_group_risk)*PICES_UL_MH)),"")</f>
        <v>1.1440528855440764</v>
      </c>
      <c r="CV15" s="3" t="str">
        <f>IF(Model_effect_size_measure="Peto Odds Ratio",PICES_UL_Peto/(1-MEDIAN(Control_group_risk)+(MEDIAN(Control_group_risk)*PICES_UL_Peto)),"")</f>
        <v/>
      </c>
      <c r="CX15" s="135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5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5"/>
      <c r="FS15" s="129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0.28916474038533396</v>
      </c>
      <c r="GK15" s="116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6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6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6"/>
      <c r="IB15" s="116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6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6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6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5"/>
      <c r="I16" s="129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6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6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6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5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5"/>
      <c r="BE16" s="129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0.66198555959008354</v>
      </c>
      <c r="BO16" s="116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0.66198555959008065</v>
      </c>
      <c r="CD16" s="116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0.6622078729591272</v>
      </c>
      <c r="CP16" s="116"/>
      <c r="CQ16" s="52" t="str">
        <f t="shared" si="52"/>
        <v/>
      </c>
      <c r="CX16" s="135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8" t="s">
        <v>314</v>
      </c>
      <c r="EY16" s="118"/>
      <c r="FA16" s="135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5"/>
      <c r="FS16" s="129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0.28916474038533396</v>
      </c>
      <c r="GK16" s="116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8" t="s">
        <v>100</v>
      </c>
      <c r="GW16" s="118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6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6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6"/>
      <c r="IB16" s="116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6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6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6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5"/>
      <c r="I17" s="129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6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6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6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5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5"/>
      <c r="BE17" s="129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6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6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6"/>
      <c r="CQ17" s="52" t="str">
        <f t="shared" si="52"/>
        <v/>
      </c>
      <c r="CS17" s="118" t="s">
        <v>166</v>
      </c>
      <c r="CT17" s="118"/>
      <c r="CU17" s="118"/>
      <c r="CV17" s="118"/>
      <c r="CX17" s="135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>
        <f>SUMPRODUCT(Subgroup_weightf,Subgroup_effect_size,Subgroup_effect_size)-SUMPRODUCT(Subgroup_weightf,Subgroup_effect_size)^2/SUM(Subgroup_weightf)</f>
        <v>0.50761247905694851</v>
      </c>
      <c r="FA17" s="135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5"/>
      <c r="FS17" s="129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0.23496974796884876</v>
      </c>
      <c r="GK17" s="116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2.4742198365482648E-2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6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6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6"/>
      <c r="IB17" s="116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6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6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6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5"/>
      <c r="I18" s="129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6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6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6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5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5"/>
      <c r="BE18" s="129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16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8" t="s">
        <v>54</v>
      </c>
      <c r="CB18" s="118"/>
      <c r="CD18" s="116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16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35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>
        <f>CHIDIST(EY17,Subgroup_k-1)</f>
        <v>0.91721582843947913</v>
      </c>
      <c r="FA18" s="135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5"/>
      <c r="FS18" s="129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6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8" t="s">
        <v>54</v>
      </c>
      <c r="GW18" s="118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6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6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6"/>
      <c r="IB18" s="116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6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6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6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5"/>
      <c r="I19" s="129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6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6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6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5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5"/>
      <c r="BE19" s="129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0.50761247905694851</v>
      </c>
      <c r="BO19" s="116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0.50761247910773855</v>
      </c>
      <c r="CD19" s="116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0.5075797451096361</v>
      </c>
      <c r="CP19" s="116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1.3938819206477243E-3</v>
      </c>
      <c r="CU19" s="3">
        <f>IF(Model_effect_size_measure="Odds Ratio",CU11*MEDIAN(Control_group_risk)-MEDIAN(Control_group_risk),NA())</f>
        <v>1.3938819206477243E-3</v>
      </c>
      <c r="CV19" s="3" t="e">
        <f>IF(Model_effect_size_measure="Peto Odds Ratio",CV11*MEDIAN(Control_group_risk)-MEDIAN(Control_group_risk),NA())</f>
        <v>#N/A</v>
      </c>
      <c r="CX19" s="135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>
        <f>MAX(0,(EY17-(Subgroup_k-1))/EY17)</f>
        <v>0</v>
      </c>
      <c r="FA19" s="135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5"/>
      <c r="FS19" s="129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8" t="s">
        <v>317</v>
      </c>
      <c r="GH19" s="118"/>
      <c r="GK19" s="116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0.50761247905694851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6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6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6"/>
      <c r="IB19" s="116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6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6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6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5"/>
      <c r="I20" s="129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6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6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6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5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5"/>
      <c r="BE20" s="129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</v>
      </c>
      <c r="BO20" s="116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</v>
      </c>
      <c r="CD20" s="116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0</v>
      </c>
      <c r="CP20" s="116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2.105607743937568E-3</v>
      </c>
      <c r="CU20" s="3">
        <f>IF(Model_effect_size_measure="Odds Ratio",CU19/Z_value_MH,"")</f>
        <v>2.1056077439375771E-3</v>
      </c>
      <c r="CV20" s="3" t="str">
        <f>IF(Model_effect_size_measure="Peto Odds Ratio",CV19/Z_value_Peto,"")</f>
        <v/>
      </c>
      <c r="CX20" s="135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>
        <f>MAX(0,(EY17-(Subgroup_k-1))/(SUM(Subgroup_weightf)-(SUMPRODUCT(Subgroup_weightf,Subgroup_weightf)/SUM(Subgroup_weightf))))</f>
        <v>0</v>
      </c>
      <c r="FA20" s="135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5"/>
      <c r="FS20" s="129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0.28916474038533396</v>
      </c>
      <c r="GK20" s="116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6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6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6"/>
      <c r="IB20" s="116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6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6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6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5"/>
      <c r="I21" s="129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6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6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6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5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5"/>
      <c r="BE21" s="129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6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6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6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-5.3071016644231526E-3</v>
      </c>
      <c r="CU21" s="3">
        <f>IF(Model_effect_size_measure="Odds Ratio",CU19-CU20*ABS(TINV((1-Confidence_level),k_-1)),"")</f>
        <v>-5.3071016644231812E-3</v>
      </c>
      <c r="CV21" s="3" t="str">
        <f>IF(Model_effect_size_measure="Peto Odds Ratio",CV19-CV20*ABS(TINV((1-Confidence_level),k_-1)),"")</f>
        <v/>
      </c>
      <c r="CX21" s="135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>
        <f>SQRT(EY20)</f>
        <v>0</v>
      </c>
      <c r="FA21" s="135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5"/>
      <c r="FS21" s="129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0.28916474038533396</v>
      </c>
      <c r="GK21" s="116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6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6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6"/>
      <c r="IB21" s="116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6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6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6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5"/>
      <c r="I22" s="129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6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6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6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5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5"/>
      <c r="BE22" s="129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6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6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6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8.0948655057186021E-3</v>
      </c>
      <c r="CU22" s="3">
        <f>IF(Model_effect_size_measure="Odds Ratio",CU19+CU20*ABS(TINV((1-Confidence_level),k_-1)),"")</f>
        <v>8.0948655057186299E-3</v>
      </c>
      <c r="CV22" s="3" t="str">
        <f>IF(Model_effect_size_measure="Peto Odds Ratio",CV19+CV20*ABS(TINV((1-Confidence_level),k_-1)),"")</f>
        <v/>
      </c>
      <c r="CX22" s="135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5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5"/>
      <c r="FS22" s="129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0.25633063414783497</v>
      </c>
      <c r="GK22" s="116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6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6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6"/>
      <c r="IB22" s="116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6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6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6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5"/>
      <c r="I23" s="129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6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6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6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5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5"/>
      <c r="BE23" s="129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6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6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6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-5.3071016644231526E-3</v>
      </c>
      <c r="CU23" s="3">
        <f>IF(Model_effect_size_measure="Odds Ratio",CU19-((lnCES_OddsRatio_MH-PIlnCES_LL_MH)/SElnCES_MH)*CU20,"")</f>
        <v>-5.3071016644231812E-3</v>
      </c>
      <c r="CV23" s="3" t="str">
        <f>IF(Model_effect_size_measure="Peto Odds Ratio",CV19-((lnCES_PetoOddsRatio-PIlnCES_LL_Peto)/SElnCES_Peto)*CV20,"")</f>
        <v/>
      </c>
      <c r="CX23" s="135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8" t="s">
        <v>322</v>
      </c>
      <c r="EY23" s="118"/>
      <c r="FA23" s="135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5"/>
      <c r="FS23" s="129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6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6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6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6"/>
      <c r="IB23" s="116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6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6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6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5"/>
      <c r="I24" s="129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6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6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6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5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5"/>
      <c r="BE24" s="129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6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6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6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8.0948655057186021E-3</v>
      </c>
      <c r="CU24" s="3">
        <f>IF(Model_effect_size_measure="Odds Ratio",CU19+((lnCES_OddsRatio_MH-PIlnCES_LL_MH)/SElnCES_MH)*CU20,"")</f>
        <v>8.0948655057186299E-3</v>
      </c>
      <c r="CV24" s="3" t="str">
        <f>IF(Model_effect_size_measure="Peto Odds Ratio",CV19+((lnCES_PetoOddsRatio-PIlnCES_LL_Peto)/SElnCES_Peto)*CV20,"")</f>
        <v/>
      </c>
      <c r="CX24" s="135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>
        <f>EY9</f>
        <v>1.0250508266796188</v>
      </c>
      <c r="FA24" s="135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5"/>
      <c r="FS24" s="129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6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6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6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6"/>
      <c r="IB24" s="116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6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6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6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5"/>
      <c r="I25" s="129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6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6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6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5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5"/>
      <c r="BE25" s="129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6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6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6"/>
      <c r="CQ25" s="52" t="str">
        <f t="shared" si="52"/>
        <v/>
      </c>
      <c r="CX25" s="135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6</v>
      </c>
      <c r="FA25" s="135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5"/>
      <c r="FS25" s="129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6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6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6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6"/>
      <c r="IB25" s="116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6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6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6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5"/>
      <c r="I26" s="129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6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6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6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5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5"/>
      <c r="BE26" s="129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6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6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6"/>
      <c r="CQ26" s="52" t="str">
        <f t="shared" si="52"/>
        <v/>
      </c>
      <c r="CX26" s="135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2</v>
      </c>
      <c r="FA26" s="135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5"/>
      <c r="FS26" s="129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6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6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6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6"/>
      <c r="IB26" s="116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6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6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6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5"/>
      <c r="I27" s="129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6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6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6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5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5"/>
      <c r="BE27" s="129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6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6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6"/>
      <c r="CQ27" s="52" t="str">
        <f t="shared" si="52"/>
        <v/>
      </c>
      <c r="CX27" s="135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>
        <f>IF(Subgroup_valid_options="Yes",EY9-EY11,"")</f>
        <v>2.2204460492503131E-16</v>
      </c>
      <c r="FA27" s="135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5"/>
      <c r="FS27" s="129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6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6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6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6"/>
      <c r="IB27" s="116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6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6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6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5"/>
      <c r="I28" s="129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6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6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6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5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5"/>
      <c r="BE28" s="129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6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6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6"/>
      <c r="CQ28" s="52" t="str">
        <f t="shared" si="52"/>
        <v/>
      </c>
      <c r="CX28" s="135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>
        <f>IF(Subgroup_valid_options="Yes",EY12-EY9,"")</f>
        <v>0</v>
      </c>
      <c r="FA28" s="135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5"/>
      <c r="FS28" s="129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6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6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6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6"/>
      <c r="IB28" s="116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6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6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6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5"/>
      <c r="I29" s="129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6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6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6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5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5"/>
      <c r="BE29" s="129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6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6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6"/>
      <c r="CQ29" s="52" t="str">
        <f t="shared" si="52"/>
        <v/>
      </c>
      <c r="CX29" s="135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>
        <f>IF(Subgroup_valid_options="Yes",EY9-EY13,"")</f>
        <v>2.2204460492503131E-16</v>
      </c>
      <c r="FA29" s="135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5"/>
      <c r="FS29" s="129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6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6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6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6"/>
      <c r="IB29" s="116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6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6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6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5"/>
      <c r="I30" s="129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6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6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6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5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5"/>
      <c r="BE30" s="129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6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6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6"/>
      <c r="CQ30" s="52" t="str">
        <f t="shared" si="52"/>
        <v/>
      </c>
      <c r="CX30" s="135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>
        <f>IF(Subgroup_valid_options="Yes",EY14-EY9,"")</f>
        <v>0</v>
      </c>
      <c r="FA30" s="135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5"/>
      <c r="FS30" s="129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6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6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6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6"/>
      <c r="IB30" s="116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6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6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6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5"/>
      <c r="I31" s="129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6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6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6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5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5"/>
      <c r="BE31" s="129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6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6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6"/>
      <c r="CQ31" s="52" t="str">
        <f t="shared" si="52"/>
        <v/>
      </c>
      <c r="CX31" s="135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0.5</v>
      </c>
      <c r="FA31" s="135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5"/>
      <c r="FS31" s="129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6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6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6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6"/>
      <c r="IB31" s="116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6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6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6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5"/>
      <c r="I32" s="129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6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6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6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5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5"/>
      <c r="BE32" s="129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6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6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6"/>
      <c r="CQ32" s="52" t="str">
        <f t="shared" si="52"/>
        <v/>
      </c>
      <c r="CX32" s="135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5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5"/>
      <c r="FS32" s="129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6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6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6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6"/>
      <c r="IB32" s="116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6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6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6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5"/>
      <c r="I33" s="129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6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6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6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5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5"/>
      <c r="BE33" s="129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6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6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6"/>
      <c r="CQ33" s="52" t="str">
        <f t="shared" si="52"/>
        <v/>
      </c>
      <c r="CX33" s="135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8" t="s">
        <v>325</v>
      </c>
      <c r="EY33" s="118"/>
      <c r="FA33" s="135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5"/>
      <c r="FS33" s="129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6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6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6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6"/>
      <c r="IB33" s="116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6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6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6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5"/>
      <c r="I34" s="129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6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6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6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5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5"/>
      <c r="BE34" s="129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6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6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6"/>
      <c r="CQ34" s="52" t="str">
        <f t="shared" ref="CQ34:CQ97" si="175">IF(AND(Sufficient_data="Yes",Include_study?="Yes"),c_/(c_+d_),"")</f>
        <v/>
      </c>
      <c r="CX34" s="135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>
        <f>IF(Subgroup_valid_options="Yes",SUMPRODUCT(ES:ES,DZ:DZ,DZ:DZ)-SUMPRODUCT(ES:ES,DZ:DZ)^2/SUM(ES:ES),"")</f>
        <v>-1.1102230246251565E-16</v>
      </c>
      <c r="FA34" s="135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5"/>
      <c r="FS34" s="129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6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6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6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6"/>
      <c r="IB34" s="116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6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6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6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5"/>
      <c r="I35" s="129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6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6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6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5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5"/>
      <c r="BE35" s="129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6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6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6"/>
      <c r="CQ35" s="52" t="str">
        <f t="shared" si="175"/>
        <v/>
      </c>
      <c r="CX35" s="135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>
        <f>IF(Subgroup_valid_options="Yes",MAX(0,(EY34-(COUNT(DT:DT)-1))/(SUM(ES:ES)-(SUMPRODUCT(ES:ES,ES:ES)/SUM(ES:ES)))),"")</f>
        <v>0</v>
      </c>
      <c r="FA35" s="135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5"/>
      <c r="FS35" s="129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6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6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6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6"/>
      <c r="IB35" s="116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6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6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6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5"/>
      <c r="I36" s="129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6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6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6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5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5"/>
      <c r="BE36" s="129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6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6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6"/>
      <c r="CQ36" s="52" t="str">
        <f t="shared" si="175"/>
        <v/>
      </c>
      <c r="CX36" s="135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5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5"/>
      <c r="FS36" s="129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6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6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6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6"/>
      <c r="IB36" s="116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6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6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6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5"/>
      <c r="I37" s="129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6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6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6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5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5"/>
      <c r="BE37" s="129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6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6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6"/>
      <c r="CQ37" s="52" t="str">
        <f t="shared" si="175"/>
        <v/>
      </c>
      <c r="CX37" s="135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8" t="s">
        <v>327</v>
      </c>
      <c r="EY37" s="118"/>
      <c r="FA37" s="135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5"/>
      <c r="FS37" s="129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6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6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6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6"/>
      <c r="IB37" s="116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6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6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6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5"/>
      <c r="I38" s="129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6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6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6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5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5"/>
      <c r="BE38" s="129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6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6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6"/>
      <c r="CQ38" s="52" t="str">
        <f t="shared" si="175"/>
        <v/>
      </c>
      <c r="CX38" s="135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35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5"/>
      <c r="FS38" s="129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6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6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6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6"/>
      <c r="IB38" s="116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6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6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6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5"/>
      <c r="I39" s="129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6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6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6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5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5"/>
      <c r="BE39" s="129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6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6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6"/>
      <c r="CQ39" s="52" t="str">
        <f t="shared" si="175"/>
        <v/>
      </c>
      <c r="CX39" s="135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35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5"/>
      <c r="FS39" s="129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6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6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6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6"/>
      <c r="IB39" s="116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6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6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6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5"/>
      <c r="I40" s="129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6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6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6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5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5"/>
      <c r="BE40" s="129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6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6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6"/>
      <c r="CQ40" s="52" t="str">
        <f t="shared" si="175"/>
        <v/>
      </c>
      <c r="CX40" s="135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5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5"/>
      <c r="FS40" s="129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6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6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6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6"/>
      <c r="IB40" s="116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6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6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6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5"/>
      <c r="I41" s="129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6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6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6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5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5"/>
      <c r="BE41" s="129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6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6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6"/>
      <c r="CQ41" s="52" t="str">
        <f t="shared" si="175"/>
        <v/>
      </c>
      <c r="CX41" s="135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8" t="s">
        <v>328</v>
      </c>
      <c r="EY41" s="118"/>
      <c r="FA41" s="135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5"/>
      <c r="FS41" s="129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6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6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6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6"/>
      <c r="IB41" s="116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6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6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6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5"/>
      <c r="I42" s="129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6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6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6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5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5"/>
      <c r="BE42" s="129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6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6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6"/>
      <c r="CQ42" s="52" t="str">
        <f t="shared" si="175"/>
        <v/>
      </c>
      <c r="CX42" s="135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35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5"/>
      <c r="FS42" s="129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6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6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6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6"/>
      <c r="IB42" s="116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6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6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6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5"/>
      <c r="I43" s="129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6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6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6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5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5"/>
      <c r="BE43" s="129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6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6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6"/>
      <c r="CQ43" s="52" t="str">
        <f t="shared" si="175"/>
        <v/>
      </c>
      <c r="CX43" s="135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35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5"/>
      <c r="FS43" s="129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6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6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6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6"/>
      <c r="IB43" s="116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6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6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6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5"/>
      <c r="I44" s="129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6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6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6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5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5"/>
      <c r="BE44" s="129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6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6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6"/>
      <c r="CQ44" s="52" t="str">
        <f t="shared" si="175"/>
        <v/>
      </c>
      <c r="CX44" s="135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35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5"/>
      <c r="FS44" s="129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6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6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6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6"/>
      <c r="IB44" s="116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6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6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6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5"/>
      <c r="I45" s="129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6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6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6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5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5"/>
      <c r="BE45" s="129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6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6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6"/>
      <c r="CQ45" s="52" t="str">
        <f t="shared" si="175"/>
        <v/>
      </c>
      <c r="CX45" s="135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5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5"/>
      <c r="FS45" s="129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6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6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6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6"/>
      <c r="IB45" s="116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6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6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6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5"/>
      <c r="I46" s="129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6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6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6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5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5"/>
      <c r="BE46" s="129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6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6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6"/>
      <c r="CQ46" s="52" t="str">
        <f t="shared" si="175"/>
        <v/>
      </c>
      <c r="CX46" s="135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5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5"/>
      <c r="FS46" s="129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6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6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6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6"/>
      <c r="IB46" s="116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6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6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6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5"/>
      <c r="I47" s="129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6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6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6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5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5"/>
      <c r="BE47" s="129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6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6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6"/>
      <c r="CQ47" s="52" t="str">
        <f t="shared" si="175"/>
        <v/>
      </c>
      <c r="CX47" s="135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5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5"/>
      <c r="FS47" s="129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6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6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6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6"/>
      <c r="IB47" s="116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6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6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6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5"/>
      <c r="I48" s="129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6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6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6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5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5"/>
      <c r="BE48" s="129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6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6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6"/>
      <c r="CQ48" s="52" t="str">
        <f t="shared" si="175"/>
        <v/>
      </c>
      <c r="CX48" s="135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5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5"/>
      <c r="FS48" s="129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6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6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6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6"/>
      <c r="IB48" s="116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6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6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6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5"/>
      <c r="I49" s="129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6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6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6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5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5"/>
      <c r="BE49" s="129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6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6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6"/>
      <c r="CQ49" s="52" t="str">
        <f t="shared" si="175"/>
        <v/>
      </c>
      <c r="CX49" s="135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5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5"/>
      <c r="FS49" s="129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6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6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6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6"/>
      <c r="IB49" s="116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6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6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6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5"/>
      <c r="I50" s="129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6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6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6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5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5"/>
      <c r="BE50" s="129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6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6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6"/>
      <c r="CQ50" s="52" t="str">
        <f t="shared" si="175"/>
        <v/>
      </c>
      <c r="CX50" s="135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5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5"/>
      <c r="FS50" s="129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6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6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6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6"/>
      <c r="IB50" s="116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6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6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6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5"/>
      <c r="I51" s="129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6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6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6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5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5"/>
      <c r="BE51" s="129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6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6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6"/>
      <c r="CQ51" s="52" t="str">
        <f t="shared" si="175"/>
        <v/>
      </c>
      <c r="CX51" s="135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5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5"/>
      <c r="FS51" s="129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6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6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6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6"/>
      <c r="IB51" s="116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6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6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6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5"/>
      <c r="I52" s="129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6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6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6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5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5"/>
      <c r="BE52" s="129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6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6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6"/>
      <c r="CQ52" s="52" t="str">
        <f t="shared" si="175"/>
        <v/>
      </c>
      <c r="CX52" s="135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5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5"/>
      <c r="FS52" s="129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6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6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6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6"/>
      <c r="IB52" s="116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6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6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6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5"/>
      <c r="I53" s="129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6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6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6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5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5"/>
      <c r="BE53" s="129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6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6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6"/>
      <c r="CQ53" s="52" t="str">
        <f t="shared" si="175"/>
        <v/>
      </c>
      <c r="CX53" s="135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5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5"/>
      <c r="FS53" s="129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6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6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6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6"/>
      <c r="IB53" s="116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6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6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6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5"/>
      <c r="I54" s="129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6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6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6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5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5"/>
      <c r="BE54" s="129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6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6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6"/>
      <c r="CQ54" s="52" t="str">
        <f t="shared" si="175"/>
        <v/>
      </c>
      <c r="CX54" s="135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5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5"/>
      <c r="FS54" s="129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6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6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6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6"/>
      <c r="IB54" s="116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6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6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6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5"/>
      <c r="I55" s="129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6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6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6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5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5"/>
      <c r="BE55" s="129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6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6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6"/>
      <c r="CQ55" s="52" t="str">
        <f t="shared" si="175"/>
        <v/>
      </c>
      <c r="CX55" s="135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5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5"/>
      <c r="FS55" s="129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6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6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6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6"/>
      <c r="IB55" s="116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6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6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6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5"/>
      <c r="I56" s="129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6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6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6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5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5"/>
      <c r="BE56" s="129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6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6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6"/>
      <c r="CQ56" s="52" t="str">
        <f t="shared" si="175"/>
        <v/>
      </c>
      <c r="CX56" s="135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5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5"/>
      <c r="FS56" s="129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6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6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6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6"/>
      <c r="IB56" s="116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6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6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6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5"/>
      <c r="I57" s="129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6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6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6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5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5"/>
      <c r="BE57" s="129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6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6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6"/>
      <c r="CQ57" s="52" t="str">
        <f t="shared" si="175"/>
        <v/>
      </c>
      <c r="CX57" s="135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5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5"/>
      <c r="FS57" s="129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6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6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6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6"/>
      <c r="IB57" s="116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6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6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6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5"/>
      <c r="I58" s="129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6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6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6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5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5"/>
      <c r="BE58" s="129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6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6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6"/>
      <c r="CQ58" s="52" t="str">
        <f t="shared" si="175"/>
        <v/>
      </c>
      <c r="CX58" s="135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5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5"/>
      <c r="FS58" s="129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6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6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6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6"/>
      <c r="IB58" s="116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6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6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6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5"/>
      <c r="I59" s="129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6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6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6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5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5"/>
      <c r="BE59" s="129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6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6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6"/>
      <c r="CQ59" s="52" t="str">
        <f t="shared" si="175"/>
        <v/>
      </c>
      <c r="CX59" s="135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5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5"/>
      <c r="FS59" s="129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6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6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6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6"/>
      <c r="IB59" s="116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6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6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6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5"/>
      <c r="I60" s="129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6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6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6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5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5"/>
      <c r="BE60" s="129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6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6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6"/>
      <c r="CQ60" s="52" t="str">
        <f t="shared" si="175"/>
        <v/>
      </c>
      <c r="CX60" s="135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5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5"/>
      <c r="FS60" s="129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6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6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6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6"/>
      <c r="IB60" s="116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6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6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6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5"/>
      <c r="I61" s="129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6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6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6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5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5"/>
      <c r="BE61" s="129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6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6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6"/>
      <c r="CQ61" s="52" t="str">
        <f t="shared" si="175"/>
        <v/>
      </c>
      <c r="CX61" s="135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5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5"/>
      <c r="FS61" s="129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6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6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6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6"/>
      <c r="IB61" s="116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6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6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6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5"/>
      <c r="I62" s="129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6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6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6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5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5"/>
      <c r="BE62" s="129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6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6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6"/>
      <c r="CQ62" s="52" t="str">
        <f t="shared" si="175"/>
        <v/>
      </c>
      <c r="CX62" s="135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5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5"/>
      <c r="FS62" s="129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6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6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6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6"/>
      <c r="IB62" s="116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6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6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6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5"/>
      <c r="I63" s="129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6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6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6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5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5"/>
      <c r="BE63" s="129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6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6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6"/>
      <c r="CQ63" s="52" t="str">
        <f t="shared" si="175"/>
        <v/>
      </c>
      <c r="CX63" s="135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5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5"/>
      <c r="FS63" s="129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6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6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6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6"/>
      <c r="IB63" s="116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6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6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6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5"/>
      <c r="I64" s="129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6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6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6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5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5"/>
      <c r="BE64" s="129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6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6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6"/>
      <c r="CQ64" s="52" t="str">
        <f t="shared" si="175"/>
        <v/>
      </c>
      <c r="CX64" s="135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5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5"/>
      <c r="FS64" s="129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6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6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6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6"/>
      <c r="IB64" s="116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6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6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6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5"/>
      <c r="I65" s="129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6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6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6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5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5"/>
      <c r="BE65" s="129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6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6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6"/>
      <c r="CQ65" s="52" t="str">
        <f t="shared" si="175"/>
        <v/>
      </c>
      <c r="CX65" s="135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5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5"/>
      <c r="FS65" s="129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6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6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6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6"/>
      <c r="IB65" s="116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6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6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6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5"/>
      <c r="I66" s="129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6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6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6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5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5"/>
      <c r="BE66" s="129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6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6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6"/>
      <c r="CQ66" s="52" t="str">
        <f t="shared" si="175"/>
        <v/>
      </c>
      <c r="CX66" s="135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5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5"/>
      <c r="FS66" s="129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6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6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6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6"/>
      <c r="IB66" s="116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6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6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6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5"/>
      <c r="I67" s="129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6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6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6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5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5"/>
      <c r="BE67" s="129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6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6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6"/>
      <c r="CQ67" s="52" t="str">
        <f t="shared" si="175"/>
        <v/>
      </c>
      <c r="CX67" s="135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5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5"/>
      <c r="FS67" s="129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6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6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6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6"/>
      <c r="IB67" s="116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6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6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6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5"/>
      <c r="I68" s="129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6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6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6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5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5"/>
      <c r="BE68" s="129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6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6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6"/>
      <c r="CQ68" s="52" t="str">
        <f t="shared" si="175"/>
        <v/>
      </c>
      <c r="CX68" s="135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5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5"/>
      <c r="FS68" s="129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6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6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6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6"/>
      <c r="IB68" s="116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6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6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6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5"/>
      <c r="I69" s="129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6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6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6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5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5"/>
      <c r="BE69" s="129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6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6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6"/>
      <c r="CQ69" s="52" t="str">
        <f t="shared" si="175"/>
        <v/>
      </c>
      <c r="CX69" s="135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5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5"/>
      <c r="FS69" s="129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6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6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6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6"/>
      <c r="IB69" s="116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6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6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6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5"/>
      <c r="I70" s="129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6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6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6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5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5"/>
      <c r="BE70" s="129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6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6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6"/>
      <c r="CQ70" s="52" t="str">
        <f t="shared" si="175"/>
        <v/>
      </c>
      <c r="CX70" s="135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5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5"/>
      <c r="FS70" s="129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6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6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6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6"/>
      <c r="IB70" s="116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6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6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6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5"/>
      <c r="I71" s="129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6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6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6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5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5"/>
      <c r="BE71" s="129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6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6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6"/>
      <c r="CQ71" s="52" t="str">
        <f t="shared" si="175"/>
        <v/>
      </c>
      <c r="CX71" s="135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5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5"/>
      <c r="FS71" s="129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6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6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6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6"/>
      <c r="IB71" s="116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6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6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6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5"/>
      <c r="I72" s="129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6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6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6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5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5"/>
      <c r="BE72" s="129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6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6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6"/>
      <c r="CQ72" s="52" t="str">
        <f t="shared" si="175"/>
        <v/>
      </c>
      <c r="CX72" s="135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5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5"/>
      <c r="FS72" s="129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6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6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6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6"/>
      <c r="IB72" s="116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6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6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6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5"/>
      <c r="I73" s="129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6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6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6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5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5"/>
      <c r="BE73" s="129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6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6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6"/>
      <c r="CQ73" s="52" t="str">
        <f t="shared" si="175"/>
        <v/>
      </c>
      <c r="CX73" s="135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5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5"/>
      <c r="FS73" s="129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6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6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6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6"/>
      <c r="IB73" s="116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6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6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6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5"/>
      <c r="I74" s="129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6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6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6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5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5"/>
      <c r="BE74" s="129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6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6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6"/>
      <c r="CQ74" s="52" t="str">
        <f t="shared" si="175"/>
        <v/>
      </c>
      <c r="CX74" s="135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5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5"/>
      <c r="FS74" s="129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6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6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6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6"/>
      <c r="IB74" s="116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6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6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6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5"/>
      <c r="I75" s="129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6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6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6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5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5"/>
      <c r="BE75" s="129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6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6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6"/>
      <c r="CQ75" s="52" t="str">
        <f t="shared" si="175"/>
        <v/>
      </c>
      <c r="CX75" s="135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5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5"/>
      <c r="FS75" s="129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6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6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6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6"/>
      <c r="IB75" s="116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6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6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6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5"/>
      <c r="I76" s="129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6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6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6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5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5"/>
      <c r="BE76" s="129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6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6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6"/>
      <c r="CQ76" s="52" t="str">
        <f t="shared" si="175"/>
        <v/>
      </c>
      <c r="CX76" s="135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5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5"/>
      <c r="FS76" s="129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6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6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6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6"/>
      <c r="IB76" s="116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6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6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6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5"/>
      <c r="I77" s="129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6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6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6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5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5"/>
      <c r="BE77" s="129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6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6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6"/>
      <c r="CQ77" s="52" t="str">
        <f t="shared" si="175"/>
        <v/>
      </c>
      <c r="CX77" s="135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5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5"/>
      <c r="FS77" s="129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6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6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6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6"/>
      <c r="IB77" s="116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6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6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6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5"/>
      <c r="I78" s="129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6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6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6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5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5"/>
      <c r="BE78" s="129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6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6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6"/>
      <c r="CQ78" s="52" t="str">
        <f t="shared" si="175"/>
        <v/>
      </c>
      <c r="CX78" s="135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5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5"/>
      <c r="FS78" s="129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6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6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6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6"/>
      <c r="IB78" s="116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6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6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6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5"/>
      <c r="I79" s="129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6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6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6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5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5"/>
      <c r="BE79" s="129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6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6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6"/>
      <c r="CQ79" s="52" t="str">
        <f t="shared" si="175"/>
        <v/>
      </c>
      <c r="CX79" s="135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5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5"/>
      <c r="FS79" s="129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6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6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6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6"/>
      <c r="IB79" s="116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6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6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6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5"/>
      <c r="I80" s="129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6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6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6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5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5"/>
      <c r="BE80" s="129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6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6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6"/>
      <c r="CQ80" s="52" t="str">
        <f t="shared" si="175"/>
        <v/>
      </c>
      <c r="CX80" s="135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5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5"/>
      <c r="FS80" s="129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6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6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6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6"/>
      <c r="IB80" s="116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6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6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6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5"/>
      <c r="I81" s="129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6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6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6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5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5"/>
      <c r="BE81" s="129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6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6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6"/>
      <c r="CQ81" s="52" t="str">
        <f t="shared" si="175"/>
        <v/>
      </c>
      <c r="CX81" s="135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5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5"/>
      <c r="FS81" s="129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6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6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6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6"/>
      <c r="IB81" s="116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6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6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6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5"/>
      <c r="I82" s="129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6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6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6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5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5"/>
      <c r="BE82" s="129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6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6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6"/>
      <c r="CQ82" s="52" t="str">
        <f t="shared" si="175"/>
        <v/>
      </c>
      <c r="CX82" s="135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5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5"/>
      <c r="FS82" s="129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6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6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6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6"/>
      <c r="IB82" s="116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6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6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6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5"/>
      <c r="I83" s="129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6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6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6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5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5"/>
      <c r="BE83" s="129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6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6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6"/>
      <c r="CQ83" s="52" t="str">
        <f t="shared" si="175"/>
        <v/>
      </c>
      <c r="CX83" s="135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5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5"/>
      <c r="FS83" s="129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6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6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6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6"/>
      <c r="IB83" s="116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6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6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6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5"/>
      <c r="I84" s="129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6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6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6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5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5"/>
      <c r="BE84" s="129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6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6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6"/>
      <c r="CQ84" s="52" t="str">
        <f t="shared" si="175"/>
        <v/>
      </c>
      <c r="CX84" s="135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5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5"/>
      <c r="FS84" s="129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6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6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6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6"/>
      <c r="IB84" s="116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6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6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6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5"/>
      <c r="I85" s="129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6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6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6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5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5"/>
      <c r="BE85" s="129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6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6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6"/>
      <c r="CQ85" s="52" t="str">
        <f t="shared" si="175"/>
        <v/>
      </c>
      <c r="CX85" s="135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5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5"/>
      <c r="FS85" s="129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6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6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6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6"/>
      <c r="IB85" s="116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6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6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6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5"/>
      <c r="I86" s="129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6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6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6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5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5"/>
      <c r="BE86" s="129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6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6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6"/>
      <c r="CQ86" s="52" t="str">
        <f t="shared" si="175"/>
        <v/>
      </c>
      <c r="CX86" s="135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5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5"/>
      <c r="FS86" s="129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6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6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6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6"/>
      <c r="IB86" s="116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6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6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6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5"/>
      <c r="I87" s="129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6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6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6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5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5"/>
      <c r="BE87" s="129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6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6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6"/>
      <c r="CQ87" s="52" t="str">
        <f t="shared" si="175"/>
        <v/>
      </c>
      <c r="CX87" s="135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5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5"/>
      <c r="FS87" s="129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6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6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6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6"/>
      <c r="IB87" s="116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6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6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6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5"/>
      <c r="I88" s="129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6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6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6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5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5"/>
      <c r="BE88" s="129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6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6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6"/>
      <c r="CQ88" s="52" t="str">
        <f t="shared" si="175"/>
        <v/>
      </c>
      <c r="CX88" s="135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5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5"/>
      <c r="FS88" s="129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6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6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6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6"/>
      <c r="IB88" s="116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6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6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6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5"/>
      <c r="I89" s="129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6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6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6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5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5"/>
      <c r="BE89" s="129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6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6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6"/>
      <c r="CQ89" s="52" t="str">
        <f t="shared" si="175"/>
        <v/>
      </c>
      <c r="CX89" s="135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5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5"/>
      <c r="FS89" s="129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6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6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6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6"/>
      <c r="IB89" s="116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6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6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6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5"/>
      <c r="I90" s="129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6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6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6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5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5"/>
      <c r="BE90" s="129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6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6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6"/>
      <c r="CQ90" s="52" t="str">
        <f t="shared" si="175"/>
        <v/>
      </c>
      <c r="CX90" s="135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5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5"/>
      <c r="FS90" s="129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6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6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6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6"/>
      <c r="IB90" s="116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6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6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6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5"/>
      <c r="I91" s="129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6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6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6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5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5"/>
      <c r="BE91" s="129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6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6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6"/>
      <c r="CQ91" s="52" t="str">
        <f t="shared" si="175"/>
        <v/>
      </c>
      <c r="CX91" s="135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5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5"/>
      <c r="FS91" s="129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6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6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6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6"/>
      <c r="IB91" s="116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6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6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6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5"/>
      <c r="I92" s="129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6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6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6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5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5"/>
      <c r="BE92" s="129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6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6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6"/>
      <c r="CQ92" s="52" t="str">
        <f t="shared" si="175"/>
        <v/>
      </c>
      <c r="CX92" s="135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5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5"/>
      <c r="FS92" s="129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6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6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6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6"/>
      <c r="IB92" s="116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6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6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6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5"/>
      <c r="I93" s="129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6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6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6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5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5"/>
      <c r="BE93" s="129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6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6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6"/>
      <c r="CQ93" s="52" t="str">
        <f t="shared" si="175"/>
        <v/>
      </c>
      <c r="CX93" s="135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5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5"/>
      <c r="FS93" s="129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6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6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6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6"/>
      <c r="IB93" s="116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6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6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6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5"/>
      <c r="I94" s="129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6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6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6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5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5"/>
      <c r="BE94" s="129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6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6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6"/>
      <c r="CQ94" s="52" t="str">
        <f t="shared" si="175"/>
        <v/>
      </c>
      <c r="CX94" s="135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5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5"/>
      <c r="FS94" s="129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6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6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6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6"/>
      <c r="IB94" s="116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6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6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6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5"/>
      <c r="I95" s="129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6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6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6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5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5"/>
      <c r="BE95" s="129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6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6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6"/>
      <c r="CQ95" s="52" t="str">
        <f t="shared" si="175"/>
        <v/>
      </c>
      <c r="CX95" s="135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5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5"/>
      <c r="FS95" s="129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6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6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6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6"/>
      <c r="IB95" s="116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6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6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6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5"/>
      <c r="I96" s="129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6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6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6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5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5"/>
      <c r="BE96" s="129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6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6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6"/>
      <c r="CQ96" s="52" t="str">
        <f t="shared" si="175"/>
        <v/>
      </c>
      <c r="CX96" s="135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5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5"/>
      <c r="FS96" s="129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6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6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6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6"/>
      <c r="IB96" s="116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6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6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6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5"/>
      <c r="I97" s="129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6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6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6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5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5"/>
      <c r="BE97" s="129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6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6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6"/>
      <c r="CQ97" s="52" t="str">
        <f t="shared" si="175"/>
        <v/>
      </c>
      <c r="CX97" s="135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5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5"/>
      <c r="FS97" s="129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6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6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6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6"/>
      <c r="IB97" s="116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6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6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6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5"/>
      <c r="I98" s="129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6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6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6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5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5"/>
      <c r="BE98" s="129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6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6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6"/>
      <c r="CQ98" s="52" t="str">
        <f t="shared" ref="CQ98:CQ161" si="383">IF(AND(Sufficient_data="Yes",Include_study?="Yes"),c_/(c_+d_),"")</f>
        <v/>
      </c>
      <c r="CX98" s="135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5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5"/>
      <c r="FS98" s="129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6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6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6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6"/>
      <c r="IB98" s="116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6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6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6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5"/>
      <c r="I99" s="129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6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6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6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5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5"/>
      <c r="BE99" s="129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6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6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6"/>
      <c r="CQ99" s="52" t="str">
        <f t="shared" si="383"/>
        <v/>
      </c>
      <c r="CX99" s="135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5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5"/>
      <c r="FS99" s="129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6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6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6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6"/>
      <c r="IB99" s="116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6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6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6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5"/>
      <c r="I100" s="129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6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6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6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5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5"/>
      <c r="BE100" s="129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6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6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6"/>
      <c r="CQ100" s="52" t="str">
        <f t="shared" si="383"/>
        <v/>
      </c>
      <c r="CX100" s="135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5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5"/>
      <c r="FS100" s="129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6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6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6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6"/>
      <c r="IB100" s="116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6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6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6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5"/>
      <c r="I101" s="129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6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6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6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5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5"/>
      <c r="BE101" s="129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6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6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6"/>
      <c r="CQ101" s="52" t="str">
        <f t="shared" si="383"/>
        <v/>
      </c>
      <c r="CX101" s="135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5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5"/>
      <c r="FS101" s="129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6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6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6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6"/>
      <c r="IB101" s="116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6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6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6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5"/>
      <c r="I102" s="129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6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6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6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5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5"/>
      <c r="BE102" s="129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6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6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6"/>
      <c r="CQ102" s="52" t="str">
        <f t="shared" si="383"/>
        <v/>
      </c>
      <c r="CX102" s="135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5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5"/>
      <c r="FS102" s="129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6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6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6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6"/>
      <c r="IB102" s="116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6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6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6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5"/>
      <c r="I103" s="129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6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6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6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5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5"/>
      <c r="BE103" s="129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6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6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6"/>
      <c r="CQ103" s="52" t="str">
        <f t="shared" si="383"/>
        <v/>
      </c>
      <c r="CX103" s="135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5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5"/>
      <c r="FS103" s="129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6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6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6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6"/>
      <c r="IB103" s="116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6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6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6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5"/>
      <c r="I104" s="129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6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6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6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5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5"/>
      <c r="BE104" s="129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6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6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6"/>
      <c r="CQ104" s="52" t="str">
        <f t="shared" si="383"/>
        <v/>
      </c>
      <c r="CX104" s="135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5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5"/>
      <c r="FS104" s="129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6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6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6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6"/>
      <c r="IB104" s="116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6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6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6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5"/>
      <c r="I105" s="129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6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6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6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5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5"/>
      <c r="BE105" s="129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6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6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6"/>
      <c r="CQ105" s="52" t="str">
        <f t="shared" si="383"/>
        <v/>
      </c>
      <c r="CX105" s="135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5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5"/>
      <c r="FS105" s="129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6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6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6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6"/>
      <c r="IB105" s="116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6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6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6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5"/>
      <c r="I106" s="129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6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6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6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5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5"/>
      <c r="BE106" s="129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6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6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6"/>
      <c r="CQ106" s="52" t="str">
        <f t="shared" si="383"/>
        <v/>
      </c>
      <c r="CX106" s="135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5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5"/>
      <c r="FS106" s="129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6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6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6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6"/>
      <c r="IB106" s="116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6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6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6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5"/>
      <c r="I107" s="129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6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6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6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5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5"/>
      <c r="BE107" s="129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6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6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6"/>
      <c r="CQ107" s="52" t="str">
        <f t="shared" si="383"/>
        <v/>
      </c>
      <c r="CX107" s="135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5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5"/>
      <c r="FS107" s="129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6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6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6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6"/>
      <c r="IB107" s="116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6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6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6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5"/>
      <c r="I108" s="129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6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6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6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5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5"/>
      <c r="BE108" s="129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6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6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6"/>
      <c r="CQ108" s="52" t="str">
        <f t="shared" si="383"/>
        <v/>
      </c>
      <c r="CX108" s="135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5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5"/>
      <c r="FS108" s="129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6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6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6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6"/>
      <c r="IB108" s="116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6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6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6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5"/>
      <c r="I109" s="129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6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6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6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5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5"/>
      <c r="BE109" s="129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6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6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6"/>
      <c r="CQ109" s="52" t="str">
        <f t="shared" si="383"/>
        <v/>
      </c>
      <c r="CX109" s="135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5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5"/>
      <c r="FS109" s="129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6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6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6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6"/>
      <c r="IB109" s="116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6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6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6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5"/>
      <c r="I110" s="129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6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6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6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5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5"/>
      <c r="BE110" s="129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6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6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6"/>
      <c r="CQ110" s="52" t="str">
        <f t="shared" si="383"/>
        <v/>
      </c>
      <c r="CX110" s="135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5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5"/>
      <c r="FS110" s="129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6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6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6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6"/>
      <c r="IB110" s="116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6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6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6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5"/>
      <c r="I111" s="129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6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6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6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5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5"/>
      <c r="BE111" s="129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6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6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6"/>
      <c r="CQ111" s="52" t="str">
        <f t="shared" si="383"/>
        <v/>
      </c>
      <c r="CX111" s="135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5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5"/>
      <c r="FS111" s="129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6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6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6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6"/>
      <c r="IB111" s="116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6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6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6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5"/>
      <c r="I112" s="129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6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6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6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5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5"/>
      <c r="BE112" s="129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6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6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6"/>
      <c r="CQ112" s="52" t="str">
        <f t="shared" si="383"/>
        <v/>
      </c>
      <c r="CX112" s="135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5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5"/>
      <c r="FS112" s="129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6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6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6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6"/>
      <c r="IB112" s="116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6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6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6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5"/>
      <c r="I113" s="129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6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6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6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5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5"/>
      <c r="BE113" s="129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6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6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6"/>
      <c r="CQ113" s="52" t="str">
        <f t="shared" si="383"/>
        <v/>
      </c>
      <c r="CX113" s="135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5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5"/>
      <c r="FS113" s="129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6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6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6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6"/>
      <c r="IB113" s="116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6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6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6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5"/>
      <c r="I114" s="129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6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6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6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5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5"/>
      <c r="BE114" s="129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6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6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6"/>
      <c r="CQ114" s="52" t="str">
        <f t="shared" si="383"/>
        <v/>
      </c>
      <c r="CX114" s="135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5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5"/>
      <c r="FS114" s="129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6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6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6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6"/>
      <c r="IB114" s="116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6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6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6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5"/>
      <c r="I115" s="129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6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6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6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5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5"/>
      <c r="BE115" s="129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6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6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6"/>
      <c r="CQ115" s="52" t="str">
        <f t="shared" si="383"/>
        <v/>
      </c>
      <c r="CX115" s="135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5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5"/>
      <c r="FS115" s="129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6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6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6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6"/>
      <c r="IB115" s="116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6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6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6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5"/>
      <c r="I116" s="129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6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6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6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5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5"/>
      <c r="BE116" s="129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6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6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6"/>
      <c r="CQ116" s="52" t="str">
        <f t="shared" si="383"/>
        <v/>
      </c>
      <c r="CX116" s="135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5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5"/>
      <c r="FS116" s="129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6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6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6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6"/>
      <c r="IB116" s="116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6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6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6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5"/>
      <c r="I117" s="129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6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6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6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5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5"/>
      <c r="BE117" s="129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6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6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6"/>
      <c r="CQ117" s="52" t="str">
        <f t="shared" si="383"/>
        <v/>
      </c>
      <c r="CX117" s="135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5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5"/>
      <c r="FS117" s="129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6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6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6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6"/>
      <c r="IB117" s="116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6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6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6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5"/>
      <c r="I118" s="129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6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6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6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5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5"/>
      <c r="BE118" s="129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6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6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6"/>
      <c r="CQ118" s="52" t="str">
        <f t="shared" si="383"/>
        <v/>
      </c>
      <c r="CX118" s="135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5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5"/>
      <c r="FS118" s="129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6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6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6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6"/>
      <c r="IB118" s="116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6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6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6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5"/>
      <c r="I119" s="129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6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6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6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5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5"/>
      <c r="BE119" s="129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6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6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6"/>
      <c r="CQ119" s="52" t="str">
        <f t="shared" si="383"/>
        <v/>
      </c>
      <c r="CX119" s="135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5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5"/>
      <c r="FS119" s="129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6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6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6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6"/>
      <c r="IB119" s="116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6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6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6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5"/>
      <c r="I120" s="129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6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6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6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5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5"/>
      <c r="BE120" s="129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6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6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6"/>
      <c r="CQ120" s="52" t="str">
        <f t="shared" si="383"/>
        <v/>
      </c>
      <c r="CX120" s="135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5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5"/>
      <c r="FS120" s="129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6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6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6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6"/>
      <c r="IB120" s="116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6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6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6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5"/>
      <c r="I121" s="129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6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6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6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5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5"/>
      <c r="BE121" s="129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6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6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6"/>
      <c r="CQ121" s="52" t="str">
        <f t="shared" si="383"/>
        <v/>
      </c>
      <c r="CX121" s="135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5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5"/>
      <c r="FS121" s="129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6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6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6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6"/>
      <c r="IB121" s="116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6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6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6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5"/>
      <c r="I122" s="129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6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6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6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5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5"/>
      <c r="BE122" s="129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6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6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6"/>
      <c r="CQ122" s="52" t="str">
        <f t="shared" si="383"/>
        <v/>
      </c>
      <c r="CX122" s="135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5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5"/>
      <c r="FS122" s="129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6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6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6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6"/>
      <c r="IB122" s="116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6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6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6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5"/>
      <c r="I123" s="129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6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6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6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5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5"/>
      <c r="BE123" s="129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6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6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6"/>
      <c r="CQ123" s="52" t="str">
        <f t="shared" si="383"/>
        <v/>
      </c>
      <c r="CX123" s="135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5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5"/>
      <c r="FS123" s="129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6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6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6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6"/>
      <c r="IB123" s="116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6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6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6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5"/>
      <c r="I124" s="129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6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6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6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5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5"/>
      <c r="BE124" s="129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6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6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6"/>
      <c r="CQ124" s="52" t="str">
        <f t="shared" si="383"/>
        <v/>
      </c>
      <c r="CX124" s="135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5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5"/>
      <c r="FS124" s="129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6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6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6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6"/>
      <c r="IB124" s="116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6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6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6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5"/>
      <c r="I125" s="129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6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6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6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5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5"/>
      <c r="BE125" s="129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6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6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6"/>
      <c r="CQ125" s="52" t="str">
        <f t="shared" si="383"/>
        <v/>
      </c>
      <c r="CX125" s="135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5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5"/>
      <c r="FS125" s="129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6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6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6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6"/>
      <c r="IB125" s="116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6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6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6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5"/>
      <c r="I126" s="129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6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6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6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5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5"/>
      <c r="BE126" s="129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6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6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6"/>
      <c r="CQ126" s="52" t="str">
        <f t="shared" si="383"/>
        <v/>
      </c>
      <c r="CX126" s="135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5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5"/>
      <c r="FS126" s="129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6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6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6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6"/>
      <c r="IB126" s="116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6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6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6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5"/>
      <c r="I127" s="129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6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6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6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5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5"/>
      <c r="BE127" s="129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6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6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6"/>
      <c r="CQ127" s="52" t="str">
        <f t="shared" si="383"/>
        <v/>
      </c>
      <c r="CX127" s="135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5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5"/>
      <c r="FS127" s="129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6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6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6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6"/>
      <c r="IB127" s="116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6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6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6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5"/>
      <c r="I128" s="129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6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6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6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5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5"/>
      <c r="BE128" s="129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6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6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6"/>
      <c r="CQ128" s="52" t="str">
        <f t="shared" si="383"/>
        <v/>
      </c>
      <c r="CX128" s="135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5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5"/>
      <c r="FS128" s="129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6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6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6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6"/>
      <c r="IB128" s="116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6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6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6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5"/>
      <c r="I129" s="129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6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6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6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5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5"/>
      <c r="BE129" s="129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6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6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6"/>
      <c r="CQ129" s="52" t="str">
        <f t="shared" si="383"/>
        <v/>
      </c>
      <c r="CX129" s="135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5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5"/>
      <c r="FS129" s="129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6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6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6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6"/>
      <c r="IB129" s="116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6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6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6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5"/>
      <c r="I130" s="129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6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6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6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5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5"/>
      <c r="BE130" s="129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6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6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6"/>
      <c r="CQ130" s="52" t="str">
        <f t="shared" si="383"/>
        <v/>
      </c>
      <c r="CX130" s="135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5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5"/>
      <c r="FS130" s="129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6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6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6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6"/>
      <c r="IB130" s="116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6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6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6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5"/>
      <c r="I131" s="129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6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6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6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5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5"/>
      <c r="BE131" s="129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6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6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6"/>
      <c r="CQ131" s="52" t="str">
        <f t="shared" si="383"/>
        <v/>
      </c>
      <c r="CX131" s="135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5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5"/>
      <c r="FS131" s="129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6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6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6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6"/>
      <c r="IB131" s="116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6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6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6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5"/>
      <c r="I132" s="129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6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6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6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5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5"/>
      <c r="BE132" s="129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6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6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6"/>
      <c r="CQ132" s="52" t="str">
        <f t="shared" si="383"/>
        <v/>
      </c>
      <c r="CX132" s="135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5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5"/>
      <c r="FS132" s="129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6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6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6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6"/>
      <c r="IB132" s="116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6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6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6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5"/>
      <c r="I133" s="129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6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6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6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5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5"/>
      <c r="BE133" s="129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6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6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6"/>
      <c r="CQ133" s="52" t="str">
        <f t="shared" si="383"/>
        <v/>
      </c>
      <c r="CX133" s="135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5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5"/>
      <c r="FS133" s="129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6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6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6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6"/>
      <c r="IB133" s="116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6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6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6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5"/>
      <c r="I134" s="129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6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6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6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5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5"/>
      <c r="BE134" s="129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6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6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6"/>
      <c r="CQ134" s="52" t="str">
        <f t="shared" si="383"/>
        <v/>
      </c>
      <c r="CX134" s="135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5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5"/>
      <c r="FS134" s="129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6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6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6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6"/>
      <c r="IB134" s="116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6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6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6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5"/>
      <c r="I135" s="129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6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6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6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5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5"/>
      <c r="BE135" s="129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6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6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6"/>
      <c r="CQ135" s="52" t="str">
        <f t="shared" si="383"/>
        <v/>
      </c>
      <c r="CX135" s="135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5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5"/>
      <c r="FS135" s="129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6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6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6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6"/>
      <c r="IB135" s="116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6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6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6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5"/>
      <c r="I136" s="129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6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6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6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5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5"/>
      <c r="BE136" s="129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6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6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6"/>
      <c r="CQ136" s="52" t="str">
        <f t="shared" si="383"/>
        <v/>
      </c>
      <c r="CX136" s="135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5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5"/>
      <c r="FS136" s="129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6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6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6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6"/>
      <c r="IB136" s="116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6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6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6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5"/>
      <c r="I137" s="129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6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6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6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5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5"/>
      <c r="BE137" s="129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6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6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6"/>
      <c r="CQ137" s="52" t="str">
        <f t="shared" si="383"/>
        <v/>
      </c>
      <c r="CX137" s="135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5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5"/>
      <c r="FS137" s="129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6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6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6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6"/>
      <c r="IB137" s="116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6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6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6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5"/>
      <c r="I138" s="129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6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6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6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5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5"/>
      <c r="BE138" s="129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6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6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6"/>
      <c r="CQ138" s="52" t="str">
        <f t="shared" si="383"/>
        <v/>
      </c>
      <c r="CX138" s="135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5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5"/>
      <c r="FS138" s="129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6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6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6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6"/>
      <c r="IB138" s="116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6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6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6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5"/>
      <c r="I139" s="129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6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6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6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5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5"/>
      <c r="BE139" s="129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6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6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6"/>
      <c r="CQ139" s="52" t="str">
        <f t="shared" si="383"/>
        <v/>
      </c>
      <c r="CX139" s="135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5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5"/>
      <c r="FS139" s="129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6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6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6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6"/>
      <c r="IB139" s="116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6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6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6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5"/>
      <c r="I140" s="129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6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6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6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5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5"/>
      <c r="BE140" s="129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6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6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6"/>
      <c r="CQ140" s="52" t="str">
        <f t="shared" si="383"/>
        <v/>
      </c>
      <c r="CX140" s="135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5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5"/>
      <c r="FS140" s="129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6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6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6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6"/>
      <c r="IB140" s="116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6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6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6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5"/>
      <c r="I141" s="129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6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6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6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5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5"/>
      <c r="BE141" s="129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6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6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6"/>
      <c r="CQ141" s="52" t="str">
        <f t="shared" si="383"/>
        <v/>
      </c>
      <c r="CX141" s="135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5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5"/>
      <c r="FS141" s="129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6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6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6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6"/>
      <c r="IB141" s="116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6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6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6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5"/>
      <c r="I142" s="129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6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6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6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5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5"/>
      <c r="BE142" s="129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6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6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6"/>
      <c r="CQ142" s="52" t="str">
        <f t="shared" si="383"/>
        <v/>
      </c>
      <c r="CX142" s="135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5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5"/>
      <c r="FS142" s="129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6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6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6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6"/>
      <c r="IB142" s="116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6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6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6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5"/>
      <c r="I143" s="129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6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6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6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5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5"/>
      <c r="BE143" s="129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6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6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6"/>
      <c r="CQ143" s="52" t="str">
        <f t="shared" si="383"/>
        <v/>
      </c>
      <c r="CX143" s="135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5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5"/>
      <c r="FS143" s="129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6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6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6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6"/>
      <c r="IB143" s="116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6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6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6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5"/>
      <c r="I144" s="129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6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6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6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5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5"/>
      <c r="BE144" s="129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6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6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6"/>
      <c r="CQ144" s="52" t="str">
        <f t="shared" si="383"/>
        <v/>
      </c>
      <c r="CX144" s="135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5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5"/>
      <c r="FS144" s="129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6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6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6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6"/>
      <c r="IB144" s="116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6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6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6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5"/>
      <c r="I145" s="129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6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6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6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5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5"/>
      <c r="BE145" s="129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6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6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6"/>
      <c r="CQ145" s="52" t="str">
        <f t="shared" si="383"/>
        <v/>
      </c>
      <c r="CX145" s="135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5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5"/>
      <c r="FS145" s="129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6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6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6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6"/>
      <c r="IB145" s="116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6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6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6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5"/>
      <c r="I146" s="129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6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6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6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5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5"/>
      <c r="BE146" s="129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6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6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6"/>
      <c r="CQ146" s="52" t="str">
        <f t="shared" si="383"/>
        <v/>
      </c>
      <c r="CX146" s="135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5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5"/>
      <c r="FS146" s="129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6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6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6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6"/>
      <c r="IB146" s="116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6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6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6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5"/>
      <c r="I147" s="129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6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6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6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5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5"/>
      <c r="BE147" s="129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6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6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6"/>
      <c r="CQ147" s="52" t="str">
        <f t="shared" si="383"/>
        <v/>
      </c>
      <c r="CX147" s="135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5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5"/>
      <c r="FS147" s="129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6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6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6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6"/>
      <c r="IB147" s="116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6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6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6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5"/>
      <c r="I148" s="129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6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6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6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5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5"/>
      <c r="BE148" s="129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6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6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6"/>
      <c r="CQ148" s="52" t="str">
        <f t="shared" si="383"/>
        <v/>
      </c>
      <c r="CX148" s="135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5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5"/>
      <c r="FS148" s="129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6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6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6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6"/>
      <c r="IB148" s="116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6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6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6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5"/>
      <c r="I149" s="129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6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6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6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5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5"/>
      <c r="BE149" s="129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6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6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6"/>
      <c r="CQ149" s="52" t="str">
        <f t="shared" si="383"/>
        <v/>
      </c>
      <c r="CX149" s="135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5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5"/>
      <c r="FS149" s="129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6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6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6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6"/>
      <c r="IB149" s="116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6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6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6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5"/>
      <c r="I150" s="129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6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6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6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5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5"/>
      <c r="BE150" s="129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6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6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6"/>
      <c r="CQ150" s="52" t="str">
        <f t="shared" si="383"/>
        <v/>
      </c>
      <c r="CX150" s="135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5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5"/>
      <c r="FS150" s="129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6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6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6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6"/>
      <c r="IB150" s="116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6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6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6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5"/>
      <c r="I151" s="129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6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6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6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5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5"/>
      <c r="BE151" s="129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6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6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6"/>
      <c r="CQ151" s="52" t="str">
        <f t="shared" si="383"/>
        <v/>
      </c>
      <c r="CX151" s="135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5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5"/>
      <c r="FS151" s="129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6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6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6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6"/>
      <c r="IB151" s="116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6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6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6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5"/>
      <c r="I152" s="129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6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6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6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5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5"/>
      <c r="BE152" s="129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6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6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6"/>
      <c r="CQ152" s="52" t="str">
        <f t="shared" si="383"/>
        <v/>
      </c>
      <c r="CX152" s="135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5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5"/>
      <c r="FS152" s="129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6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6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6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6"/>
      <c r="IB152" s="116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6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6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6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5"/>
      <c r="I153" s="129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6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6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6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5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5"/>
      <c r="BE153" s="129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6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6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6"/>
      <c r="CQ153" s="52" t="str">
        <f t="shared" si="383"/>
        <v/>
      </c>
      <c r="CX153" s="135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5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5"/>
      <c r="FS153" s="129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6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6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6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6"/>
      <c r="IB153" s="116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6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6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6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5"/>
      <c r="I154" s="129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6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6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6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5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5"/>
      <c r="BE154" s="129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6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6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6"/>
      <c r="CQ154" s="52" t="str">
        <f t="shared" si="383"/>
        <v/>
      </c>
      <c r="CX154" s="135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5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5"/>
      <c r="FS154" s="129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6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6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6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6"/>
      <c r="IB154" s="116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6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6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6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5"/>
      <c r="I155" s="129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6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6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6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5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5"/>
      <c r="BE155" s="129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6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6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6"/>
      <c r="CQ155" s="52" t="str">
        <f t="shared" si="383"/>
        <v/>
      </c>
      <c r="CX155" s="135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5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5"/>
      <c r="FS155" s="129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6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6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6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6"/>
      <c r="IB155" s="116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6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6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6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5"/>
      <c r="I156" s="129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6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6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6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5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5"/>
      <c r="BE156" s="129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6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6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6"/>
      <c r="CQ156" s="52" t="str">
        <f t="shared" si="383"/>
        <v/>
      </c>
      <c r="CX156" s="135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5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5"/>
      <c r="FS156" s="129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6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6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6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6"/>
      <c r="IB156" s="116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6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6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6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5"/>
      <c r="I157" s="129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6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6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6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5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5"/>
      <c r="BE157" s="129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6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6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6"/>
      <c r="CQ157" s="52" t="str">
        <f t="shared" si="383"/>
        <v/>
      </c>
      <c r="CX157" s="135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5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5"/>
      <c r="FS157" s="129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6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6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6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6"/>
      <c r="IB157" s="116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6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6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6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5"/>
      <c r="I158" s="129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6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6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6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5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5"/>
      <c r="BE158" s="129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6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6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6"/>
      <c r="CQ158" s="52" t="str">
        <f t="shared" si="383"/>
        <v/>
      </c>
      <c r="CX158" s="135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5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5"/>
      <c r="FS158" s="129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6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6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6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6"/>
      <c r="IB158" s="116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6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6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6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5"/>
      <c r="I159" s="129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6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6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6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5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5"/>
      <c r="BE159" s="129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6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6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6"/>
      <c r="CQ159" s="52" t="str">
        <f t="shared" si="383"/>
        <v/>
      </c>
      <c r="CX159" s="135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5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5"/>
      <c r="FS159" s="129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6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6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6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6"/>
      <c r="IB159" s="116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6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6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6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5"/>
      <c r="I160" s="129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6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6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6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5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5"/>
      <c r="BE160" s="129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6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6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6"/>
      <c r="CQ160" s="52" t="str">
        <f t="shared" si="383"/>
        <v/>
      </c>
      <c r="CX160" s="135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5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5"/>
      <c r="FS160" s="129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6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6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6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6"/>
      <c r="IB160" s="116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6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6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6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5"/>
      <c r="I161" s="129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6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6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6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5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5"/>
      <c r="BE161" s="129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6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6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6"/>
      <c r="CQ161" s="52" t="str">
        <f t="shared" si="383"/>
        <v/>
      </c>
      <c r="CX161" s="135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5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5"/>
      <c r="FS161" s="129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6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6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6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6"/>
      <c r="IB161" s="116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6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6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6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5"/>
      <c r="I162" s="129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6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6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6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5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5"/>
      <c r="BE162" s="129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6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6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6"/>
      <c r="CQ162" s="52" t="str">
        <f t="shared" ref="CQ162:CQ201" si="582">IF(AND(Sufficient_data="Yes",Include_study?="Yes"),c_/(c_+d_),"")</f>
        <v/>
      </c>
      <c r="CX162" s="135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5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5"/>
      <c r="FS162" s="129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6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6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6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6"/>
      <c r="IB162" s="116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6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6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6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5"/>
      <c r="I163" s="129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6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6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6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5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5"/>
      <c r="BE163" s="129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6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6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6"/>
      <c r="CQ163" s="52" t="str">
        <f t="shared" si="582"/>
        <v/>
      </c>
      <c r="CX163" s="135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5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5"/>
      <c r="FS163" s="129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6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6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6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6"/>
      <c r="IB163" s="116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6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6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6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5"/>
      <c r="I164" s="129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6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6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6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5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5"/>
      <c r="BE164" s="129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6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6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6"/>
      <c r="CQ164" s="52" t="str">
        <f t="shared" si="582"/>
        <v/>
      </c>
      <c r="CX164" s="135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5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5"/>
      <c r="FS164" s="129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6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6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6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6"/>
      <c r="IB164" s="116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6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6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6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5"/>
      <c r="I165" s="129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6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6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6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5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5"/>
      <c r="BE165" s="129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6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6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6"/>
      <c r="CQ165" s="52" t="str">
        <f t="shared" si="582"/>
        <v/>
      </c>
      <c r="CX165" s="135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5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5"/>
      <c r="FS165" s="129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6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6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6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6"/>
      <c r="IB165" s="116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6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6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6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5"/>
      <c r="I166" s="129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6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6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6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5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5"/>
      <c r="BE166" s="129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6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6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6"/>
      <c r="CQ166" s="52" t="str">
        <f t="shared" si="582"/>
        <v/>
      </c>
      <c r="CX166" s="135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5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5"/>
      <c r="FS166" s="129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6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6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6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6"/>
      <c r="IB166" s="116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6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6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6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5"/>
      <c r="I167" s="129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6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6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6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5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5"/>
      <c r="BE167" s="129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6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6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6"/>
      <c r="CQ167" s="52" t="str">
        <f t="shared" si="582"/>
        <v/>
      </c>
      <c r="CX167" s="135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5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5"/>
      <c r="FS167" s="129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6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6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6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6"/>
      <c r="IB167" s="116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6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6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6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5"/>
      <c r="I168" s="129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6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6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6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5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5"/>
      <c r="BE168" s="129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6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6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6"/>
      <c r="CQ168" s="52" t="str">
        <f t="shared" si="582"/>
        <v/>
      </c>
      <c r="CX168" s="135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5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5"/>
      <c r="FS168" s="129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6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6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6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6"/>
      <c r="IB168" s="116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6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6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6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5"/>
      <c r="I169" s="129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6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6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6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5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5"/>
      <c r="BE169" s="129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6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6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6"/>
      <c r="CQ169" s="52" t="str">
        <f t="shared" si="582"/>
        <v/>
      </c>
      <c r="CX169" s="135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5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5"/>
      <c r="FS169" s="129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6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6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6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6"/>
      <c r="IB169" s="116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6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6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6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5"/>
      <c r="I170" s="129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6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6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6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5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5"/>
      <c r="BE170" s="129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6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6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6"/>
      <c r="CQ170" s="52" t="str">
        <f t="shared" si="582"/>
        <v/>
      </c>
      <c r="CX170" s="135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5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5"/>
      <c r="FS170" s="129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6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6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6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6"/>
      <c r="IB170" s="116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6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6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6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5"/>
      <c r="I171" s="129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6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6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6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5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5"/>
      <c r="BE171" s="129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6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6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6"/>
      <c r="CQ171" s="52" t="str">
        <f t="shared" si="582"/>
        <v/>
      </c>
      <c r="CX171" s="135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5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5"/>
      <c r="FS171" s="129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6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6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6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6"/>
      <c r="IB171" s="116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6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6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6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5"/>
      <c r="I172" s="129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6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6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6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5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5"/>
      <c r="BE172" s="129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6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6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6"/>
      <c r="CQ172" s="52" t="str">
        <f t="shared" si="582"/>
        <v/>
      </c>
      <c r="CX172" s="135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5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5"/>
      <c r="FS172" s="129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6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6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6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6"/>
      <c r="IB172" s="116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6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6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6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5"/>
      <c r="I173" s="129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6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6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6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5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5"/>
      <c r="BE173" s="129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6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6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6"/>
      <c r="CQ173" s="52" t="str">
        <f t="shared" si="582"/>
        <v/>
      </c>
      <c r="CX173" s="135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5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5"/>
      <c r="FS173" s="129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6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6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6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6"/>
      <c r="IB173" s="116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6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6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6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5"/>
      <c r="I174" s="129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6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6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6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5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5"/>
      <c r="BE174" s="129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6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6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6"/>
      <c r="CQ174" s="52" t="str">
        <f t="shared" si="582"/>
        <v/>
      </c>
      <c r="CX174" s="135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5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5"/>
      <c r="FS174" s="129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6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6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6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6"/>
      <c r="IB174" s="116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6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6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6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5"/>
      <c r="I175" s="129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6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6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6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5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5"/>
      <c r="BE175" s="129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6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6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6"/>
      <c r="CQ175" s="52" t="str">
        <f t="shared" si="582"/>
        <v/>
      </c>
      <c r="CX175" s="135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5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5"/>
      <c r="FS175" s="129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6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6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6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6"/>
      <c r="IB175" s="116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6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6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6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5"/>
      <c r="I176" s="129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6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6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6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5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5"/>
      <c r="BE176" s="129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6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6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6"/>
      <c r="CQ176" s="52" t="str">
        <f t="shared" si="582"/>
        <v/>
      </c>
      <c r="CX176" s="135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5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5"/>
      <c r="FS176" s="129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6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6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6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6"/>
      <c r="IB176" s="116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6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6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6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5"/>
      <c r="I177" s="129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6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6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6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5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5"/>
      <c r="BE177" s="129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6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6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6"/>
      <c r="CQ177" s="52" t="str">
        <f t="shared" si="582"/>
        <v/>
      </c>
      <c r="CX177" s="135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5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5"/>
      <c r="FS177" s="129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6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6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6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6"/>
      <c r="IB177" s="116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6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6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6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5"/>
      <c r="I178" s="129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6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6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6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5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5"/>
      <c r="BE178" s="129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6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6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6"/>
      <c r="CQ178" s="52" t="str">
        <f t="shared" si="582"/>
        <v/>
      </c>
      <c r="CX178" s="135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5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5"/>
      <c r="FS178" s="129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6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6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6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6"/>
      <c r="IB178" s="116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6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6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6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5"/>
      <c r="I179" s="129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6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6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6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5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5"/>
      <c r="BE179" s="129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6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6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6"/>
      <c r="CQ179" s="52" t="str">
        <f t="shared" si="582"/>
        <v/>
      </c>
      <c r="CX179" s="135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5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5"/>
      <c r="FS179" s="129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6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6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6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6"/>
      <c r="IB179" s="116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6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6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6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5"/>
      <c r="I180" s="129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6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6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6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5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5"/>
      <c r="BE180" s="129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6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6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6"/>
      <c r="CQ180" s="52" t="str">
        <f t="shared" si="582"/>
        <v/>
      </c>
      <c r="CX180" s="135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5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5"/>
      <c r="FS180" s="129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6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6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6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6"/>
      <c r="IB180" s="116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6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6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6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5"/>
      <c r="I181" s="129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6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6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6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5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5"/>
      <c r="BE181" s="129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6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6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6"/>
      <c r="CQ181" s="52" t="str">
        <f t="shared" si="582"/>
        <v/>
      </c>
      <c r="CX181" s="135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5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5"/>
      <c r="FS181" s="129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6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6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6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6"/>
      <c r="IB181" s="116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6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6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6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5"/>
      <c r="I182" s="129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6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6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6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5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5"/>
      <c r="BE182" s="129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6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6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6"/>
      <c r="CQ182" s="52" t="str">
        <f t="shared" si="582"/>
        <v/>
      </c>
      <c r="CX182" s="135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5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5"/>
      <c r="FS182" s="129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6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6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6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6"/>
      <c r="IB182" s="116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6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6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6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5"/>
      <c r="I183" s="129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6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6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6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5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5"/>
      <c r="BE183" s="129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6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6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6"/>
      <c r="CQ183" s="52" t="str">
        <f t="shared" si="582"/>
        <v/>
      </c>
      <c r="CX183" s="135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5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5"/>
      <c r="FS183" s="129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6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6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6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6"/>
      <c r="IB183" s="116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6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6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6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5"/>
      <c r="I184" s="129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6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6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6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5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5"/>
      <c r="BE184" s="129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6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6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6"/>
      <c r="CQ184" s="52" t="str">
        <f t="shared" si="582"/>
        <v/>
      </c>
      <c r="CX184" s="135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5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5"/>
      <c r="FS184" s="129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6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6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6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6"/>
      <c r="IB184" s="116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6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6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6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5"/>
      <c r="I185" s="129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6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6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6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5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5"/>
      <c r="BE185" s="129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6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6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6"/>
      <c r="CQ185" s="52" t="str">
        <f t="shared" si="582"/>
        <v/>
      </c>
      <c r="CX185" s="135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5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5"/>
      <c r="FS185" s="129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6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6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6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6"/>
      <c r="IB185" s="116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6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6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6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5"/>
      <c r="I186" s="129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6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6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6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5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5"/>
      <c r="BE186" s="129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6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6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6"/>
      <c r="CQ186" s="52" t="str">
        <f t="shared" si="582"/>
        <v/>
      </c>
      <c r="CX186" s="135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5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5"/>
      <c r="FS186" s="129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6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6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6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6"/>
      <c r="IB186" s="116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6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6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6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5"/>
      <c r="I187" s="129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6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6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6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5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5"/>
      <c r="BE187" s="129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6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6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6"/>
      <c r="CQ187" s="52" t="str">
        <f t="shared" si="582"/>
        <v/>
      </c>
      <c r="CX187" s="135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5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5"/>
      <c r="FS187" s="129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6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6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6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6"/>
      <c r="IB187" s="116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6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6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6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5"/>
      <c r="I188" s="129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6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6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6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5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5"/>
      <c r="BE188" s="129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6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6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6"/>
      <c r="CQ188" s="52" t="str">
        <f t="shared" si="582"/>
        <v/>
      </c>
      <c r="CX188" s="135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5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5"/>
      <c r="FS188" s="129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6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6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6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6"/>
      <c r="IB188" s="116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6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6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6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5"/>
      <c r="I189" s="129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6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6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6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5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5"/>
      <c r="BE189" s="129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6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6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6"/>
      <c r="CQ189" s="52" t="str">
        <f t="shared" si="582"/>
        <v/>
      </c>
      <c r="CX189" s="135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5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5"/>
      <c r="FS189" s="129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6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6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6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6"/>
      <c r="IB189" s="116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6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6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6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5"/>
      <c r="I190" s="129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6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6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6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5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5"/>
      <c r="BE190" s="129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6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6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6"/>
      <c r="CQ190" s="52" t="str">
        <f t="shared" si="582"/>
        <v/>
      </c>
      <c r="CX190" s="135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5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5"/>
      <c r="FS190" s="129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6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6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6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6"/>
      <c r="IB190" s="116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6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6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6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5"/>
      <c r="I191" s="129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6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6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6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5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5"/>
      <c r="BE191" s="129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6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6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6"/>
      <c r="CQ191" s="52" t="str">
        <f t="shared" si="582"/>
        <v/>
      </c>
      <c r="CX191" s="135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5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5"/>
      <c r="FS191" s="129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6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6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6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6"/>
      <c r="IB191" s="116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6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6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6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5"/>
      <c r="I192" s="129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6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6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6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5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5"/>
      <c r="BE192" s="129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6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6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6"/>
      <c r="CQ192" s="52" t="str">
        <f t="shared" si="582"/>
        <v/>
      </c>
      <c r="CX192" s="135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5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5"/>
      <c r="FS192" s="129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6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6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6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6"/>
      <c r="IB192" s="116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6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6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6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5"/>
      <c r="I193" s="129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6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6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6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5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5"/>
      <c r="BE193" s="129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6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6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6"/>
      <c r="CQ193" s="52" t="str">
        <f t="shared" si="582"/>
        <v/>
      </c>
      <c r="CX193" s="135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5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5"/>
      <c r="FS193" s="129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6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6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6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6"/>
      <c r="IB193" s="116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6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6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6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5"/>
      <c r="I194" s="129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6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6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6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5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5"/>
      <c r="BE194" s="129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6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6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6"/>
      <c r="CQ194" s="52" t="str">
        <f t="shared" si="582"/>
        <v/>
      </c>
      <c r="CX194" s="135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5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5"/>
      <c r="FS194" s="129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6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6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6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6"/>
      <c r="IB194" s="116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6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6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6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5"/>
      <c r="I195" s="129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6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6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6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5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5"/>
      <c r="BE195" s="129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6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6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6"/>
      <c r="CQ195" s="52" t="str">
        <f t="shared" si="582"/>
        <v/>
      </c>
      <c r="CX195" s="135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5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5"/>
      <c r="FS195" s="129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6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6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6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6"/>
      <c r="IB195" s="116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6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6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6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5"/>
      <c r="I196" s="129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6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6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6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5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5"/>
      <c r="BE196" s="129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6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6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6"/>
      <c r="CQ196" s="52" t="str">
        <f t="shared" si="582"/>
        <v/>
      </c>
      <c r="CX196" s="135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5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5"/>
      <c r="FS196" s="129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6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6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6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6"/>
      <c r="IB196" s="116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6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6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6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5"/>
      <c r="I197" s="129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6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6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6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5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5"/>
      <c r="BE197" s="129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6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6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6"/>
      <c r="CQ197" s="52" t="str">
        <f t="shared" si="582"/>
        <v/>
      </c>
      <c r="CX197" s="135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5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5"/>
      <c r="FS197" s="129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6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6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6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6"/>
      <c r="IB197" s="116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6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6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6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5"/>
      <c r="I198" s="129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6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6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6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5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5"/>
      <c r="BE198" s="129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6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6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6"/>
      <c r="CQ198" s="52" t="str">
        <f t="shared" si="582"/>
        <v/>
      </c>
      <c r="CX198" s="135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5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5"/>
      <c r="FS198" s="129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6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6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6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6"/>
      <c r="IB198" s="116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6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6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6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5"/>
      <c r="I199" s="129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6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6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6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5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5"/>
      <c r="BE199" s="129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6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6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6"/>
      <c r="CQ199" s="52" t="str">
        <f t="shared" si="582"/>
        <v/>
      </c>
      <c r="CX199" s="135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5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5"/>
      <c r="FS199" s="129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6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6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6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6"/>
      <c r="IB199" s="116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6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6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6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5"/>
      <c r="I200" s="129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6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6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6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5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5"/>
      <c r="BE200" s="129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6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6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6"/>
      <c r="CQ200" s="52" t="str">
        <f t="shared" si="582"/>
        <v/>
      </c>
      <c r="CX200" s="135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5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5"/>
      <c r="FS200" s="129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6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6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6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6"/>
      <c r="IB200" s="116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6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6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6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6"/>
      <c r="I201" s="130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7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7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7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6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6"/>
      <c r="BE201" s="130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7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7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7"/>
      <c r="CQ201" s="53" t="str">
        <f t="shared" si="582"/>
        <v/>
      </c>
      <c r="CX201" s="136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6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6"/>
      <c r="FS201" s="130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7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7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7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7"/>
      <c r="IB201" s="117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7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7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7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14C3-0963-41C2-B348-C86E91C5E8DD}">
  <dimension ref="E3:N20"/>
  <sheetViews>
    <sheetView showGridLines="0" tabSelected="1" topLeftCell="C1" workbookViewId="0">
      <selection activeCell="M11" sqref="M11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113"/>
      <c r="G3" s="113"/>
      <c r="H3" s="113"/>
      <c r="I3" s="113"/>
      <c r="J3" s="95"/>
      <c r="K3" s="95"/>
      <c r="L3" s="95"/>
      <c r="M3" s="95"/>
      <c r="N3" s="95"/>
    </row>
    <row r="4" spans="5:14" ht="24" x14ac:dyDescent="0.3">
      <c r="E4" s="96" t="s">
        <v>1</v>
      </c>
      <c r="F4" s="105" t="s">
        <v>330</v>
      </c>
      <c r="G4" s="105" t="s">
        <v>331</v>
      </c>
      <c r="H4" s="105" t="s">
        <v>332</v>
      </c>
      <c r="I4" s="106" t="s">
        <v>25</v>
      </c>
      <c r="J4" s="95" t="s">
        <v>333</v>
      </c>
      <c r="K4" s="95"/>
      <c r="L4" s="96" t="s">
        <v>1</v>
      </c>
      <c r="M4" s="105" t="s">
        <v>88</v>
      </c>
      <c r="N4" s="105" t="s">
        <v>334</v>
      </c>
    </row>
    <row r="5" spans="5:14" x14ac:dyDescent="0.3">
      <c r="E5" s="102" t="s">
        <v>335</v>
      </c>
      <c r="F5" s="103">
        <v>1.1020811654526534</v>
      </c>
      <c r="G5" s="103">
        <v>0.77414521303718098</v>
      </c>
      <c r="H5" s="103">
        <v>1.5689341932120742</v>
      </c>
      <c r="I5" s="104">
        <v>0.25446906049501977</v>
      </c>
      <c r="J5" s="95" t="s">
        <v>333</v>
      </c>
      <c r="K5" s="95"/>
      <c r="L5" s="102" t="s">
        <v>335</v>
      </c>
      <c r="M5" s="103">
        <v>9.720036087933101E-2</v>
      </c>
      <c r="N5" s="103">
        <v>0.18012199877362975</v>
      </c>
    </row>
    <row r="6" spans="5:14" x14ac:dyDescent="0.3">
      <c r="E6" s="102" t="s">
        <v>339</v>
      </c>
      <c r="F6" s="103">
        <v>1.04667140488036</v>
      </c>
      <c r="G6" s="103">
        <v>0.6884529622419121</v>
      </c>
      <c r="H6" s="103">
        <v>1.5912794190422508</v>
      </c>
      <c r="I6" s="104">
        <v>0.18093807675749579</v>
      </c>
      <c r="J6" s="95" t="s">
        <v>333</v>
      </c>
      <c r="K6" s="95"/>
      <c r="L6" s="102" t="s">
        <v>339</v>
      </c>
      <c r="M6" s="103">
        <v>4.561503819756367E-2</v>
      </c>
      <c r="N6" s="103">
        <v>0.21360886178986249</v>
      </c>
    </row>
    <row r="7" spans="5:14" x14ac:dyDescent="0.3">
      <c r="E7" s="102" t="s">
        <v>339</v>
      </c>
      <c r="F7" s="103">
        <v>1.0462875939849625</v>
      </c>
      <c r="G7" s="103">
        <v>0.74422006261036044</v>
      </c>
      <c r="H7" s="103">
        <v>1.4709597124902904</v>
      </c>
      <c r="I7" s="104">
        <v>0.27361473098454037</v>
      </c>
      <c r="J7" s="95" t="s">
        <v>333</v>
      </c>
      <c r="K7" s="95"/>
      <c r="L7" s="102" t="s">
        <v>339</v>
      </c>
      <c r="M7" s="103">
        <v>4.5248274300222172E-2</v>
      </c>
      <c r="N7" s="103">
        <v>0.17370587734913909</v>
      </c>
    </row>
    <row r="8" spans="5:14" x14ac:dyDescent="0.3">
      <c r="E8" s="102" t="s">
        <v>339</v>
      </c>
      <c r="F8" s="103">
        <v>0.93156775834039651</v>
      </c>
      <c r="G8" s="103">
        <v>0.6694943358611587</v>
      </c>
      <c r="H8" s="103">
        <v>1.2962297690884748</v>
      </c>
      <c r="I8" s="104">
        <v>0.29097813176294413</v>
      </c>
      <c r="J8" s="95" t="s">
        <v>333</v>
      </c>
      <c r="K8" s="95"/>
      <c r="L8" s="102" t="s">
        <v>339</v>
      </c>
      <c r="M8" s="103">
        <v>-7.0886350479830787E-2</v>
      </c>
      <c r="N8" s="103">
        <v>0.16844342955969202</v>
      </c>
    </row>
    <row r="9" spans="5:14" x14ac:dyDescent="0.3">
      <c r="E9" s="102"/>
      <c r="F9" s="103"/>
      <c r="G9" s="103"/>
      <c r="H9" s="103"/>
      <c r="I9" s="104"/>
      <c r="J9" s="95"/>
      <c r="K9" s="95"/>
      <c r="L9" s="102"/>
      <c r="M9" s="103"/>
      <c r="N9" s="103"/>
    </row>
    <row r="10" spans="5:14" x14ac:dyDescent="0.3">
      <c r="E10" s="102"/>
      <c r="F10" s="103"/>
      <c r="G10" s="103"/>
      <c r="H10" s="103"/>
      <c r="I10" s="104"/>
      <c r="J10" s="95"/>
      <c r="K10" s="95"/>
      <c r="L10" s="102"/>
      <c r="M10" s="103"/>
      <c r="N10" s="103"/>
    </row>
    <row r="11" spans="5:14" x14ac:dyDescent="0.3">
      <c r="E11" s="112"/>
      <c r="F11" s="103"/>
      <c r="G11" s="103"/>
      <c r="H11" s="103"/>
      <c r="I11" s="114"/>
      <c r="L11" s="112"/>
      <c r="M11" s="103"/>
      <c r="N11" s="103"/>
    </row>
    <row r="12" spans="5:14" x14ac:dyDescent="0.3">
      <c r="E12" s="112"/>
      <c r="F12" s="103"/>
      <c r="G12" s="103"/>
      <c r="H12" s="103"/>
      <c r="I12" s="114"/>
      <c r="L12" s="112"/>
      <c r="M12" s="103"/>
      <c r="N12" s="103"/>
    </row>
    <row r="13" spans="5:14" x14ac:dyDescent="0.3">
      <c r="E13" s="112"/>
      <c r="F13" s="103"/>
      <c r="G13" s="103"/>
      <c r="H13" s="103"/>
      <c r="I13" s="114"/>
      <c r="L13" s="112"/>
      <c r="M13" s="103"/>
      <c r="N13" s="103"/>
    </row>
    <row r="14" spans="5:14" x14ac:dyDescent="0.3">
      <c r="E14" s="112"/>
      <c r="F14" s="103"/>
      <c r="G14" s="103"/>
      <c r="H14" s="103"/>
      <c r="I14" s="114"/>
      <c r="L14" s="112"/>
      <c r="M14" s="103"/>
      <c r="N14" s="103"/>
    </row>
    <row r="15" spans="5:14" x14ac:dyDescent="0.3">
      <c r="E15" s="112"/>
      <c r="F15" s="103"/>
      <c r="G15" s="103"/>
      <c r="H15" s="103"/>
      <c r="I15" s="114"/>
      <c r="L15" s="112"/>
      <c r="M15" s="103"/>
      <c r="N15" s="103"/>
    </row>
    <row r="16" spans="5:14" x14ac:dyDescent="0.3">
      <c r="E16" s="112"/>
      <c r="F16" s="103"/>
      <c r="G16" s="103"/>
      <c r="H16" s="103"/>
      <c r="I16" s="114"/>
      <c r="L16" s="112"/>
      <c r="M16" s="103"/>
      <c r="N16" s="103"/>
    </row>
    <row r="17" spans="5:14" x14ac:dyDescent="0.3">
      <c r="E17" s="112"/>
      <c r="F17" s="103"/>
      <c r="G17" s="103"/>
      <c r="H17" s="103"/>
      <c r="I17" s="114"/>
      <c r="L17" s="112"/>
      <c r="M17" s="103"/>
      <c r="N17" s="103"/>
    </row>
    <row r="18" spans="5:14" x14ac:dyDescent="0.3">
      <c r="E18" s="112"/>
      <c r="F18" s="103"/>
      <c r="G18" s="103"/>
      <c r="H18" s="103"/>
      <c r="I18" s="114"/>
      <c r="L18" s="112"/>
      <c r="M18" s="103"/>
      <c r="N18" s="103"/>
    </row>
    <row r="19" spans="5:14" x14ac:dyDescent="0.3">
      <c r="E19" s="112"/>
      <c r="F19" s="103"/>
      <c r="G19" s="103"/>
      <c r="H19" s="103"/>
      <c r="I19" s="114"/>
      <c r="L19" s="112"/>
      <c r="M19" s="103"/>
      <c r="N19" s="103"/>
    </row>
    <row r="20" spans="5:14" x14ac:dyDescent="0.3">
      <c r="E20" s="112"/>
      <c r="F20" s="103"/>
      <c r="G20" s="103"/>
      <c r="H20" s="103"/>
      <c r="I20" s="114"/>
      <c r="L20" s="112"/>
      <c r="M20" s="103"/>
      <c r="N20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</cp:lastModifiedBy>
  <cp:revision/>
  <dcterms:created xsi:type="dcterms:W3CDTF">2013-09-05T11:10:04Z</dcterms:created>
  <dcterms:modified xsi:type="dcterms:W3CDTF">2023-06-23T07:07:36Z</dcterms:modified>
  <cp:category/>
  <cp:contentStatus/>
</cp:coreProperties>
</file>